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75" windowWidth="15480" windowHeight="8055" activeTab="11"/>
  </bookViews>
  <sheets>
    <sheet name="01.20" sheetId="38" r:id="rId1"/>
    <sheet name="02.20" sheetId="39" r:id="rId2"/>
    <sheet name="03.20" sheetId="40" r:id="rId3"/>
    <sheet name="04.20" sheetId="41" r:id="rId4"/>
    <sheet name="05.20" sheetId="42" r:id="rId5"/>
    <sheet name="06.20" sheetId="44" r:id="rId6"/>
    <sheet name="07.20" sheetId="45" r:id="rId7"/>
    <sheet name="08.20" sheetId="46" r:id="rId8"/>
    <sheet name="09.20" sheetId="47" r:id="rId9"/>
    <sheet name="10.20" sheetId="35" r:id="rId10"/>
    <sheet name="11.20" sheetId="36" r:id="rId11"/>
    <sheet name="12.20" sheetId="37" r:id="rId12"/>
  </sheets>
  <definedNames>
    <definedName name="_xlnm._FilterDatabase" localSheetId="0" hidden="1">'01.20'!$I$12:$I$64</definedName>
    <definedName name="_xlnm._FilterDatabase" localSheetId="1" hidden="1">'02.20'!$I$12:$I$65</definedName>
    <definedName name="_xlnm._FilterDatabase" localSheetId="2" hidden="1">'03.20'!$I$12:$I$64</definedName>
    <definedName name="_xlnm._FilterDatabase" localSheetId="9" hidden="1">'10.20'!$I$12:$I$63</definedName>
    <definedName name="_xlnm._FilterDatabase" localSheetId="10" hidden="1">'11.20'!$I$12:$I$65</definedName>
    <definedName name="_xlnm._FilterDatabase" localSheetId="11" hidden="1">'12.20'!$I$12:$I$65</definedName>
    <definedName name="_xlnm.Print_Area" localSheetId="0">'01.20'!$A$1:$I$114</definedName>
    <definedName name="_xlnm.Print_Area" localSheetId="1">'02.20'!$A$1:$I$124</definedName>
    <definedName name="_xlnm.Print_Area" localSheetId="2">'03.20'!$A$1:$I$115</definedName>
    <definedName name="_xlnm.Print_Area" localSheetId="9">'10.20'!$A$1:$I$114</definedName>
    <definedName name="_xlnm.Print_Area" localSheetId="10">'11.20'!$A$1:$I$118</definedName>
    <definedName name="_xlnm.Print_Area" localSheetId="11">'12.20'!$A$1:$I$122</definedName>
  </definedNames>
  <calcPr calcId="124519"/>
</workbook>
</file>

<file path=xl/calcChain.xml><?xml version="1.0" encoding="utf-8"?>
<calcChain xmlns="http://schemas.openxmlformats.org/spreadsheetml/2006/main">
  <c r="I87" i="37"/>
  <c r="I99"/>
  <c r="I97"/>
  <c r="I95"/>
  <c r="I94"/>
  <c r="I93"/>
  <c r="I91"/>
  <c r="I90"/>
  <c r="I77"/>
  <c r="I76"/>
  <c r="I37"/>
  <c r="I87" i="36"/>
  <c r="I95" l="1"/>
  <c r="I94"/>
  <c r="I93"/>
  <c r="I92"/>
  <c r="I91"/>
  <c r="I90"/>
  <c r="I60"/>
  <c r="I91" i="35" l="1"/>
  <c r="I90"/>
  <c r="I89"/>
  <c r="I88" l="1"/>
  <c r="I87"/>
  <c r="I63"/>
  <c r="I92" i="47"/>
  <c r="I85"/>
  <c r="I98"/>
  <c r="I97"/>
  <c r="I96"/>
  <c r="I95"/>
  <c r="I94"/>
  <c r="I93"/>
  <c r="I91"/>
  <c r="I90"/>
  <c r="I89"/>
  <c r="I88"/>
  <c r="I87"/>
  <c r="I63"/>
  <c r="I58"/>
  <c r="I96" i="46" l="1"/>
  <c r="I95"/>
  <c r="I94"/>
  <c r="I93"/>
  <c r="I92"/>
  <c r="I91"/>
  <c r="I85"/>
  <c r="I79"/>
  <c r="I90"/>
  <c r="I89"/>
  <c r="I88"/>
  <c r="I87"/>
  <c r="I86"/>
  <c r="I84"/>
  <c r="I83"/>
  <c r="I82"/>
  <c r="I81"/>
  <c r="I86" i="45" l="1"/>
  <c r="I92" i="40"/>
  <c r="I91"/>
  <c r="I87" i="44" l="1"/>
  <c r="I89"/>
  <c r="I87" i="42"/>
  <c r="I89"/>
  <c r="I76" i="41"/>
  <c r="I75"/>
  <c r="I91"/>
  <c r="I90"/>
  <c r="H90"/>
  <c r="I88" l="1"/>
  <c r="I90" i="40" l="1"/>
  <c r="I89" l="1"/>
  <c r="I86"/>
  <c r="I88"/>
  <c r="I41"/>
  <c r="I36"/>
  <c r="I87" i="39" l="1"/>
  <c r="I101"/>
  <c r="I100"/>
  <c r="I99"/>
  <c r="I98"/>
  <c r="I97"/>
  <c r="I96"/>
  <c r="I95"/>
  <c r="I94"/>
  <c r="I93"/>
  <c r="I92"/>
  <c r="I91"/>
  <c r="I90"/>
  <c r="I56"/>
  <c r="I37"/>
  <c r="I89" i="38"/>
  <c r="I91" s="1"/>
  <c r="I86"/>
  <c r="I90"/>
  <c r="I64" l="1"/>
  <c r="I36"/>
  <c r="I56" i="37"/>
  <c r="I89" l="1"/>
  <c r="H89"/>
  <c r="I42"/>
  <c r="H42"/>
  <c r="F41"/>
  <c r="H41" s="1"/>
  <c r="F40"/>
  <c r="I40" s="1"/>
  <c r="F39"/>
  <c r="H39" s="1"/>
  <c r="F38"/>
  <c r="I38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38" l="1"/>
  <c r="I39"/>
  <c r="H40"/>
  <c r="I41"/>
  <c r="I18"/>
  <c r="H18"/>
  <c r="I19"/>
  <c r="I21"/>
  <c r="I25"/>
  <c r="I16"/>
  <c r="I23"/>
  <c r="I89" i="36" l="1"/>
  <c r="I37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31" i="35"/>
  <c r="H31" s="1"/>
  <c r="F30"/>
  <c r="I30" s="1"/>
  <c r="F29"/>
  <c r="I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36" l="1"/>
  <c r="H20"/>
  <c r="H24"/>
  <c r="H22"/>
  <c r="I18"/>
  <c r="H18"/>
  <c r="I16"/>
  <c r="I19"/>
  <c r="I21"/>
  <c r="I23"/>
  <c r="I25"/>
  <c r="H22" i="35"/>
  <c r="H29"/>
  <c r="H17"/>
  <c r="H20"/>
  <c r="H28"/>
  <c r="H30"/>
  <c r="I31"/>
  <c r="I18"/>
  <c r="H18"/>
  <c r="I16"/>
  <c r="I19"/>
  <c r="I21"/>
  <c r="I23"/>
  <c r="H24"/>
  <c r="I25"/>
  <c r="I79" i="47" l="1"/>
  <c r="F31"/>
  <c r="I31" s="1"/>
  <c r="F30"/>
  <c r="H30" s="1"/>
  <c r="F29"/>
  <c r="I29" s="1"/>
  <c r="F28"/>
  <c r="H28" s="1"/>
  <c r="F25"/>
  <c r="H25" s="1"/>
  <c r="E18"/>
  <c r="F18" s="1"/>
  <c r="F17"/>
  <c r="I17" s="1"/>
  <c r="F16"/>
  <c r="I16" s="1"/>
  <c r="F31" i="46"/>
  <c r="H31" s="1"/>
  <c r="F30"/>
  <c r="I30" s="1"/>
  <c r="F29"/>
  <c r="H29" s="1"/>
  <c r="F28"/>
  <c r="I28" s="1"/>
  <c r="F25"/>
  <c r="I25" s="1"/>
  <c r="E18"/>
  <c r="F18" s="1"/>
  <c r="F17"/>
  <c r="I17" s="1"/>
  <c r="F16"/>
  <c r="I16" s="1"/>
  <c r="I87" i="45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47" l="1"/>
  <c r="H31"/>
  <c r="H29"/>
  <c r="I28"/>
  <c r="I30"/>
  <c r="I25"/>
  <c r="H18"/>
  <c r="I18"/>
  <c r="H16"/>
  <c r="H28" i="46"/>
  <c r="H25"/>
  <c r="H17"/>
  <c r="H30"/>
  <c r="I29"/>
  <c r="I31"/>
  <c r="H18"/>
  <c r="I18"/>
  <c r="H16"/>
  <c r="H17" i="45"/>
  <c r="I18"/>
  <c r="H18"/>
  <c r="I16"/>
  <c r="I25"/>
  <c r="F25" i="44" l="1"/>
  <c r="H25" s="1"/>
  <c r="F24"/>
  <c r="F23"/>
  <c r="F22"/>
  <c r="F21"/>
  <c r="F20"/>
  <c r="F19"/>
  <c r="E18"/>
  <c r="F18" s="1"/>
  <c r="F17"/>
  <c r="I17" s="1"/>
  <c r="F16"/>
  <c r="H16" s="1"/>
  <c r="F25" i="42"/>
  <c r="H25" s="1"/>
  <c r="F25" i="41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41" i="40"/>
  <c r="F40"/>
  <c r="F39"/>
  <c r="I39" s="1"/>
  <c r="F38"/>
  <c r="H38" s="1"/>
  <c r="F37"/>
  <c r="I37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39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38"/>
  <c r="H19" i="44" l="1"/>
  <c r="I19"/>
  <c r="H21"/>
  <c r="I21"/>
  <c r="H23"/>
  <c r="I23"/>
  <c r="H20"/>
  <c r="I20"/>
  <c r="H22"/>
  <c r="I22"/>
  <c r="H24"/>
  <c r="I24"/>
  <c r="H17" i="41"/>
  <c r="H40" i="40"/>
  <c r="I40"/>
  <c r="H17"/>
  <c r="H17" i="39"/>
  <c r="H17" i="44"/>
  <c r="I18"/>
  <c r="H18"/>
  <c r="I16"/>
  <c r="I25"/>
  <c r="I25" i="42"/>
  <c r="I18" i="41"/>
  <c r="H18"/>
  <c r="I16"/>
  <c r="I25"/>
  <c r="H37" i="40"/>
  <c r="I38"/>
  <c r="H39"/>
  <c r="I18"/>
  <c r="H18"/>
  <c r="I16"/>
  <c r="I25"/>
  <c r="I18" i="39"/>
  <c r="H18"/>
  <c r="I16"/>
  <c r="I25"/>
  <c r="I90" i="44" l="1"/>
  <c r="I91" i="42"/>
  <c r="I63"/>
  <c r="I36" i="41" l="1"/>
  <c r="I55" i="40" l="1"/>
  <c r="I89" i="39" l="1"/>
  <c r="I88" i="38"/>
  <c r="I55"/>
  <c r="F51"/>
  <c r="H51" s="1"/>
  <c r="I42" i="36"/>
  <c r="H87" i="47"/>
  <c r="E84"/>
  <c r="F84" s="1"/>
  <c r="F83"/>
  <c r="H83" s="1"/>
  <c r="I81"/>
  <c r="H81"/>
  <c r="H79"/>
  <c r="I78"/>
  <c r="I77"/>
  <c r="H77"/>
  <c r="I76"/>
  <c r="F76"/>
  <c r="H76" s="1"/>
  <c r="I75"/>
  <c r="H75"/>
  <c r="I74"/>
  <c r="F74"/>
  <c r="H74" s="1"/>
  <c r="F72"/>
  <c r="I72" s="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F19"/>
  <c r="I19" s="1"/>
  <c r="I70" i="46"/>
  <c r="H81"/>
  <c r="E78"/>
  <c r="F78" s="1"/>
  <c r="H78" s="1"/>
  <c r="H79" s="1"/>
  <c r="F77"/>
  <c r="H77" s="1"/>
  <c r="I75"/>
  <c r="H75"/>
  <c r="H73"/>
  <c r="I72"/>
  <c r="I71"/>
  <c r="H71"/>
  <c r="F70"/>
  <c r="H70" s="1"/>
  <c r="I69"/>
  <c r="H69"/>
  <c r="I68"/>
  <c r="F68"/>
  <c r="H68" s="1"/>
  <c r="F66"/>
  <c r="H66" s="1"/>
  <c r="F64"/>
  <c r="I64" s="1"/>
  <c r="F63"/>
  <c r="H63" s="1"/>
  <c r="F62"/>
  <c r="I62" s="1"/>
  <c r="F61"/>
  <c r="H61" s="1"/>
  <c r="F60"/>
  <c r="I60" s="1"/>
  <c r="F59"/>
  <c r="H59" s="1"/>
  <c r="F58"/>
  <c r="H58" s="1"/>
  <c r="F57"/>
  <c r="H57" s="1"/>
  <c r="F55"/>
  <c r="I55" s="1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24"/>
  <c r="I24" s="1"/>
  <c r="F23"/>
  <c r="H23" s="1"/>
  <c r="F22"/>
  <c r="I22" s="1"/>
  <c r="F21"/>
  <c r="H21" s="1"/>
  <c r="F20"/>
  <c r="I20" s="1"/>
  <c r="F19"/>
  <c r="H19" s="1"/>
  <c r="I55" i="41"/>
  <c r="H46" i="47" l="1"/>
  <c r="H21"/>
  <c r="H51"/>
  <c r="H72"/>
  <c r="I51" i="38"/>
  <c r="H67" i="47"/>
  <c r="H42"/>
  <c r="H44"/>
  <c r="H69"/>
  <c r="H65"/>
  <c r="H57"/>
  <c r="H55"/>
  <c r="H48"/>
  <c r="H38"/>
  <c r="H36"/>
  <c r="H23"/>
  <c r="H19"/>
  <c r="H84"/>
  <c r="H85" s="1"/>
  <c r="I84"/>
  <c r="I83"/>
  <c r="I20"/>
  <c r="I22"/>
  <c r="I24"/>
  <c r="I37"/>
  <c r="I39"/>
  <c r="I43"/>
  <c r="I45"/>
  <c r="I47"/>
  <c r="I50"/>
  <c r="I61"/>
  <c r="I66"/>
  <c r="I68"/>
  <c r="I70"/>
  <c r="H55" i="46"/>
  <c r="H64"/>
  <c r="H62"/>
  <c r="H60"/>
  <c r="H50"/>
  <c r="H47"/>
  <c r="H45"/>
  <c r="H43"/>
  <c r="H39"/>
  <c r="H37"/>
  <c r="H24"/>
  <c r="H22"/>
  <c r="H20"/>
  <c r="I19"/>
  <c r="I21"/>
  <c r="I23"/>
  <c r="I36"/>
  <c r="I38"/>
  <c r="I42"/>
  <c r="I44"/>
  <c r="I46"/>
  <c r="I48"/>
  <c r="I51"/>
  <c r="I59"/>
  <c r="I61"/>
  <c r="I63"/>
  <c r="I66"/>
  <c r="I77"/>
  <c r="I78"/>
  <c r="I98" l="1"/>
  <c r="I100" i="47"/>
  <c r="H86" i="45"/>
  <c r="E83"/>
  <c r="F83" s="1"/>
  <c r="F82"/>
  <c r="I82" s="1"/>
  <c r="I80"/>
  <c r="H80"/>
  <c r="H78"/>
  <c r="I77"/>
  <c r="I76"/>
  <c r="H76"/>
  <c r="F75"/>
  <c r="H75" s="1"/>
  <c r="I74"/>
  <c r="H74"/>
  <c r="I73"/>
  <c r="F73"/>
  <c r="H73" s="1"/>
  <c r="F71"/>
  <c r="H71" s="1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I58"/>
  <c r="H58"/>
  <c r="F57"/>
  <c r="H57" s="1"/>
  <c r="H56"/>
  <c r="F55"/>
  <c r="H55" s="1"/>
  <c r="I54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31"/>
  <c r="I31" s="1"/>
  <c r="F30"/>
  <c r="H30" s="1"/>
  <c r="F29"/>
  <c r="I29" s="1"/>
  <c r="F28"/>
  <c r="H28" s="1"/>
  <c r="H29" l="1"/>
  <c r="H82"/>
  <c r="H31"/>
  <c r="H61"/>
  <c r="H68"/>
  <c r="H66"/>
  <c r="H50"/>
  <c r="H47"/>
  <c r="H45"/>
  <c r="H43"/>
  <c r="H39"/>
  <c r="H37"/>
  <c r="I83"/>
  <c r="H83"/>
  <c r="H84" s="1"/>
  <c r="I38"/>
  <c r="I42"/>
  <c r="I44"/>
  <c r="I46"/>
  <c r="I48"/>
  <c r="I51"/>
  <c r="I55"/>
  <c r="I57"/>
  <c r="I65"/>
  <c r="I67"/>
  <c r="I69"/>
  <c r="I71"/>
  <c r="I28"/>
  <c r="I30"/>
  <c r="I36"/>
  <c r="I84" l="1"/>
  <c r="I89" s="1"/>
  <c r="H89" i="44" l="1"/>
  <c r="E86"/>
  <c r="F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I72" s="1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F61"/>
  <c r="I61" s="1"/>
  <c r="F60"/>
  <c r="H60" s="1"/>
  <c r="I58"/>
  <c r="H58"/>
  <c r="F57"/>
  <c r="I57" s="1"/>
  <c r="H56"/>
  <c r="F55"/>
  <c r="I55" s="1"/>
  <c r="I54"/>
  <c r="F54"/>
  <c r="H54" s="1"/>
  <c r="F51"/>
  <c r="I51" s="1"/>
  <c r="F50"/>
  <c r="I50" s="1"/>
  <c r="I49"/>
  <c r="H49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H32"/>
  <c r="F31"/>
  <c r="I31" s="1"/>
  <c r="F30"/>
  <c r="I30" s="1"/>
  <c r="F29"/>
  <c r="I29" s="1"/>
  <c r="F28"/>
  <c r="I28" s="1"/>
  <c r="I58" i="42"/>
  <c r="F24"/>
  <c r="I24" s="1"/>
  <c r="F23"/>
  <c r="I23" s="1"/>
  <c r="F22"/>
  <c r="I22" s="1"/>
  <c r="F21"/>
  <c r="I21" s="1"/>
  <c r="F20"/>
  <c r="I20" s="1"/>
  <c r="F19"/>
  <c r="I19" s="1"/>
  <c r="F17"/>
  <c r="F16"/>
  <c r="H89"/>
  <c r="E86"/>
  <c r="F86" s="1"/>
  <c r="I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31"/>
  <c r="H31" s="1"/>
  <c r="F30"/>
  <c r="H30" s="1"/>
  <c r="F29"/>
  <c r="I29" s="1"/>
  <c r="F28"/>
  <c r="H28" s="1"/>
  <c r="H24"/>
  <c r="H23"/>
  <c r="H22"/>
  <c r="H21"/>
  <c r="H20"/>
  <c r="H19"/>
  <c r="E18"/>
  <c r="F18" s="1"/>
  <c r="H17"/>
  <c r="I17"/>
  <c r="H16"/>
  <c r="H29" i="44" l="1"/>
  <c r="H85"/>
  <c r="H31"/>
  <c r="H61"/>
  <c r="H29" i="42"/>
  <c r="H44"/>
  <c r="H51"/>
  <c r="I30"/>
  <c r="I66"/>
  <c r="I68"/>
  <c r="H42"/>
  <c r="H46"/>
  <c r="H61"/>
  <c r="I65"/>
  <c r="I67"/>
  <c r="I69"/>
  <c r="H70" i="44"/>
  <c r="H68"/>
  <c r="H66"/>
  <c r="H50"/>
  <c r="H47"/>
  <c r="H45"/>
  <c r="H43"/>
  <c r="H39"/>
  <c r="H37"/>
  <c r="H86"/>
  <c r="H87" s="1"/>
  <c r="I86"/>
  <c r="H28"/>
  <c r="H30"/>
  <c r="H36"/>
  <c r="H38"/>
  <c r="H42"/>
  <c r="H44"/>
  <c r="H46"/>
  <c r="H48"/>
  <c r="H51"/>
  <c r="H55"/>
  <c r="H57"/>
  <c r="H65"/>
  <c r="H67"/>
  <c r="H69"/>
  <c r="H72"/>
  <c r="I70" i="42"/>
  <c r="H57"/>
  <c r="H55"/>
  <c r="H48"/>
  <c r="H38"/>
  <c r="H36"/>
  <c r="I18"/>
  <c r="H18"/>
  <c r="I16"/>
  <c r="I28"/>
  <c r="I31"/>
  <c r="I37"/>
  <c r="I39"/>
  <c r="I43"/>
  <c r="I45"/>
  <c r="I47"/>
  <c r="I50"/>
  <c r="I72"/>
  <c r="H85"/>
  <c r="H86"/>
  <c r="H87" s="1"/>
  <c r="I92" i="44" l="1"/>
  <c r="I93" i="42"/>
  <c r="I84" i="41"/>
  <c r="E87"/>
  <c r="F87" s="1"/>
  <c r="H87" s="1"/>
  <c r="H88" s="1"/>
  <c r="F86"/>
  <c r="H86" s="1"/>
  <c r="I82"/>
  <c r="H82"/>
  <c r="H80"/>
  <c r="I79"/>
  <c r="I78"/>
  <c r="H78"/>
  <c r="F77"/>
  <c r="H77" s="1"/>
  <c r="H76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H36"/>
  <c r="H34"/>
  <c r="H33"/>
  <c r="H32"/>
  <c r="F32"/>
  <c r="I32" s="1"/>
  <c r="E32"/>
  <c r="F31"/>
  <c r="H31" s="1"/>
  <c r="F30"/>
  <c r="H30" s="1"/>
  <c r="F29"/>
  <c r="I29" s="1"/>
  <c r="F28"/>
  <c r="H28" s="1"/>
  <c r="H39" l="1"/>
  <c r="H37"/>
  <c r="H56"/>
  <c r="H62"/>
  <c r="H58"/>
  <c r="H43"/>
  <c r="H45"/>
  <c r="H47"/>
  <c r="H49"/>
  <c r="H52"/>
  <c r="H29"/>
  <c r="I28"/>
  <c r="I31"/>
  <c r="I38"/>
  <c r="I40"/>
  <c r="I44"/>
  <c r="I46"/>
  <c r="I48"/>
  <c r="I51"/>
  <c r="I73"/>
  <c r="I86"/>
  <c r="I87"/>
  <c r="I93" l="1"/>
  <c r="H88" i="40" l="1"/>
  <c r="F85"/>
  <c r="H85" s="1"/>
  <c r="H86" s="1"/>
  <c r="E85"/>
  <c r="F84"/>
  <c r="H84" s="1"/>
  <c r="I82"/>
  <c r="H82"/>
  <c r="H80"/>
  <c r="I79"/>
  <c r="I78"/>
  <c r="H78"/>
  <c r="F77"/>
  <c r="H77" s="1"/>
  <c r="I76"/>
  <c r="H76"/>
  <c r="I75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H36"/>
  <c r="H34"/>
  <c r="H33"/>
  <c r="H32"/>
  <c r="F32"/>
  <c r="I32" s="1"/>
  <c r="E32"/>
  <c r="F31"/>
  <c r="H31" s="1"/>
  <c r="F30"/>
  <c r="H30" s="1"/>
  <c r="F29"/>
  <c r="I29" s="1"/>
  <c r="F28"/>
  <c r="H28" s="1"/>
  <c r="I42" i="39"/>
  <c r="I41" i="38"/>
  <c r="H56" i="40" l="1"/>
  <c r="H49"/>
  <c r="H62"/>
  <c r="H52"/>
  <c r="H58"/>
  <c r="H29"/>
  <c r="H45"/>
  <c r="H43"/>
  <c r="H47"/>
  <c r="I28"/>
  <c r="I31"/>
  <c r="I44"/>
  <c r="I46"/>
  <c r="I48"/>
  <c r="I51"/>
  <c r="I73"/>
  <c r="I84"/>
  <c r="I85"/>
  <c r="I94" l="1"/>
  <c r="H94" i="39" l="1"/>
  <c r="H92"/>
  <c r="H91"/>
  <c r="H90"/>
  <c r="H89"/>
  <c r="E86"/>
  <c r="F86" s="1"/>
  <c r="F85"/>
  <c r="I85" s="1"/>
  <c r="I83"/>
  <c r="H83"/>
  <c r="H81"/>
  <c r="I80"/>
  <c r="I79"/>
  <c r="H79"/>
  <c r="F78"/>
  <c r="H78" s="1"/>
  <c r="I77"/>
  <c r="H77"/>
  <c r="I76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H58"/>
  <c r="F57"/>
  <c r="I57" s="1"/>
  <c r="F56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H42"/>
  <c r="F41"/>
  <c r="I41" s="1"/>
  <c r="F40"/>
  <c r="I40" s="1"/>
  <c r="F39"/>
  <c r="I39" s="1"/>
  <c r="F38"/>
  <c r="I38" s="1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H90" i="38"/>
  <c r="H89"/>
  <c r="H88"/>
  <c r="I78"/>
  <c r="I76"/>
  <c r="I75"/>
  <c r="F62"/>
  <c r="H62" s="1"/>
  <c r="E85"/>
  <c r="F85" s="1"/>
  <c r="F84"/>
  <c r="I84" s="1"/>
  <c r="I82"/>
  <c r="H82"/>
  <c r="H80"/>
  <c r="I79"/>
  <c r="H78"/>
  <c r="F77"/>
  <c r="H77" s="1"/>
  <c r="H76"/>
  <c r="F75"/>
  <c r="H75" s="1"/>
  <c r="F73"/>
  <c r="I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1"/>
  <c r="H61" s="1"/>
  <c r="H59"/>
  <c r="F58"/>
  <c r="H58" s="1"/>
  <c r="H57"/>
  <c r="F56"/>
  <c r="H56" s="1"/>
  <c r="F55"/>
  <c r="F52"/>
  <c r="H52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H41"/>
  <c r="F40"/>
  <c r="I40" s="1"/>
  <c r="F39"/>
  <c r="H39" s="1"/>
  <c r="F38"/>
  <c r="I38" s="1"/>
  <c r="F37"/>
  <c r="H37" s="1"/>
  <c r="H36"/>
  <c r="H34"/>
  <c r="H33"/>
  <c r="H32"/>
  <c r="F32"/>
  <c r="I32" s="1"/>
  <c r="E32"/>
  <c r="F31"/>
  <c r="I31" s="1"/>
  <c r="F30"/>
  <c r="H30" s="1"/>
  <c r="F29"/>
  <c r="H29" s="1"/>
  <c r="F28"/>
  <c r="I28" s="1"/>
  <c r="I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57" i="39" l="1"/>
  <c r="H63"/>
  <c r="H30"/>
  <c r="H40"/>
  <c r="H46"/>
  <c r="H50"/>
  <c r="H59"/>
  <c r="H26"/>
  <c r="H38"/>
  <c r="H44"/>
  <c r="H48"/>
  <c r="H53"/>
  <c r="I86"/>
  <c r="I103" s="1"/>
  <c r="H86"/>
  <c r="H87" s="1"/>
  <c r="H29"/>
  <c r="H32"/>
  <c r="H39"/>
  <c r="H41"/>
  <c r="H45"/>
  <c r="H47"/>
  <c r="H49"/>
  <c r="H52"/>
  <c r="H56"/>
  <c r="H74"/>
  <c r="H85"/>
  <c r="H44" i="38"/>
  <c r="H25"/>
  <c r="H31"/>
  <c r="H38"/>
  <c r="H55"/>
  <c r="H84"/>
  <c r="H16"/>
  <c r="H28"/>
  <c r="H40"/>
  <c r="H46"/>
  <c r="H73"/>
  <c r="H48"/>
  <c r="H85"/>
  <c r="H86" s="1"/>
  <c r="I85"/>
  <c r="I29"/>
  <c r="I37"/>
  <c r="I39"/>
  <c r="I43"/>
  <c r="I45"/>
  <c r="I47"/>
  <c r="I49"/>
  <c r="I52"/>
  <c r="I56"/>
  <c r="I58"/>
  <c r="I62"/>
  <c r="I17"/>
  <c r="I18"/>
  <c r="I93" l="1"/>
  <c r="E86" i="37" l="1"/>
  <c r="F86" s="1"/>
  <c r="F85"/>
  <c r="I85" s="1"/>
  <c r="I83"/>
  <c r="H83"/>
  <c r="H81"/>
  <c r="I80"/>
  <c r="H79"/>
  <c r="F78"/>
  <c r="H78" s="1"/>
  <c r="H77"/>
  <c r="F76"/>
  <c r="H76" s="1"/>
  <c r="H74"/>
  <c r="F74"/>
  <c r="I74" s="1"/>
  <c r="F72"/>
  <c r="H72" s="1"/>
  <c r="F71"/>
  <c r="H71" s="1"/>
  <c r="H70"/>
  <c r="F70"/>
  <c r="H69"/>
  <c r="F69"/>
  <c r="H68"/>
  <c r="F68"/>
  <c r="H67"/>
  <c r="F67"/>
  <c r="H66"/>
  <c r="F66"/>
  <c r="H65"/>
  <c r="F65"/>
  <c r="I63"/>
  <c r="F62"/>
  <c r="H62" s="1"/>
  <c r="H60"/>
  <c r="F59"/>
  <c r="I59" s="1"/>
  <c r="H58"/>
  <c r="F57"/>
  <c r="I57" s="1"/>
  <c r="F56"/>
  <c r="H56" s="1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H45" s="1"/>
  <c r="F44"/>
  <c r="I44" s="1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H89" i="36"/>
  <c r="E86"/>
  <c r="F86" s="1"/>
  <c r="F85"/>
  <c r="H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H63"/>
  <c r="F62"/>
  <c r="H62" s="1"/>
  <c r="H60"/>
  <c r="F59"/>
  <c r="H59" s="1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F38"/>
  <c r="H38" s="1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H87" i="35"/>
  <c r="I81"/>
  <c r="I49"/>
  <c r="I40"/>
  <c r="I35"/>
  <c r="E84"/>
  <c r="F84" s="1"/>
  <c r="H84" s="1"/>
  <c r="F83"/>
  <c r="H83" s="1"/>
  <c r="H81"/>
  <c r="H79"/>
  <c r="H77"/>
  <c r="F76"/>
  <c r="H76" s="1"/>
  <c r="H75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H56"/>
  <c r="F55"/>
  <c r="H55" s="1"/>
  <c r="F54"/>
  <c r="H54" s="1"/>
  <c r="F51"/>
  <c r="H51" s="1"/>
  <c r="F50"/>
  <c r="H50" s="1"/>
  <c r="H49"/>
  <c r="F48"/>
  <c r="H48" s="1"/>
  <c r="F47"/>
  <c r="H47" s="1"/>
  <c r="F46"/>
  <c r="H46" s="1"/>
  <c r="F45"/>
  <c r="H45" s="1"/>
  <c r="F44"/>
  <c r="H44" s="1"/>
  <c r="F43"/>
  <c r="H43" s="1"/>
  <c r="F42"/>
  <c r="H42" s="1"/>
  <c r="H40"/>
  <c r="F39"/>
  <c r="H39" s="1"/>
  <c r="F38"/>
  <c r="H38" s="1"/>
  <c r="F37"/>
  <c r="H37" s="1"/>
  <c r="F36"/>
  <c r="H36" s="1"/>
  <c r="H35"/>
  <c r="H33"/>
  <c r="H32"/>
  <c r="H29" i="37" l="1"/>
  <c r="H32"/>
  <c r="H49"/>
  <c r="H47"/>
  <c r="H52"/>
  <c r="I86"/>
  <c r="H86"/>
  <c r="H87" s="1"/>
  <c r="H26"/>
  <c r="H30"/>
  <c r="H44"/>
  <c r="I45"/>
  <c r="H46"/>
  <c r="H48"/>
  <c r="H50"/>
  <c r="H53"/>
  <c r="H57"/>
  <c r="H59"/>
  <c r="H63"/>
  <c r="H85"/>
  <c r="H56" i="36"/>
  <c r="H47"/>
  <c r="H52"/>
  <c r="H45"/>
  <c r="H49"/>
  <c r="H86"/>
  <c r="H87" s="1"/>
  <c r="I86"/>
  <c r="I26"/>
  <c r="H29"/>
  <c r="I30"/>
  <c r="H32"/>
  <c r="I38"/>
  <c r="H39"/>
  <c r="I40"/>
  <c r="H41"/>
  <c r="I44"/>
  <c r="I46"/>
  <c r="I48"/>
  <c r="I50"/>
  <c r="I53"/>
  <c r="I57"/>
  <c r="I59"/>
  <c r="I63"/>
  <c r="I85"/>
  <c r="I83" i="35"/>
  <c r="I61"/>
  <c r="I72"/>
  <c r="I54"/>
  <c r="I55"/>
  <c r="I57"/>
  <c r="I47"/>
  <c r="I44"/>
  <c r="I46"/>
  <c r="I51"/>
  <c r="I42"/>
  <c r="I48"/>
  <c r="I45"/>
  <c r="I43"/>
  <c r="I50"/>
  <c r="I38"/>
  <c r="I36"/>
  <c r="I39"/>
  <c r="I37"/>
  <c r="I97" i="36" l="1"/>
  <c r="I101" i="37"/>
  <c r="I78" i="35" l="1"/>
  <c r="H85" l="1"/>
  <c r="I84"/>
  <c r="I85" s="1"/>
  <c r="I93" l="1"/>
</calcChain>
</file>

<file path=xl/sharedStrings.xml><?xml version="1.0" encoding="utf-8"?>
<sst xmlns="http://schemas.openxmlformats.org/spreadsheetml/2006/main" count="2751" uniqueCount="296">
  <si>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</si>
  <si>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</si>
  <si>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</si>
  <si>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</si>
  <si>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</si>
  <si>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</si>
  <si>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</si>
  <si>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</si>
  <si>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</si>
  <si>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</si>
  <si>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</si>
  <si>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</si>
  <si>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</si>
  <si>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</si>
  <si>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</si>
  <si>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</si>
  <si>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</si>
  <si>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</si>
  <si>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</si>
  <si>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</si>
  <si>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</si>
  <si>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</si>
  <si>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</si>
  <si>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</si>
  <si>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</si>
  <si>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</si>
  <si>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</si>
  <si>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</si>
  <si>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</si>
  <si>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</si>
  <si>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</si>
  <si>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</si>
  <si>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</si>
  <si>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</si>
  <si>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</si>
  <si>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</si>
  <si>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</si>
  <si>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</si>
  <si>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</si>
  <si>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</si>
  <si>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</si>
  <si>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</si>
  <si>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</si>
  <si>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</si>
  <si>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</si>
  <si>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</si>
  <si>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</si>
  <si>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</si>
  <si>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</si>
  <si>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</si>
  <si>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</si>
  <si>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</si>
  <si>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</si>
  <si>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</si>
  <si>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</si>
  <si>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</si>
  <si>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</si>
  <si>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</si>
  <si>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</si>
  <si>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</si>
  <si>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</si>
  <si>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</si>
  <si>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</si>
  <si>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</si>
  <si>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</si>
  <si>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</si>
  <si>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</si>
  <si>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</si>
  <si>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</si>
  <si>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</si>
  <si>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</si>
  <si>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</si>
  <si>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</si>
  <si>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</si>
  <si>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</si>
  <si>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</si>
  <si>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</si>
  <si>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</si>
  <si>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</si>
  <si>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генеральный директор Куканов Ю.Л.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</si>
  <si>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</si>
  <si>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</si>
  <si>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</si>
  <si>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</si>
  <si>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</si>
  <si>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</si>
  <si>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</si>
  <si>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</si>
  <si>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</si>
  <si>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</si>
  <si>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</si>
  <si>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</si>
  <si>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</si>
  <si>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</si>
  <si>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</si>
  <si>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</si>
  <si>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</si>
  <si>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</si>
  <si>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</si>
  <si>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</si>
  <si>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</si>
  <si>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</si>
  <si>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</si>
  <si>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</si>
  <si>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</si>
  <si>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</si>
  <si>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</si>
  <si>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</si>
  <si>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</si>
  <si>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</si>
  <si>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</si>
  <si>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</si>
  <si>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</si>
  <si>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</si>
  <si>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</si>
  <si>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</si>
  <si>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</si>
  <si>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</si>
  <si>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</si>
  <si>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</si>
  <si>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</si>
  <si>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t>Очистка края кровли от слежавшегося снега со сбрасыванием сосулек (10% от S кровли и козырьки)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</si>
  <si>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</si>
  <si>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</si>
  <si>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№1</t>
  </si>
  <si>
    <t xml:space="preserve"> </t>
  </si>
  <si>
    <t>Очистка  от мусора</t>
  </si>
  <si>
    <t>1 место</t>
  </si>
  <si>
    <t>Работа автовышки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</si>
  <si>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</si>
  <si>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</si>
  <si>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</si>
  <si>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</si>
  <si>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АКТ №2</t>
  </si>
  <si>
    <t>III. Содержание общего имущества МКД</t>
  </si>
  <si>
    <t>IV. Прочие услуги</t>
  </si>
  <si>
    <t>АКТ №10</t>
  </si>
  <si>
    <t>5 раз в год</t>
  </si>
  <si>
    <t>Итого затраты за месяц</t>
  </si>
  <si>
    <t>52 раза за сезон</t>
  </si>
  <si>
    <t>48 раз</t>
  </si>
  <si>
    <t>Сдвигание снега в дни снегопада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</si>
  <si>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</si>
  <si>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</si>
  <si>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</si>
  <si>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</t>
  </si>
  <si>
    <t>Стоимость светодиодного светильника</t>
  </si>
  <si>
    <t>руб.</t>
  </si>
  <si>
    <t>II. Уборка земельного участка</t>
  </si>
  <si>
    <t>по  необходимости</t>
  </si>
  <si>
    <t>АКТ №11</t>
  </si>
  <si>
    <t>Внеплановая проверка вентканалов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</si>
  <si>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</si>
  <si>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</si>
  <si>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>АКТ №3</t>
  </si>
  <si>
    <t>48м2</t>
  </si>
  <si>
    <t>9 ч</t>
  </si>
  <si>
    <t>АКТ №5</t>
  </si>
  <si>
    <t>АКТ №6</t>
  </si>
  <si>
    <t>ООО «Движение»</t>
  </si>
  <si>
    <t>АКТ №7</t>
  </si>
  <si>
    <t>час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</si>
  <si>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</si>
  <si>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№8</t>
  </si>
  <si>
    <t>АКТ №4</t>
  </si>
  <si>
    <t>АКТ №9</t>
  </si>
  <si>
    <t>Герметизация стыков трубопроводов</t>
  </si>
  <si>
    <t>Очистка вручную от снега и наледи люков каналиационных и водопроводных колодцев</t>
  </si>
  <si>
    <t>Осмотр электросетей, армазуры и электрооборудования на лестничных клетках</t>
  </si>
  <si>
    <t>м</t>
  </si>
  <si>
    <t>Переход чугун-пластик 110</t>
  </si>
  <si>
    <t>Муфта 110</t>
  </si>
  <si>
    <t>Патрубок компенсационный 110</t>
  </si>
  <si>
    <t>Манжета 110</t>
  </si>
  <si>
    <t>Организация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</si>
  <si>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</si>
  <si>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</si>
  <si>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</si>
  <si>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</si>
  <si>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</si>
  <si>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</si>
  <si>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</si>
  <si>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1 раз</t>
  </si>
  <si>
    <t xml:space="preserve">1 раз </t>
  </si>
  <si>
    <t xml:space="preserve">1 раз     </t>
  </si>
  <si>
    <t xml:space="preserve">1 раз    </t>
  </si>
  <si>
    <t xml:space="preserve">1 раз   </t>
  </si>
  <si>
    <t>руб</t>
  </si>
  <si>
    <t>Смена ламп ДРЛ</t>
  </si>
  <si>
    <t>под.№5</t>
  </si>
  <si>
    <t>под.№1</t>
  </si>
  <si>
    <t>за период с 01.01.2020 г. по 31.01.2020 г.</t>
  </si>
  <si>
    <t>кв.88</t>
  </si>
  <si>
    <t>2. Всего за период с 01.01.2020 по 31.01.2020 выполнено работ (оказано услуг) на общую сумму: 62797,74  руб.</t>
  </si>
  <si>
    <t>(шестьдесят две тысячи семьсот девяносто семь рублей 74 копейки)</t>
  </si>
  <si>
    <t>за период с 01.02.2020 г. по 29.02.2020 г.</t>
  </si>
  <si>
    <t>21 февраля</t>
  </si>
  <si>
    <t>Смена полипропиленовых канализационных труб ПП Ду 100*2000</t>
  </si>
  <si>
    <t>Смена полипропиленовых канализационных труб ПП Ду 100*1000</t>
  </si>
  <si>
    <t>Ревизия 110</t>
  </si>
  <si>
    <t>Осмотр рулонных кровель</t>
  </si>
  <si>
    <t>Осмотр водопроводов, канализации, отопления</t>
  </si>
  <si>
    <t>100 шт</t>
  </si>
  <si>
    <t>кв.18</t>
  </si>
  <si>
    <t>кв.74</t>
  </si>
  <si>
    <t>2. Всего за период с 01.02.2020 по 29.02.2020 выполнено работ (оказано услуг) на общую сумму: 72034,24 руб.</t>
  </si>
  <si>
    <t>(семьдесят две тысячи тридцать четыре рубля 24 копейки)</t>
  </si>
  <si>
    <t>за период с 01.03.2020 г. по 31.03.2020 г.</t>
  </si>
  <si>
    <t>13 марта</t>
  </si>
  <si>
    <t>25 марта</t>
  </si>
  <si>
    <t>Установка траппов ( под.№2)</t>
  </si>
  <si>
    <t>100 м</t>
  </si>
  <si>
    <t>Установка  скамейки 1 под ( 10.06.2019г)</t>
  </si>
  <si>
    <t>за период с 01.04.2020 г. по 30.04.2020 г.</t>
  </si>
  <si>
    <t>1 шт. под.№1 эт.3</t>
  </si>
  <si>
    <t>2. Всего за период с 01.04.2020 по 30.04.2020 выполнено работ (оказано услуг) на общую сумму: 58616,14 руб.</t>
  </si>
  <si>
    <t>(пятьдесят восемь тысяч шестьсот шестнадцать рублей 14 копеек)</t>
  </si>
  <si>
    <t>за период с 01.05.2020 г. по 31.05.2020 г.</t>
  </si>
  <si>
    <t>кв.47 с/о</t>
  </si>
  <si>
    <t>2. Всего за период с 01.05.2020 по 31.05.2020 выполнено работ (оказано услуг) на общую сумму: 110201,69 руб.</t>
  </si>
  <si>
    <t>(сто десять тысяч двести один рубль 69 копеек )</t>
  </si>
  <si>
    <t>за период с 01.06.2020 г. по 30.06.2020 г.</t>
  </si>
  <si>
    <t>2. Всего за период с 01.06.2020 по 30.06.2020 выполнено работ (оказано услуг) на общую сумму: 57199,33 руб.</t>
  </si>
  <si>
    <t>(пятьдесят семь тысяч сто девяносто девять рублей 33 копейки)</t>
  </si>
  <si>
    <t>ВДГО</t>
  </si>
  <si>
    <t>2. Всего за период с 01.03.2020 по 31.03.2020 выполнено работ (оказано услуг) на общую сумму: 93560,52 руб.</t>
  </si>
  <si>
    <t>(девяносто три тысячи пятьсот шестьдесят рублей 52 копейки)</t>
  </si>
  <si>
    <t>за период с 01.07.2020 г. по 31.07.2020 г.</t>
  </si>
  <si>
    <t>2. Всего за период с 01.07.2020 по 31.07.2020 выполнено работ (оказано услуг) на общую сумму: 158440,24 руб.</t>
  </si>
  <si>
    <t>(сто пятьдесят восемь тысяч четыреста сорок рублей 24 копейки)</t>
  </si>
  <si>
    <t>за период с 01.08.2020 г. по 31.08.2020 г.</t>
  </si>
  <si>
    <t>1 шт</t>
  </si>
  <si>
    <t>Смена ламп накаливания ( без материалов)</t>
  </si>
  <si>
    <t>10шт</t>
  </si>
  <si>
    <t>Смена арматуры - вентилей и клапанов обратных муфтовых диаметром до 20 мм</t>
  </si>
  <si>
    <t>Патрубок компенсационный 50</t>
  </si>
  <si>
    <t>Смена внутренних трубопроводов на полипропиленовые трубы PN20 Dу 25</t>
  </si>
  <si>
    <t>кан. Раструб</t>
  </si>
  <si>
    <t>4 м ХВС с кв.24 по 21 кв.</t>
  </si>
  <si>
    <t>кв.79</t>
  </si>
  <si>
    <t>3 шт. с/о подвал</t>
  </si>
  <si>
    <t>очистка канализационной сети внутреней</t>
  </si>
  <si>
    <t>работа ротенбергера</t>
  </si>
  <si>
    <t>Установка заглушек диаметром трубопроводов до 100 мм</t>
  </si>
  <si>
    <t>заглушка</t>
  </si>
  <si>
    <t>биосорбент</t>
  </si>
  <si>
    <t>кг.</t>
  </si>
  <si>
    <t>поодвл под.№1</t>
  </si>
  <si>
    <t>2. Всего за период с 01.08.2020 по 31.08.2020 выполнено работ (оказано услуг) на общую сумму: 101205,88 руб.</t>
  </si>
  <si>
    <t>(сто одна тысяча двести пять рублей 88 копеек)</t>
  </si>
  <si>
    <t>за период с 01.09.2020 г. по 30.09.2020 г.</t>
  </si>
  <si>
    <t>2м/ч</t>
  </si>
  <si>
    <t>Геметизация стыков железа козырька</t>
  </si>
  <si>
    <t>Открыли/перекрыли  стояк</t>
  </si>
  <si>
    <t>Ремонт рулонной кровли</t>
  </si>
  <si>
    <t>10 м2</t>
  </si>
  <si>
    <t>Изол</t>
  </si>
  <si>
    <t>Битум</t>
  </si>
  <si>
    <t>Пропан</t>
  </si>
  <si>
    <t>30 м2</t>
  </si>
  <si>
    <t>3 шт.</t>
  </si>
  <si>
    <t>1 шт.</t>
  </si>
  <si>
    <t>под.№ 2 и 3 - 2 шт.</t>
  </si>
  <si>
    <t>с/о кв.12 - 1 шт.</t>
  </si>
  <si>
    <t>ХВС кв.58-1 шт.;подвал под под.№1 -2шт.</t>
  </si>
  <si>
    <t>2. Всего за период с 01.09.2020 по 39.08.2020 выполнено работ (оказано услуг) на общую сумму: 101457,19 руб.</t>
  </si>
  <si>
    <t>(сто одна тысяча четыреста пятьдесят семь рублей 19 копеек)</t>
  </si>
  <si>
    <t>за период с 01.10.2020 г. по 31.10.2020 г.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</si>
  <si>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</si>
  <si>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2 раз</t>
  </si>
  <si>
    <t>Смена внутренних трубопроводов на полипропиленовые трубы PN25 Dу 20</t>
  </si>
  <si>
    <t>с/о 1 м кв.4</t>
  </si>
  <si>
    <t>генеральный директор Кочанова И.Л.</t>
  </si>
  <si>
    <t>2. Всего за период с 01.10.2020 по 31.10.2020 выполнено работ (оказано услуг) на общую сумму: 59086,86 руб.</t>
  </si>
  <si>
    <t>(пятьдесят девять тысяч восемьдесят шесть рублей 86 копеек)</t>
  </si>
  <si>
    <t>за период с 01.11.2020 г. по 30.11.2020 г.</t>
  </si>
  <si>
    <t>4 часа</t>
  </si>
  <si>
    <t>Ремонт деревянной обшивки козырька</t>
  </si>
  <si>
    <t>Герметизация межпанельных швов</t>
  </si>
  <si>
    <t>м.п.</t>
  </si>
  <si>
    <t>Перекрытие вентиля</t>
  </si>
  <si>
    <t>17 м.п. кв.10</t>
  </si>
  <si>
    <t>под.№2</t>
  </si>
  <si>
    <t>2. Всего за период с 01.11.2020 по 30.11.2020 выполнено работ (оказано услуг) на общую сумму: 103324,61 руб.</t>
  </si>
  <si>
    <t>(сто три тысячи триста двадцать четыре рубля 61 копейка)</t>
  </si>
  <si>
    <t>за период с 01.12.2020 г. по 31.12.2020 г.</t>
  </si>
  <si>
    <t>1,3 ч ( 18,21,28 дек)</t>
  </si>
  <si>
    <t>1 шт. под. №1</t>
  </si>
  <si>
    <t>Ремонт и регулировка доводчика (без стоимости доводчика)</t>
  </si>
  <si>
    <t>1шт.</t>
  </si>
  <si>
    <t>Осмотр козырька</t>
  </si>
  <si>
    <t>Смена светодиодных светильников над подъездом № 1</t>
  </si>
  <si>
    <t>под.№ 6</t>
  </si>
  <si>
    <t>кв.61 п/с</t>
  </si>
  <si>
    <t>2. Всего за период с 01.12.2020 по 31.12.2020 выполнено работ (оказано услуг) на общую сумму: 79150,25 руб.</t>
  </si>
  <si>
    <t>(семьдесят девять тысяч сто пятьдесят рублей 25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</si>
</sst>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1" fillId="0" borderId="0" xfId="0" applyFont="1" applyFill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20" fillId="2" borderId="9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opLeftCell="A60" workbookViewId="0">
      <selection activeCell="B123" sqref="B12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124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191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>
        <v>43861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  <c r="J26" s="45"/>
    </row>
    <row r="27" spans="1:10" s="44" customFormat="1" ht="15.75" hidden="1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95</v>
      </c>
      <c r="C28" s="86" t="s">
        <v>96</v>
      </c>
      <c r="D28" s="85" t="s">
        <v>97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129</v>
      </c>
      <c r="C29" s="86" t="s">
        <v>96</v>
      </c>
      <c r="D29" s="85" t="s">
        <v>139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98</v>
      </c>
      <c r="C31" s="86" t="s">
        <v>38</v>
      </c>
      <c r="D31" s="85" t="s">
        <v>140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99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7" t="s">
        <v>5</v>
      </c>
      <c r="C35" s="86"/>
      <c r="D35" s="85"/>
      <c r="E35" s="87"/>
      <c r="F35" s="88"/>
      <c r="G35" s="88"/>
      <c r="H35" s="89" t="s">
        <v>125</v>
      </c>
      <c r="I35" s="12"/>
      <c r="J35" s="45"/>
    </row>
    <row r="36" spans="1:14" s="44" customFormat="1" ht="15.75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G36*0.6</f>
        <v>1201.8</v>
      </c>
      <c r="J36" s="45"/>
    </row>
    <row r="37" spans="1:14" s="44" customFormat="1" ht="15.75" customHeight="1">
      <c r="A37" s="24">
        <v>6</v>
      </c>
      <c r="B37" s="94" t="s">
        <v>141</v>
      </c>
      <c r="C37" s="95" t="s">
        <v>29</v>
      </c>
      <c r="D37" s="85" t="s">
        <v>179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  <c r="J37" s="45"/>
    </row>
    <row r="38" spans="1:14" s="44" customFormat="1" ht="15.75" customHeight="1">
      <c r="A38" s="24">
        <v>7</v>
      </c>
      <c r="B38" s="85" t="s">
        <v>64</v>
      </c>
      <c r="C38" s="86" t="s">
        <v>29</v>
      </c>
      <c r="D38" s="85" t="s">
        <v>180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  <c r="J38" s="45"/>
    </row>
    <row r="39" spans="1:14" s="44" customFormat="1" ht="47.25" customHeight="1">
      <c r="A39" s="24">
        <v>8</v>
      </c>
      <c r="B39" s="85" t="s">
        <v>77</v>
      </c>
      <c r="C39" s="86" t="s">
        <v>96</v>
      </c>
      <c r="D39" s="85" t="s">
        <v>179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  <c r="J39" s="45"/>
    </row>
    <row r="40" spans="1:14" s="44" customFormat="1" ht="15.75" hidden="1" customHeight="1">
      <c r="A40" s="24">
        <v>9</v>
      </c>
      <c r="B40" s="85" t="s">
        <v>103</v>
      </c>
      <c r="C40" s="86" t="s">
        <v>96</v>
      </c>
      <c r="D40" s="85" t="s">
        <v>181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F40/7.5*G40</f>
        <v>150.59304</v>
      </c>
      <c r="J40" s="45"/>
    </row>
    <row r="41" spans="1:14" s="44" customFormat="1" ht="15.75" hidden="1" customHeight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F41/7.5*G41</f>
        <v>116.97960000000002</v>
      </c>
      <c r="J41" s="45"/>
    </row>
    <row r="42" spans="1:14" s="44" customFormat="1" ht="15.75" customHeight="1">
      <c r="A42" s="212" t="s">
        <v>130</v>
      </c>
      <c r="B42" s="213"/>
      <c r="C42" s="213"/>
      <c r="D42" s="213"/>
      <c r="E42" s="213"/>
      <c r="F42" s="213"/>
      <c r="G42" s="213"/>
      <c r="H42" s="213"/>
      <c r="I42" s="214"/>
      <c r="J42" s="45"/>
    </row>
    <row r="43" spans="1:14" s="44" customFormat="1" ht="15.75" hidden="1" customHeight="1">
      <c r="A43" s="24">
        <v>8</v>
      </c>
      <c r="B43" s="85" t="s">
        <v>104</v>
      </c>
      <c r="C43" s="86" t="s">
        <v>96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96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96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96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  <c r="J46" s="45"/>
      <c r="L46" s="17"/>
      <c r="M46" s="18"/>
      <c r="N46" s="26"/>
    </row>
    <row r="47" spans="1:14" s="44" customFormat="1" ht="15.75" customHeight="1">
      <c r="A47" s="24">
        <v>9</v>
      </c>
      <c r="B47" s="85" t="s">
        <v>53</v>
      </c>
      <c r="C47" s="86" t="s">
        <v>96</v>
      </c>
      <c r="D47" s="85" t="s">
        <v>182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105</v>
      </c>
      <c r="C48" s="86" t="s">
        <v>96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106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107</v>
      </c>
      <c r="C51" s="86" t="s">
        <v>82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82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212" t="s">
        <v>131</v>
      </c>
      <c r="B53" s="213"/>
      <c r="C53" s="213"/>
      <c r="D53" s="213"/>
      <c r="E53" s="213"/>
      <c r="F53" s="213"/>
      <c r="G53" s="213"/>
      <c r="H53" s="213"/>
      <c r="I53" s="214"/>
      <c r="J53" s="45"/>
      <c r="L53" s="17"/>
      <c r="M53" s="18"/>
      <c r="N53" s="26"/>
    </row>
    <row r="54" spans="1:14" s="44" customFormat="1" ht="15.75" hidden="1" customHeight="1">
      <c r="A54" s="24"/>
      <c r="B54" s="118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hidden="1" customHeight="1">
      <c r="A55" s="24">
        <v>12</v>
      </c>
      <c r="B55" s="85" t="s">
        <v>121</v>
      </c>
      <c r="C55" s="86" t="s">
        <v>86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G55*0.426</f>
        <v>864.48179999999991</v>
      </c>
      <c r="J55" s="45"/>
      <c r="L55" s="17"/>
      <c r="M55" s="18"/>
      <c r="N55" s="26"/>
    </row>
    <row r="56" spans="1:14" s="44" customFormat="1" ht="31.5" hidden="1" customHeight="1">
      <c r="A56" s="24">
        <v>13</v>
      </c>
      <c r="B56" s="85" t="s">
        <v>80</v>
      </c>
      <c r="C56" s="86" t="s">
        <v>86</v>
      </c>
      <c r="D56" s="85" t="s">
        <v>81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109</v>
      </c>
      <c r="C57" s="99" t="s">
        <v>110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hidden="1" customHeight="1">
      <c r="A58" s="24">
        <v>13</v>
      </c>
      <c r="B58" s="85" t="s">
        <v>111</v>
      </c>
      <c r="C58" s="86" t="s">
        <v>86</v>
      </c>
      <c r="D58" s="85" t="s">
        <v>182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128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19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5.75" hidden="1" customHeight="1">
      <c r="A61" s="24">
        <v>14</v>
      </c>
      <c r="B61" s="98" t="s">
        <v>126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  <c r="J61" s="45"/>
      <c r="L61" s="17"/>
      <c r="M61" s="18"/>
      <c r="N61" s="26"/>
    </row>
    <row r="62" spans="1:14" s="44" customFormat="1" ht="15.75" customHeight="1">
      <c r="A62" s="24">
        <v>10</v>
      </c>
      <c r="B62" s="47" t="s">
        <v>83</v>
      </c>
      <c r="C62" s="48" t="s">
        <v>25</v>
      </c>
      <c r="D62" s="47" t="s">
        <v>183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customHeight="1">
      <c r="A63" s="24"/>
      <c r="B63" s="120" t="s">
        <v>43</v>
      </c>
      <c r="C63" s="99"/>
      <c r="D63" s="98"/>
      <c r="E63" s="100"/>
      <c r="F63" s="103"/>
      <c r="G63" s="103"/>
      <c r="H63" s="101" t="s">
        <v>125</v>
      </c>
      <c r="I63" s="12"/>
      <c r="J63" s="45"/>
      <c r="L63" s="17"/>
    </row>
    <row r="64" spans="1:14" s="44" customFormat="1" ht="17.25" customHeight="1">
      <c r="A64" s="24">
        <v>11</v>
      </c>
      <c r="B64" s="105" t="s">
        <v>44</v>
      </c>
      <c r="C64" s="106" t="s">
        <v>82</v>
      </c>
      <c r="D64" s="30" t="s">
        <v>177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f>G64*1</f>
        <v>291.68</v>
      </c>
    </row>
    <row r="65" spans="1:22" s="44" customFormat="1" ht="16.5" hidden="1" customHeight="1">
      <c r="A65" s="61"/>
      <c r="B65" s="105" t="s">
        <v>45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22" s="44" customFormat="1" ht="18" hidden="1" customHeight="1">
      <c r="A66" s="24">
        <v>22</v>
      </c>
      <c r="B66" s="105" t="s">
        <v>46</v>
      </c>
      <c r="C66" s="107" t="s">
        <v>112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8.75" hidden="1" customHeight="1">
      <c r="A67" s="62"/>
      <c r="B67" s="105" t="s">
        <v>47</v>
      </c>
      <c r="C67" s="106" t="s">
        <v>113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8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9.5" hidden="1" customHeight="1">
      <c r="A69" s="24"/>
      <c r="B69" s="108" t="s">
        <v>114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89"/>
      <c r="S69" s="189"/>
      <c r="T69" s="189"/>
      <c r="U69" s="189"/>
    </row>
    <row r="70" spans="1:22" s="44" customFormat="1" ht="16.5" hidden="1" customHeight="1">
      <c r="A70" s="24">
        <v>19</v>
      </c>
      <c r="B70" s="108" t="s">
        <v>115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22" s="44" customFormat="1" ht="15.75" customHeight="1">
      <c r="A72" s="24"/>
      <c r="B72" s="121" t="s">
        <v>142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12</v>
      </c>
      <c r="B73" s="30" t="s">
        <v>143</v>
      </c>
      <c r="C73" s="109" t="s">
        <v>144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1" t="s">
        <v>67</v>
      </c>
      <c r="C74" s="106"/>
      <c r="D74" s="30"/>
      <c r="E74" s="15"/>
      <c r="F74" s="29"/>
      <c r="G74" s="29"/>
      <c r="H74" s="75" t="s">
        <v>125</v>
      </c>
      <c r="I74" s="12"/>
    </row>
    <row r="75" spans="1:22" s="44" customFormat="1" ht="15.75" hidden="1" customHeight="1">
      <c r="A75" s="24">
        <v>20</v>
      </c>
      <c r="B75" s="30" t="s">
        <v>145</v>
      </c>
      <c r="C75" s="106" t="s">
        <v>30</v>
      </c>
      <c r="D75" s="30" t="s">
        <v>63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146</v>
      </c>
      <c r="C76" s="106" t="s">
        <v>147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2" t="s">
        <v>71</v>
      </c>
      <c r="C79" s="106"/>
      <c r="D79" s="30"/>
      <c r="E79" s="15"/>
      <c r="F79" s="29"/>
      <c r="G79" s="29" t="s">
        <v>125</v>
      </c>
      <c r="H79" s="75" t="s">
        <v>125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118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s="44" customFormat="1" ht="15.75" hidden="1" customHeight="1">
      <c r="A81" s="24"/>
      <c r="B81" s="79" t="s">
        <v>116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117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02" t="s">
        <v>132</v>
      </c>
      <c r="B83" s="203"/>
      <c r="C83" s="203"/>
      <c r="D83" s="203"/>
      <c r="E83" s="203"/>
      <c r="F83" s="203"/>
      <c r="G83" s="203"/>
      <c r="H83" s="203"/>
      <c r="I83" s="204"/>
    </row>
    <row r="84" spans="1:9" s="44" customFormat="1" ht="15.75" customHeight="1">
      <c r="A84" s="61">
        <v>13</v>
      </c>
      <c r="B84" s="85" t="s">
        <v>119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14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75</v>
      </c>
      <c r="C86" s="57"/>
      <c r="D86" s="56"/>
      <c r="E86" s="46"/>
      <c r="F86" s="46"/>
      <c r="G86" s="46"/>
      <c r="H86" s="58">
        <f>H85</f>
        <v>165.102</v>
      </c>
      <c r="I86" s="46">
        <f>I85+I84+I73+I64+I62+I47+I39+I38+I37+I36+I25+I18+I17+I16</f>
        <v>62543.949355000012</v>
      </c>
    </row>
    <row r="87" spans="1:9" s="44" customFormat="1" ht="15.75" customHeight="1">
      <c r="A87" s="191" t="s">
        <v>57</v>
      </c>
      <c r="B87" s="192"/>
      <c r="C87" s="192"/>
      <c r="D87" s="192"/>
      <c r="E87" s="192"/>
      <c r="F87" s="192"/>
      <c r="G87" s="192"/>
      <c r="H87" s="192"/>
      <c r="I87" s="193"/>
    </row>
    <row r="88" spans="1:9" s="44" customFormat="1" ht="33.75" customHeight="1">
      <c r="A88" s="24">
        <v>15</v>
      </c>
      <c r="B88" s="77" t="s">
        <v>167</v>
      </c>
      <c r="C88" s="78" t="s">
        <v>29</v>
      </c>
      <c r="D88" s="13"/>
      <c r="E88" s="16"/>
      <c r="F88" s="12">
        <v>31</v>
      </c>
      <c r="G88" s="143">
        <v>20547.34</v>
      </c>
      <c r="H88" s="54">
        <f>G88*F88/1000</f>
        <v>636.96753999999999</v>
      </c>
      <c r="I88" s="59">
        <f>G88*10*0.599/1000</f>
        <v>123.07856659999999</v>
      </c>
    </row>
    <row r="89" spans="1:9" s="44" customFormat="1" ht="30" customHeight="1">
      <c r="A89" s="24">
        <v>16</v>
      </c>
      <c r="B89" s="77" t="s">
        <v>168</v>
      </c>
      <c r="C89" s="78" t="s">
        <v>36</v>
      </c>
      <c r="D89" s="30"/>
      <c r="E89" s="15"/>
      <c r="F89" s="29">
        <v>0.01</v>
      </c>
      <c r="G89" s="29">
        <v>4070.89</v>
      </c>
      <c r="H89" s="54">
        <f t="shared" ref="H89:H90" si="12">G89*F89/1000</f>
        <v>4.0708899999999999E-2</v>
      </c>
      <c r="I89" s="12">
        <f>G89*0.01</f>
        <v>40.7089</v>
      </c>
    </row>
    <row r="90" spans="1:9" s="44" customFormat="1" ht="15" customHeight="1">
      <c r="A90" s="24">
        <v>17</v>
      </c>
      <c r="B90" s="77" t="s">
        <v>151</v>
      </c>
      <c r="C90" s="78" t="s">
        <v>82</v>
      </c>
      <c r="D90" s="30" t="s">
        <v>192</v>
      </c>
      <c r="E90" s="15"/>
      <c r="F90" s="29">
        <v>1</v>
      </c>
      <c r="G90" s="29">
        <v>90</v>
      </c>
      <c r="H90" s="54">
        <f t="shared" si="12"/>
        <v>0.09</v>
      </c>
      <c r="I90" s="12">
        <f>G90*1</f>
        <v>90</v>
      </c>
    </row>
    <row r="91" spans="1:9" ht="15.75" customHeight="1">
      <c r="A91" s="24"/>
      <c r="B91" s="60" t="s">
        <v>49</v>
      </c>
      <c r="C91" s="32"/>
      <c r="D91" s="38"/>
      <c r="E91" s="32">
        <v>1</v>
      </c>
      <c r="F91" s="32"/>
      <c r="G91" s="32"/>
      <c r="H91" s="32"/>
      <c r="I91" s="27">
        <f>SUM(I88:I90)</f>
        <v>253.78746659999999</v>
      </c>
    </row>
    <row r="92" spans="1:9" ht="15.75" customHeight="1">
      <c r="A92" s="24"/>
      <c r="B92" s="37" t="s">
        <v>74</v>
      </c>
      <c r="C92" s="14"/>
      <c r="D92" s="14"/>
      <c r="E92" s="33"/>
      <c r="F92" s="33"/>
      <c r="G92" s="34"/>
      <c r="H92" s="34"/>
      <c r="I92" s="15">
        <v>0</v>
      </c>
    </row>
    <row r="93" spans="1:9">
      <c r="A93" s="39"/>
      <c r="B93" s="36" t="s">
        <v>138</v>
      </c>
      <c r="C93" s="28"/>
      <c r="D93" s="28"/>
      <c r="E93" s="28"/>
      <c r="F93" s="28"/>
      <c r="G93" s="28"/>
      <c r="H93" s="28"/>
      <c r="I93" s="35">
        <f>I86+I91</f>
        <v>62797.73682160001</v>
      </c>
    </row>
    <row r="94" spans="1:9" ht="15.75">
      <c r="A94" s="194" t="s">
        <v>193</v>
      </c>
      <c r="B94" s="194"/>
      <c r="C94" s="194"/>
      <c r="D94" s="194"/>
      <c r="E94" s="194"/>
      <c r="F94" s="194"/>
      <c r="G94" s="194"/>
      <c r="H94" s="194"/>
      <c r="I94" s="194"/>
    </row>
    <row r="95" spans="1:9" ht="15.75">
      <c r="A95" s="68"/>
      <c r="B95" s="195" t="s">
        <v>194</v>
      </c>
      <c r="C95" s="195"/>
      <c r="D95" s="195"/>
      <c r="E95" s="195"/>
      <c r="F95" s="195"/>
      <c r="G95" s="195"/>
      <c r="H95" s="43"/>
      <c r="I95" s="3"/>
    </row>
    <row r="96" spans="1:9" ht="15.75" customHeight="1">
      <c r="A96" s="84"/>
      <c r="B96" s="196" t="s">
        <v>6</v>
      </c>
      <c r="C96" s="196"/>
      <c r="D96" s="196"/>
      <c r="E96" s="196"/>
      <c r="F96" s="196"/>
      <c r="G96" s="196"/>
      <c r="H96" s="19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97" t="s">
        <v>7</v>
      </c>
      <c r="B98" s="197"/>
      <c r="C98" s="197"/>
      <c r="D98" s="197"/>
      <c r="E98" s="197"/>
      <c r="F98" s="197"/>
      <c r="G98" s="197"/>
      <c r="H98" s="197"/>
      <c r="I98" s="197"/>
    </row>
    <row r="99" spans="1:9" ht="15.75">
      <c r="A99" s="197" t="s">
        <v>8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 customHeight="1">
      <c r="A100" s="198" t="s">
        <v>58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>
      <c r="A101" s="10"/>
    </row>
    <row r="102" spans="1:9" ht="15.75">
      <c r="A102" s="199" t="s">
        <v>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4"/>
    </row>
    <row r="104" spans="1:9" ht="15.75">
      <c r="B104" s="81" t="s">
        <v>10</v>
      </c>
      <c r="C104" s="200" t="s">
        <v>79</v>
      </c>
      <c r="D104" s="200"/>
      <c r="E104" s="200"/>
      <c r="F104" s="41"/>
      <c r="I104" s="83"/>
    </row>
    <row r="105" spans="1:9">
      <c r="A105" s="84"/>
      <c r="C105" s="196" t="s">
        <v>11</v>
      </c>
      <c r="D105" s="196"/>
      <c r="E105" s="196"/>
      <c r="F105" s="19"/>
      <c r="I105" s="82" t="s">
        <v>12</v>
      </c>
    </row>
    <row r="106" spans="1:9" ht="15.75">
      <c r="A106" s="20"/>
      <c r="C106" s="11"/>
      <c r="D106" s="11"/>
      <c r="G106" s="11"/>
      <c r="H106" s="11"/>
    </row>
    <row r="107" spans="1:9" ht="15.75">
      <c r="B107" s="81" t="s">
        <v>13</v>
      </c>
      <c r="C107" s="201"/>
      <c r="D107" s="201"/>
      <c r="E107" s="201"/>
      <c r="F107" s="42"/>
      <c r="I107" s="83"/>
    </row>
    <row r="108" spans="1:9">
      <c r="A108" s="84"/>
      <c r="C108" s="190" t="s">
        <v>11</v>
      </c>
      <c r="D108" s="190"/>
      <c r="E108" s="190"/>
      <c r="F108" s="84"/>
      <c r="I108" s="82" t="s">
        <v>12</v>
      </c>
    </row>
    <row r="109" spans="1:9" ht="15.75">
      <c r="A109" s="4" t="s">
        <v>14</v>
      </c>
    </row>
    <row r="110" spans="1:9" ht="15" customHeight="1">
      <c r="A110" s="187" t="s">
        <v>15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45" customHeight="1">
      <c r="A111" s="188" t="s">
        <v>16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30" customHeight="1">
      <c r="A112" s="188" t="s">
        <v>17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30" customHeight="1">
      <c r="A113" s="188" t="s">
        <v>21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" customHeight="1">
      <c r="A114" s="188" t="s">
        <v>20</v>
      </c>
      <c r="B114" s="188"/>
      <c r="C114" s="188"/>
      <c r="D114" s="188"/>
      <c r="E114" s="188"/>
      <c r="F114" s="188"/>
      <c r="G114" s="188"/>
      <c r="H114" s="188"/>
      <c r="I114" s="188"/>
    </row>
  </sheetData>
  <autoFilter ref="I12:I64"/>
  <mergeCells count="29">
    <mergeCell ref="A14:I14"/>
    <mergeCell ref="A15:I15"/>
    <mergeCell ref="A26:I26"/>
    <mergeCell ref="A42:I42"/>
    <mergeCell ref="A53:I53"/>
    <mergeCell ref="A3:I3"/>
    <mergeCell ref="A4:I4"/>
    <mergeCell ref="A5:I5"/>
    <mergeCell ref="A8:I8"/>
    <mergeCell ref="A10:I10"/>
    <mergeCell ref="R69:U69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10" sqref="A10:I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136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267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25">
        <v>44135</v>
      </c>
      <c r="J6" s="2"/>
      <c r="K6" s="2"/>
      <c r="L6" s="2"/>
      <c r="M6" s="2"/>
    </row>
    <row r="7" spans="1:13" ht="15.75">
      <c r="B7" s="64"/>
      <c r="C7" s="64"/>
      <c r="D7" s="6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268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  <c r="J26" s="45"/>
    </row>
    <row r="27" spans="1:10" s="44" customFormat="1" ht="15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customHeight="1">
      <c r="A28" s="24">
        <v>5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  <c r="J28" s="45"/>
    </row>
    <row r="29" spans="1:10" s="44" customFormat="1" ht="15.75" customHeight="1">
      <c r="A29" s="24">
        <v>6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  <c r="J30" s="45"/>
    </row>
    <row r="31" spans="1:10" s="44" customFormat="1" ht="15.75" customHeight="1">
      <c r="A31" s="24">
        <v>7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  <c r="J31" s="45"/>
    </row>
    <row r="32" spans="1:10" s="44" customFormat="1" ht="15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  <c r="J32" s="45"/>
    </row>
    <row r="33" spans="1:14" s="44" customFormat="1" ht="15.75" hidden="1" customHeight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  <c r="J33" s="45"/>
    </row>
    <row r="34" spans="1:14" s="44" customFormat="1" ht="15.75" hidden="1" customHeight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  <c r="J34" s="45"/>
    </row>
    <row r="35" spans="1:14" s="44" customFormat="1" ht="15.75" hidden="1" customHeight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40" si="7">F35/6*G35</f>
        <v>1669.1666666666667</v>
      </c>
      <c r="J35" s="45"/>
    </row>
    <row r="36" spans="1:14" s="44" customFormat="1" ht="15.75" hidden="1" customHeight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  <c r="J36" s="45"/>
    </row>
    <row r="37" spans="1:14" s="44" customFormat="1" ht="15.75" hidden="1" customHeight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  <c r="J37" s="45"/>
    </row>
    <row r="38" spans="1:14" s="44" customFormat="1" ht="47.25" hidden="1" customHeight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  <c r="J38" s="45"/>
    </row>
    <row r="39" spans="1:14" s="44" customFormat="1" ht="15.75" hidden="1" customHeight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 t="shared" si="7"/>
        <v>188.24130000000002</v>
      </c>
      <c r="J39" s="45"/>
    </row>
    <row r="40" spans="1:14" s="44" customFormat="1" ht="15.75" hidden="1" customHeight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 t="shared" si="7"/>
        <v>146.22450000000001</v>
      </c>
      <c r="J40" s="45"/>
    </row>
    <row r="41" spans="1:14" s="44" customFormat="1" ht="22.5" hidden="1" customHeight="1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  <c r="J41" s="45"/>
    </row>
    <row r="42" spans="1:14" s="44" customFormat="1" ht="28.5" hidden="1" customHeight="1">
      <c r="A42" s="24">
        <v>8</v>
      </c>
      <c r="B42" s="85" t="s">
        <v>104</v>
      </c>
      <c r="C42" s="86" t="s">
        <v>96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  <c r="J42" s="45"/>
    </row>
    <row r="43" spans="1:14" s="44" customFormat="1" ht="27" hidden="1" customHeight="1">
      <c r="A43" s="24"/>
      <c r="B43" s="85" t="s">
        <v>33</v>
      </c>
      <c r="C43" s="86" t="s">
        <v>96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  <c r="J43" s="45"/>
      <c r="L43" s="17"/>
      <c r="M43" s="18"/>
      <c r="N43" s="26"/>
    </row>
    <row r="44" spans="1:14" s="44" customFormat="1" ht="28.5" hidden="1" customHeight="1">
      <c r="A44" s="24">
        <v>9</v>
      </c>
      <c r="B44" s="85" t="s">
        <v>34</v>
      </c>
      <c r="C44" s="86" t="s">
        <v>96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  <c r="J44" s="45"/>
      <c r="L44" s="17"/>
      <c r="M44" s="18"/>
      <c r="N44" s="26"/>
    </row>
    <row r="45" spans="1:14" s="44" customFormat="1" ht="26.25" hidden="1" customHeight="1">
      <c r="A45" s="24">
        <v>10</v>
      </c>
      <c r="B45" s="85" t="s">
        <v>35</v>
      </c>
      <c r="C45" s="86" t="s">
        <v>96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  <c r="J45" s="45"/>
      <c r="L45" s="17"/>
      <c r="M45" s="18"/>
      <c r="N45" s="26"/>
    </row>
    <row r="46" spans="1:14" s="44" customFormat="1" ht="27" hidden="1" customHeight="1">
      <c r="A46" s="24">
        <v>11</v>
      </c>
      <c r="B46" s="85" t="s">
        <v>53</v>
      </c>
      <c r="C46" s="86" t="s">
        <v>96</v>
      </c>
      <c r="D46" s="85" t="s">
        <v>137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  <c r="J46" s="45"/>
      <c r="L46" s="17"/>
      <c r="M46" s="18"/>
      <c r="N46" s="26"/>
    </row>
    <row r="47" spans="1:14" s="44" customFormat="1" ht="36.75" hidden="1" customHeight="1">
      <c r="A47" s="24">
        <v>10</v>
      </c>
      <c r="B47" s="85" t="s">
        <v>105</v>
      </c>
      <c r="C47" s="86" t="s">
        <v>96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  <c r="J47" s="45"/>
      <c r="L47" s="17"/>
      <c r="M47" s="18"/>
      <c r="N47" s="26"/>
    </row>
    <row r="48" spans="1:14" s="44" customFormat="1" ht="30" hidden="1" customHeight="1">
      <c r="A48" s="24">
        <v>11</v>
      </c>
      <c r="B48" s="85" t="s">
        <v>106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  <c r="J48" s="45"/>
      <c r="L48" s="17"/>
      <c r="M48" s="18"/>
      <c r="N48" s="26"/>
    </row>
    <row r="49" spans="1:14" s="44" customFormat="1" ht="18.75" hidden="1" customHeight="1">
      <c r="A49" s="24">
        <v>12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  <c r="J49" s="45"/>
      <c r="L49" s="17"/>
      <c r="M49" s="18"/>
      <c r="N49" s="26"/>
    </row>
    <row r="50" spans="1:14" s="44" customFormat="1" ht="25.5" hidden="1" customHeight="1">
      <c r="A50" s="24">
        <v>14</v>
      </c>
      <c r="B50" s="85" t="s">
        <v>107</v>
      </c>
      <c r="C50" s="86" t="s">
        <v>82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  <c r="J50" s="45"/>
      <c r="L50" s="17"/>
      <c r="M50" s="18"/>
      <c r="N50" s="26"/>
    </row>
    <row r="51" spans="1:14" s="44" customFormat="1" ht="23.25" hidden="1" customHeight="1">
      <c r="A51" s="24">
        <v>15</v>
      </c>
      <c r="B51" s="85" t="s">
        <v>39</v>
      </c>
      <c r="C51" s="86" t="s">
        <v>82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  <c r="J51" s="45"/>
      <c r="L51" s="17"/>
      <c r="M51" s="18"/>
      <c r="N51" s="26"/>
    </row>
    <row r="52" spans="1:14" s="44" customFormat="1" ht="15.75" customHeight="1">
      <c r="A52" s="212" t="s">
        <v>134</v>
      </c>
      <c r="B52" s="213"/>
      <c r="C52" s="213"/>
      <c r="D52" s="213"/>
      <c r="E52" s="213"/>
      <c r="F52" s="213"/>
      <c r="G52" s="213"/>
      <c r="H52" s="213"/>
      <c r="I52" s="214"/>
      <c r="J52" s="45"/>
      <c r="L52" s="17"/>
      <c r="M52" s="18"/>
      <c r="N52" s="26"/>
    </row>
    <row r="53" spans="1:14" s="44" customFormat="1" ht="15.75" hidden="1" customHeight="1">
      <c r="A53" s="24"/>
      <c r="B53" s="118" t="s">
        <v>41</v>
      </c>
      <c r="C53" s="86"/>
      <c r="D53" s="85"/>
      <c r="E53" s="87"/>
      <c r="F53" s="88"/>
      <c r="G53" s="88"/>
      <c r="H53" s="89"/>
      <c r="I53" s="12"/>
      <c r="J53" s="45"/>
      <c r="L53" s="17"/>
      <c r="M53" s="18"/>
      <c r="N53" s="26"/>
    </row>
    <row r="54" spans="1:14" s="44" customFormat="1" ht="31.5" hidden="1" customHeight="1">
      <c r="A54" s="24">
        <v>18</v>
      </c>
      <c r="B54" s="85" t="s">
        <v>121</v>
      </c>
      <c r="C54" s="86" t="s">
        <v>86</v>
      </c>
      <c r="D54" s="85" t="s">
        <v>108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F54/6*G54</f>
        <v>620.96580000000006</v>
      </c>
      <c r="J54" s="45"/>
      <c r="L54" s="17"/>
      <c r="M54" s="18"/>
      <c r="N54" s="26"/>
    </row>
    <row r="55" spans="1:14" s="44" customFormat="1" ht="31.5" hidden="1" customHeight="1">
      <c r="A55" s="24">
        <v>19</v>
      </c>
      <c r="B55" s="85" t="s">
        <v>80</v>
      </c>
      <c r="C55" s="86" t="s">
        <v>86</v>
      </c>
      <c r="D55" s="85" t="s">
        <v>81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  <c r="J55" s="45"/>
      <c r="L55" s="17"/>
      <c r="M55" s="18"/>
      <c r="N55" s="26"/>
    </row>
    <row r="56" spans="1:14" s="44" customFormat="1" ht="15.75" hidden="1" customHeight="1">
      <c r="A56" s="24">
        <v>20</v>
      </c>
      <c r="B56" s="98" t="s">
        <v>109</v>
      </c>
      <c r="C56" s="99" t="s">
        <v>110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  <c r="J56" s="45"/>
      <c r="L56" s="17"/>
      <c r="M56" s="18"/>
      <c r="N56" s="26"/>
    </row>
    <row r="57" spans="1:14" s="44" customFormat="1" ht="15.75" hidden="1" customHeight="1">
      <c r="A57" s="24">
        <v>21</v>
      </c>
      <c r="B57" s="85" t="s">
        <v>111</v>
      </c>
      <c r="C57" s="86" t="s">
        <v>86</v>
      </c>
      <c r="D57" s="85" t="s">
        <v>108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  <c r="J57" s="45"/>
      <c r="L57" s="17"/>
      <c r="M57" s="18"/>
      <c r="N57" s="26"/>
    </row>
    <row r="58" spans="1:14" s="44" customFormat="1" ht="15.75" hidden="1" customHeight="1">
      <c r="A58" s="24"/>
      <c r="B58" s="98" t="s">
        <v>128</v>
      </c>
      <c r="C58" s="99" t="s">
        <v>31</v>
      </c>
      <c r="D58" s="98" t="s">
        <v>63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  <c r="J59" s="45"/>
      <c r="L59" s="17"/>
      <c r="M59" s="18"/>
      <c r="N59" s="26"/>
    </row>
    <row r="60" spans="1:14" s="44" customFormat="1" ht="15.75" hidden="1" customHeight="1">
      <c r="A60" s="24">
        <v>14</v>
      </c>
      <c r="B60" s="98" t="s">
        <v>126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>
        <v>8</v>
      </c>
      <c r="B61" s="98" t="s">
        <v>83</v>
      </c>
      <c r="C61" s="99" t="s">
        <v>25</v>
      </c>
      <c r="D61" s="98" t="s">
        <v>182</v>
      </c>
      <c r="E61" s="100">
        <v>203.5</v>
      </c>
      <c r="F61" s="103">
        <v>2400</v>
      </c>
      <c r="G61" s="104">
        <v>1.4</v>
      </c>
      <c r="H61" s="101">
        <f>F61*G61/1000</f>
        <v>3.36</v>
      </c>
      <c r="I61" s="12">
        <f>F61/12*G61</f>
        <v>280</v>
      </c>
      <c r="J61" s="45"/>
      <c r="L61" s="17"/>
    </row>
    <row r="62" spans="1:14" s="44" customFormat="1" ht="15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125</v>
      </c>
      <c r="I62" s="12"/>
      <c r="J62" s="45"/>
      <c r="L62" s="17"/>
    </row>
    <row r="63" spans="1:14" s="44" customFormat="1" ht="16.5" customHeight="1">
      <c r="A63" s="24">
        <v>9</v>
      </c>
      <c r="B63" s="105" t="s">
        <v>44</v>
      </c>
      <c r="C63" s="106" t="s">
        <v>82</v>
      </c>
      <c r="D63" s="30" t="s">
        <v>269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G63*2</f>
        <v>583.36</v>
      </c>
    </row>
    <row r="64" spans="1:14" s="44" customFormat="1" ht="13.5" hidden="1" customHeight="1">
      <c r="A64" s="61"/>
      <c r="B64" s="105" t="s">
        <v>45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22" s="44" customFormat="1" ht="15.75" hidden="1" customHeight="1">
      <c r="A65" s="24">
        <v>22</v>
      </c>
      <c r="B65" s="105" t="s">
        <v>46</v>
      </c>
      <c r="C65" s="107" t="s">
        <v>112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v>0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 s="44" customFormat="1" ht="18.75" hidden="1" customHeight="1">
      <c r="A66" s="62"/>
      <c r="B66" s="105" t="s">
        <v>47</v>
      </c>
      <c r="C66" s="106" t="s">
        <v>113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v>0</v>
      </c>
      <c r="J66" s="53"/>
      <c r="K66" s="53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2" s="44" customFormat="1" ht="23.25" hidden="1" customHeight="1">
      <c r="A67" s="24">
        <v>23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S67" s="51"/>
      <c r="T67" s="51"/>
      <c r="U67" s="51"/>
    </row>
    <row r="68" spans="1:22" s="44" customFormat="1" ht="21" hidden="1" customHeight="1">
      <c r="A68" s="24"/>
      <c r="B68" s="108" t="s">
        <v>114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v>0</v>
      </c>
      <c r="J68" s="55"/>
      <c r="K68" s="55"/>
      <c r="L68" s="55"/>
      <c r="M68" s="55"/>
      <c r="N68" s="55"/>
      <c r="O68" s="55"/>
      <c r="P68" s="55"/>
      <c r="Q68" s="55"/>
      <c r="R68" s="189"/>
      <c r="S68" s="189"/>
      <c r="T68" s="189"/>
      <c r="U68" s="189"/>
    </row>
    <row r="69" spans="1:22" s="44" customFormat="1" ht="19.5" hidden="1" customHeight="1">
      <c r="A69" s="24">
        <v>19</v>
      </c>
      <c r="B69" s="108" t="s">
        <v>115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2" s="44" customFormat="1" ht="18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v>0</v>
      </c>
    </row>
    <row r="71" spans="1:22" s="44" customFormat="1" ht="15.75" customHeight="1">
      <c r="A71" s="24"/>
      <c r="B71" s="121" t="s">
        <v>142</v>
      </c>
      <c r="C71" s="106"/>
      <c r="D71" s="30"/>
      <c r="E71" s="15"/>
      <c r="F71" s="104"/>
      <c r="G71" s="29"/>
      <c r="H71" s="75"/>
      <c r="I71" s="12"/>
    </row>
    <row r="72" spans="1:22" s="44" customFormat="1" ht="28.5" customHeight="1">
      <c r="A72" s="24">
        <v>10</v>
      </c>
      <c r="B72" s="30" t="s">
        <v>143</v>
      </c>
      <c r="C72" s="109" t="s">
        <v>144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2">SUM(F72*G72/1000)</f>
        <v>87.03215999999999</v>
      </c>
      <c r="I72" s="12">
        <f>F72/12*G72</f>
        <v>7252.6799999999994</v>
      </c>
    </row>
    <row r="73" spans="1:22" s="44" customFormat="1" ht="15.7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125</v>
      </c>
      <c r="I73" s="12"/>
    </row>
    <row r="74" spans="1:22" s="44" customFormat="1" ht="15.75" hidden="1" customHeight="1">
      <c r="A74" s="24">
        <v>24</v>
      </c>
      <c r="B74" s="30" t="s">
        <v>145</v>
      </c>
      <c r="C74" s="106" t="s">
        <v>30</v>
      </c>
      <c r="D74" s="30" t="s">
        <v>63</v>
      </c>
      <c r="E74" s="15">
        <v>1</v>
      </c>
      <c r="F74" s="88">
        <f t="shared" ref="F74" si="13">E74</f>
        <v>1</v>
      </c>
      <c r="G74" s="29">
        <v>1029.1199999999999</v>
      </c>
      <c r="H74" s="75">
        <f>G74*F74/1000</f>
        <v>1.0291199999999998</v>
      </c>
      <c r="I74" s="12">
        <v>0</v>
      </c>
    </row>
    <row r="75" spans="1:22" s="44" customFormat="1" ht="15.75" hidden="1" customHeight="1">
      <c r="A75" s="24"/>
      <c r="B75" s="30" t="s">
        <v>146</v>
      </c>
      <c r="C75" s="106" t="s">
        <v>147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4">SUM(F75*G75/1000)</f>
        <v>0.73499999999999999</v>
      </c>
      <c r="I75" s="12">
        <v>0</v>
      </c>
    </row>
    <row r="76" spans="1:22" s="44" customFormat="1" ht="15.75" hidden="1" customHeight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4"/>
        <v>0.5262960000000001</v>
      </c>
      <c r="I76" s="12">
        <v>0</v>
      </c>
    </row>
    <row r="77" spans="1:22" s="44" customFormat="1" ht="15.75" hidden="1" customHeight="1">
      <c r="A77" s="24">
        <v>21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4"/>
        <v>1.1187199999999999</v>
      </c>
      <c r="I77" s="12">
        <v>0</v>
      </c>
    </row>
    <row r="78" spans="1:22" s="44" customFormat="1" ht="15.75" hidden="1" customHeight="1">
      <c r="A78" s="24"/>
      <c r="B78" s="122" t="s">
        <v>71</v>
      </c>
      <c r="C78" s="106"/>
      <c r="D78" s="30"/>
      <c r="E78" s="15"/>
      <c r="F78" s="29"/>
      <c r="G78" s="29" t="s">
        <v>125</v>
      </c>
      <c r="H78" s="75" t="s">
        <v>125</v>
      </c>
      <c r="I78" s="12" t="str">
        <f>G78</f>
        <v xml:space="preserve"> </v>
      </c>
    </row>
    <row r="79" spans="1:22" s="44" customFormat="1" ht="15.75" hidden="1" customHeight="1">
      <c r="A79" s="24"/>
      <c r="B79" s="110" t="s">
        <v>118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v>0</v>
      </c>
    </row>
    <row r="80" spans="1:22" s="44" customFormat="1" ht="15.75" hidden="1" customHeight="1">
      <c r="A80" s="24"/>
      <c r="B80" s="73" t="s">
        <v>116</v>
      </c>
      <c r="C80" s="12"/>
      <c r="D80" s="12"/>
      <c r="E80" s="12"/>
      <c r="F80" s="12"/>
      <c r="G80" s="12"/>
      <c r="H80" s="12"/>
      <c r="I80" s="12"/>
    </row>
    <row r="81" spans="1:9" s="44" customFormat="1" ht="15.75" hidden="1" customHeight="1">
      <c r="A81" s="24"/>
      <c r="B81" s="85" t="s">
        <v>117</v>
      </c>
      <c r="C81" s="112"/>
      <c r="D81" s="113"/>
      <c r="E81" s="114"/>
      <c r="F81" s="115">
        <v>1</v>
      </c>
      <c r="G81" s="115">
        <v>30235</v>
      </c>
      <c r="H81" s="75">
        <f>G81*F81/1000</f>
        <v>30.234999999999999</v>
      </c>
      <c r="I81" s="12">
        <f>G81</f>
        <v>30235</v>
      </c>
    </row>
    <row r="82" spans="1:9" s="44" customFormat="1" ht="15.75" customHeight="1">
      <c r="A82" s="202" t="s">
        <v>135</v>
      </c>
      <c r="B82" s="203"/>
      <c r="C82" s="203"/>
      <c r="D82" s="203"/>
      <c r="E82" s="203"/>
      <c r="F82" s="203"/>
      <c r="G82" s="203"/>
      <c r="H82" s="203"/>
      <c r="I82" s="204"/>
    </row>
    <row r="83" spans="1:9" s="44" customFormat="1" ht="15.75" customHeight="1">
      <c r="A83" s="61">
        <v>11</v>
      </c>
      <c r="B83" s="85" t="s">
        <v>119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s="44" customFormat="1" ht="31.5" customHeight="1">
      <c r="A84" s="24">
        <v>12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 s="44" customFormat="1" ht="15.75" customHeight="1">
      <c r="A85" s="24"/>
      <c r="B85" s="31" t="s">
        <v>75</v>
      </c>
      <c r="C85" s="57"/>
      <c r="D85" s="56"/>
      <c r="E85" s="46"/>
      <c r="F85" s="46"/>
      <c r="G85" s="46"/>
      <c r="H85" s="58">
        <f>H84</f>
        <v>165.102</v>
      </c>
      <c r="I85" s="46">
        <f>I84+I83+I72+I63+I61+I31+I29+I28+I25+I18+I17+I16</f>
        <v>53587.33430000001</v>
      </c>
    </row>
    <row r="86" spans="1:9" s="44" customFormat="1" ht="15.75" customHeight="1">
      <c r="A86" s="191" t="s">
        <v>57</v>
      </c>
      <c r="B86" s="192"/>
      <c r="C86" s="192"/>
      <c r="D86" s="192"/>
      <c r="E86" s="192"/>
      <c r="F86" s="192"/>
      <c r="G86" s="192"/>
      <c r="H86" s="192"/>
      <c r="I86" s="193"/>
    </row>
    <row r="87" spans="1:9" s="44" customFormat="1" ht="18" customHeight="1">
      <c r="A87" s="24">
        <v>13</v>
      </c>
      <c r="B87" s="77" t="s">
        <v>76</v>
      </c>
      <c r="C87" s="78" t="s">
        <v>82</v>
      </c>
      <c r="D87" s="30"/>
      <c r="E87" s="15"/>
      <c r="F87" s="29">
        <v>3</v>
      </c>
      <c r="G87" s="29">
        <v>215.85</v>
      </c>
      <c r="H87" s="75">
        <f>G87*F87/1000</f>
        <v>0.64754999999999996</v>
      </c>
      <c r="I87" s="59">
        <f>G87*1</f>
        <v>215.85</v>
      </c>
    </row>
    <row r="88" spans="1:9" s="44" customFormat="1" ht="31.5" customHeight="1">
      <c r="A88" s="24">
        <v>14</v>
      </c>
      <c r="B88" s="77" t="s">
        <v>270</v>
      </c>
      <c r="C88" s="78" t="s">
        <v>169</v>
      </c>
      <c r="D88" s="30" t="s">
        <v>271</v>
      </c>
      <c r="E88" s="15"/>
      <c r="F88" s="29">
        <v>1</v>
      </c>
      <c r="G88" s="29">
        <v>1421.68</v>
      </c>
      <c r="H88" s="75"/>
      <c r="I88" s="59">
        <f>G88*1</f>
        <v>1421.68</v>
      </c>
    </row>
    <row r="89" spans="1:9" s="44" customFormat="1" ht="16.5" customHeight="1">
      <c r="A89" s="24">
        <v>15</v>
      </c>
      <c r="B89" s="77" t="s">
        <v>241</v>
      </c>
      <c r="C89" s="78" t="s">
        <v>169</v>
      </c>
      <c r="D89" s="30"/>
      <c r="E89" s="15"/>
      <c r="F89" s="29">
        <v>18</v>
      </c>
      <c r="G89" s="29">
        <v>284</v>
      </c>
      <c r="H89" s="75"/>
      <c r="I89" s="59">
        <f>G89*12</f>
        <v>3408</v>
      </c>
    </row>
    <row r="90" spans="1:9" s="44" customFormat="1" ht="18" customHeight="1">
      <c r="A90" s="24">
        <v>16</v>
      </c>
      <c r="B90" s="77" t="s">
        <v>242</v>
      </c>
      <c r="C90" s="78" t="s">
        <v>161</v>
      </c>
      <c r="D90" s="30"/>
      <c r="E90" s="15"/>
      <c r="F90" s="29">
        <v>2</v>
      </c>
      <c r="G90" s="29">
        <v>227</v>
      </c>
      <c r="H90" s="75"/>
      <c r="I90" s="59">
        <f>G90*2</f>
        <v>454</v>
      </c>
    </row>
    <row r="91" spans="1:9" ht="15.75" customHeight="1">
      <c r="A91" s="24"/>
      <c r="B91" s="60" t="s">
        <v>49</v>
      </c>
      <c r="C91" s="32"/>
      <c r="D91" s="38"/>
      <c r="E91" s="32">
        <v>1</v>
      </c>
      <c r="F91" s="32"/>
      <c r="G91" s="32"/>
      <c r="H91" s="32"/>
      <c r="I91" s="27">
        <f>SUM(I87:I90)</f>
        <v>5499.53</v>
      </c>
    </row>
    <row r="92" spans="1:9" ht="15.75" customHeight="1">
      <c r="A92" s="24"/>
      <c r="B92" s="37" t="s">
        <v>74</v>
      </c>
      <c r="C92" s="14"/>
      <c r="D92" s="14"/>
      <c r="E92" s="33"/>
      <c r="F92" s="33"/>
      <c r="G92" s="34"/>
      <c r="H92" s="34"/>
      <c r="I92" s="15">
        <v>0</v>
      </c>
    </row>
    <row r="93" spans="1:9">
      <c r="A93" s="39"/>
      <c r="B93" s="36" t="s">
        <v>138</v>
      </c>
      <c r="C93" s="28"/>
      <c r="D93" s="28"/>
      <c r="E93" s="28"/>
      <c r="F93" s="28"/>
      <c r="G93" s="28"/>
      <c r="H93" s="28"/>
      <c r="I93" s="35">
        <f>I85+I91</f>
        <v>59086.864300000008</v>
      </c>
    </row>
    <row r="94" spans="1:9" ht="15.75">
      <c r="A94" s="194" t="s">
        <v>273</v>
      </c>
      <c r="B94" s="194"/>
      <c r="C94" s="194"/>
      <c r="D94" s="194"/>
      <c r="E94" s="194"/>
      <c r="F94" s="194"/>
      <c r="G94" s="194"/>
      <c r="H94" s="194"/>
      <c r="I94" s="194"/>
    </row>
    <row r="95" spans="1:9" ht="15.75">
      <c r="A95" s="68"/>
      <c r="B95" s="195" t="s">
        <v>274</v>
      </c>
      <c r="C95" s="195"/>
      <c r="D95" s="195"/>
      <c r="E95" s="195"/>
      <c r="F95" s="195"/>
      <c r="G95" s="195"/>
      <c r="H95" s="43"/>
      <c r="I95" s="3"/>
    </row>
    <row r="96" spans="1:9" ht="15.75" customHeight="1">
      <c r="A96" s="67"/>
      <c r="B96" s="196" t="s">
        <v>6</v>
      </c>
      <c r="C96" s="196"/>
      <c r="D96" s="196"/>
      <c r="E96" s="196"/>
      <c r="F96" s="196"/>
      <c r="G96" s="196"/>
      <c r="H96" s="19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97" t="s">
        <v>7</v>
      </c>
      <c r="B98" s="197"/>
      <c r="C98" s="197"/>
      <c r="D98" s="197"/>
      <c r="E98" s="197"/>
      <c r="F98" s="197"/>
      <c r="G98" s="197"/>
      <c r="H98" s="197"/>
      <c r="I98" s="197"/>
    </row>
    <row r="99" spans="1:9" ht="15.75">
      <c r="A99" s="197" t="s">
        <v>8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 customHeight="1">
      <c r="A100" s="198" t="s">
        <v>58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>
      <c r="A101" s="10"/>
    </row>
    <row r="102" spans="1:9" ht="15.75">
      <c r="A102" s="199" t="s">
        <v>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4"/>
    </row>
    <row r="104" spans="1:9" ht="15.75">
      <c r="B104" s="64" t="s">
        <v>10</v>
      </c>
      <c r="C104" s="200" t="s">
        <v>272</v>
      </c>
      <c r="D104" s="200"/>
      <c r="E104" s="200"/>
      <c r="F104" s="41"/>
      <c r="I104" s="66"/>
    </row>
    <row r="105" spans="1:9">
      <c r="A105" s="67"/>
      <c r="C105" s="196" t="s">
        <v>11</v>
      </c>
      <c r="D105" s="196"/>
      <c r="E105" s="196"/>
      <c r="F105" s="19"/>
      <c r="I105" s="65" t="s">
        <v>12</v>
      </c>
    </row>
    <row r="106" spans="1:9" ht="15.75">
      <c r="A106" s="20"/>
      <c r="C106" s="11"/>
      <c r="D106" s="11"/>
      <c r="G106" s="11"/>
      <c r="H106" s="11"/>
    </row>
    <row r="107" spans="1:9" ht="15.75">
      <c r="B107" s="64" t="s">
        <v>13</v>
      </c>
      <c r="C107" s="201"/>
      <c r="D107" s="201"/>
      <c r="E107" s="201"/>
      <c r="F107" s="42"/>
      <c r="I107" s="66"/>
    </row>
    <row r="108" spans="1:9">
      <c r="A108" s="67"/>
      <c r="C108" s="190" t="s">
        <v>11</v>
      </c>
      <c r="D108" s="190"/>
      <c r="E108" s="190"/>
      <c r="F108" s="67"/>
      <c r="I108" s="65" t="s">
        <v>12</v>
      </c>
    </row>
    <row r="109" spans="1:9" ht="15.75">
      <c r="A109" s="4" t="s">
        <v>14</v>
      </c>
    </row>
    <row r="110" spans="1:9" ht="15" customHeight="1">
      <c r="A110" s="187" t="s">
        <v>15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45" customHeight="1">
      <c r="A111" s="188" t="s">
        <v>16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30" customHeight="1">
      <c r="A112" s="188" t="s">
        <v>17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30" customHeight="1">
      <c r="A113" s="188" t="s">
        <v>21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" customHeight="1">
      <c r="A114" s="188" t="s">
        <v>20</v>
      </c>
      <c r="B114" s="188"/>
      <c r="C114" s="188"/>
      <c r="D114" s="188"/>
      <c r="E114" s="188"/>
      <c r="F114" s="188"/>
      <c r="G114" s="188"/>
      <c r="H114" s="188"/>
      <c r="I114" s="188"/>
    </row>
  </sheetData>
  <autoFilter ref="I12:I63"/>
  <mergeCells count="29">
    <mergeCell ref="A14:I14"/>
    <mergeCell ref="A26:I26"/>
    <mergeCell ref="A41:I41"/>
    <mergeCell ref="A52:I52"/>
    <mergeCell ref="A15:I15"/>
    <mergeCell ref="A3:I3"/>
    <mergeCell ref="A4:I4"/>
    <mergeCell ref="A5:I5"/>
    <mergeCell ref="A8:I8"/>
    <mergeCell ref="A10:I10"/>
    <mergeCell ref="R68:U68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topLeftCell="A90"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150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275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44165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268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125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2" t="s">
        <v>148</v>
      </c>
      <c r="B27" s="213"/>
      <c r="C27" s="213"/>
      <c r="D27" s="213"/>
      <c r="E27" s="213"/>
      <c r="F27" s="213"/>
      <c r="G27" s="213"/>
      <c r="H27" s="213"/>
      <c r="I27" s="214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95</v>
      </c>
      <c r="C29" s="86" t="s">
        <v>96</v>
      </c>
      <c r="D29" s="85" t="s">
        <v>97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129</v>
      </c>
      <c r="C30" s="86" t="s">
        <v>96</v>
      </c>
      <c r="D30" s="85" t="s">
        <v>139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40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96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98</v>
      </c>
      <c r="C32" s="86" t="s">
        <v>38</v>
      </c>
      <c r="D32" s="85" t="s">
        <v>140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99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125</v>
      </c>
      <c r="I36" s="12"/>
      <c r="J36" s="45"/>
    </row>
    <row r="37" spans="1:14" s="44" customFormat="1" ht="15.75" hidden="1" customHeight="1">
      <c r="A37" s="24">
        <v>5</v>
      </c>
      <c r="B37" s="94" t="s">
        <v>26</v>
      </c>
      <c r="C37" s="86" t="s">
        <v>31</v>
      </c>
      <c r="D37" s="85"/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G37*0.5</f>
        <v>1001.5</v>
      </c>
      <c r="J37" s="45"/>
    </row>
    <row r="38" spans="1:14" s="44" customFormat="1" ht="15.75" customHeight="1">
      <c r="A38" s="24">
        <v>5</v>
      </c>
      <c r="B38" s="94" t="s">
        <v>141</v>
      </c>
      <c r="C38" s="95" t="s">
        <v>29</v>
      </c>
      <c r="D38" s="85" t="s">
        <v>179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si="4"/>
        <v>1154.1309300000003</v>
      </c>
      <c r="J38" s="45"/>
    </row>
    <row r="39" spans="1:14" s="44" customFormat="1" ht="15.75" customHeight="1">
      <c r="A39" s="24">
        <v>6</v>
      </c>
      <c r="B39" s="85" t="s">
        <v>64</v>
      </c>
      <c r="C39" s="86" t="s">
        <v>29</v>
      </c>
      <c r="D39" s="85" t="s">
        <v>180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4"/>
        <v>994.67824499999983</v>
      </c>
      <c r="J39" s="45"/>
    </row>
    <row r="40" spans="1:14" s="44" customFormat="1" ht="47.25" customHeight="1">
      <c r="A40" s="24">
        <v>7</v>
      </c>
      <c r="B40" s="85" t="s">
        <v>77</v>
      </c>
      <c r="C40" s="86" t="s">
        <v>96</v>
      </c>
      <c r="D40" s="85" t="s">
        <v>179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4"/>
        <v>3185.2704600000002</v>
      </c>
      <c r="J40" s="45"/>
    </row>
    <row r="41" spans="1:14" s="44" customFormat="1" ht="15.75" hidden="1" customHeight="1">
      <c r="A41" s="24">
        <v>9</v>
      </c>
      <c r="B41" s="85" t="s">
        <v>103</v>
      </c>
      <c r="C41" s="86" t="s">
        <v>96</v>
      </c>
      <c r="D41" s="85" t="s">
        <v>181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212" t="s">
        <v>130</v>
      </c>
      <c r="B43" s="213"/>
      <c r="C43" s="213"/>
      <c r="D43" s="213"/>
      <c r="E43" s="213"/>
      <c r="F43" s="213"/>
      <c r="G43" s="213"/>
      <c r="H43" s="213"/>
      <c r="I43" s="214"/>
      <c r="J43" s="45"/>
    </row>
    <row r="44" spans="1:14" s="44" customFormat="1" ht="15.75" hidden="1" customHeight="1">
      <c r="A44" s="24">
        <v>8</v>
      </c>
      <c r="B44" s="85" t="s">
        <v>104</v>
      </c>
      <c r="C44" s="86" t="s">
        <v>96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6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96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6"/>
        <v>1.1666292</v>
      </c>
      <c r="I45" s="12">
        <f t="shared" ref="I45:I51" si="7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96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6"/>
        <v>15.3249438636</v>
      </c>
      <c r="I46" s="12">
        <f t="shared" si="7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96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6"/>
        <v>5.3807195075999994</v>
      </c>
      <c r="I47" s="12">
        <f t="shared" si="7"/>
        <v>2690.3597537999999</v>
      </c>
      <c r="J47" s="45"/>
      <c r="L47" s="17"/>
      <c r="M47" s="18"/>
      <c r="N47" s="26"/>
    </row>
    <row r="48" spans="1:14" s="44" customFormat="1" ht="15.75" hidden="1" customHeight="1">
      <c r="A48" s="24">
        <v>11</v>
      </c>
      <c r="B48" s="85" t="s">
        <v>53</v>
      </c>
      <c r="C48" s="86" t="s">
        <v>96</v>
      </c>
      <c r="D48" s="85" t="s">
        <v>137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6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105</v>
      </c>
      <c r="C49" s="86" t="s">
        <v>96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6"/>
        <v>12.5131592</v>
      </c>
      <c r="I49" s="12">
        <f t="shared" si="7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106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6"/>
        <v>2.4349920000000003</v>
      </c>
      <c r="I50" s="12">
        <f t="shared" si="7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6"/>
        <v>0.14825839999999998</v>
      </c>
      <c r="I51" s="12">
        <f t="shared" si="7"/>
        <v>74.129199999999997</v>
      </c>
      <c r="J51" s="45"/>
      <c r="L51" s="17"/>
      <c r="M51" s="18"/>
      <c r="N51" s="26"/>
    </row>
    <row r="52" spans="1:14" s="44" customFormat="1" ht="15.75" customHeight="1">
      <c r="A52" s="24">
        <v>8</v>
      </c>
      <c r="B52" s="85" t="s">
        <v>107</v>
      </c>
      <c r="C52" s="86" t="s">
        <v>82</v>
      </c>
      <c r="D52" s="182">
        <v>44165</v>
      </c>
      <c r="E52" s="87">
        <v>90</v>
      </c>
      <c r="F52" s="88">
        <f>E52*3</f>
        <v>270</v>
      </c>
      <c r="G52" s="29">
        <v>185.08</v>
      </c>
      <c r="H52" s="89">
        <f t="shared" si="6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customHeight="1">
      <c r="A53" s="24">
        <v>9</v>
      </c>
      <c r="B53" s="85" t="s">
        <v>39</v>
      </c>
      <c r="C53" s="86" t="s">
        <v>82</v>
      </c>
      <c r="D53" s="182">
        <v>44165</v>
      </c>
      <c r="E53" s="87">
        <v>180</v>
      </c>
      <c r="F53" s="88">
        <f>SUM(E53)*3</f>
        <v>540</v>
      </c>
      <c r="G53" s="97">
        <v>86.15</v>
      </c>
      <c r="H53" s="89">
        <f t="shared" si="6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2" t="s">
        <v>134</v>
      </c>
      <c r="B54" s="213"/>
      <c r="C54" s="213"/>
      <c r="D54" s="213"/>
      <c r="E54" s="213"/>
      <c r="F54" s="213"/>
      <c r="G54" s="213"/>
      <c r="H54" s="213"/>
      <c r="I54" s="214"/>
      <c r="J54" s="45"/>
      <c r="L54" s="17"/>
      <c r="M54" s="18"/>
      <c r="N54" s="26"/>
    </row>
    <row r="55" spans="1:14" s="44" customFormat="1" ht="15.75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hidden="1" customHeight="1">
      <c r="A56" s="24">
        <v>12</v>
      </c>
      <c r="B56" s="85" t="s">
        <v>121</v>
      </c>
      <c r="C56" s="86" t="s">
        <v>86</v>
      </c>
      <c r="D56" s="85" t="s">
        <v>108</v>
      </c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F56/6*G56</f>
        <v>620.96580000000006</v>
      </c>
      <c r="J56" s="45"/>
      <c r="L56" s="17"/>
      <c r="M56" s="18"/>
      <c r="N56" s="26"/>
    </row>
    <row r="57" spans="1:14" s="44" customFormat="1" ht="31.5" hidden="1" customHeight="1">
      <c r="A57" s="24">
        <v>11</v>
      </c>
      <c r="B57" s="85" t="s">
        <v>80</v>
      </c>
      <c r="C57" s="86" t="s">
        <v>86</v>
      </c>
      <c r="D57" s="85" t="s">
        <v>81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8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109</v>
      </c>
      <c r="C58" s="99" t="s">
        <v>110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11</v>
      </c>
      <c r="B59" s="85" t="s">
        <v>111</v>
      </c>
      <c r="C59" s="86" t="s">
        <v>86</v>
      </c>
      <c r="D59" s="85" t="s">
        <v>182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8"/>
        <v>846.82688999999993</v>
      </c>
      <c r="J59" s="45"/>
      <c r="L59" s="17"/>
      <c r="M59" s="18"/>
      <c r="N59" s="26"/>
    </row>
    <row r="60" spans="1:14" s="44" customFormat="1" ht="15.75" customHeight="1">
      <c r="A60" s="24">
        <v>10</v>
      </c>
      <c r="B60" s="98" t="s">
        <v>128</v>
      </c>
      <c r="C60" s="99" t="s">
        <v>31</v>
      </c>
      <c r="D60" s="98" t="s">
        <v>276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f>G60*4</f>
        <v>6328.2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126</v>
      </c>
      <c r="C62" s="99" t="s">
        <v>50</v>
      </c>
      <c r="D62" s="98" t="s">
        <v>51</v>
      </c>
      <c r="E62" s="100">
        <v>508.73</v>
      </c>
      <c r="F62" s="103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11</v>
      </c>
      <c r="B63" s="98" t="s">
        <v>83</v>
      </c>
      <c r="C63" s="99" t="s">
        <v>25</v>
      </c>
      <c r="D63" s="98" t="s">
        <v>183</v>
      </c>
      <c r="E63" s="180">
        <v>203.5</v>
      </c>
      <c r="F63" s="29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0" t="s">
        <v>43</v>
      </c>
      <c r="C64" s="99"/>
      <c r="D64" s="98"/>
      <c r="E64" s="100"/>
      <c r="F64" s="181"/>
      <c r="G64" s="103"/>
      <c r="H64" s="101" t="s">
        <v>125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291.68</v>
      </c>
      <c r="H65" s="75">
        <f t="shared" ref="H65:H81" si="9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82</v>
      </c>
      <c r="D66" s="30" t="s">
        <v>149</v>
      </c>
      <c r="E66" s="15">
        <v>10</v>
      </c>
      <c r="F66" s="88">
        <f>E66</f>
        <v>10</v>
      </c>
      <c r="G66" s="29">
        <v>100.01</v>
      </c>
      <c r="H66" s="75">
        <f t="shared" si="9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112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9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113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9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9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114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9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9"/>
      <c r="S70" s="189"/>
      <c r="T70" s="189"/>
      <c r="U70" s="189"/>
    </row>
    <row r="71" spans="1:22" s="44" customFormat="1" ht="15.75" hidden="1" customHeight="1">
      <c r="A71" s="24">
        <v>19</v>
      </c>
      <c r="B71" s="108" t="s">
        <v>115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9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9"/>
        <v>0.39251999999999998</v>
      </c>
      <c r="I72" s="12">
        <v>0</v>
      </c>
    </row>
    <row r="73" spans="1:22" s="44" customFormat="1" ht="15.75" customHeight="1">
      <c r="A73" s="24"/>
      <c r="B73" s="121" t="s">
        <v>142</v>
      </c>
      <c r="C73" s="106"/>
      <c r="D73" s="30"/>
      <c r="E73" s="15"/>
      <c r="F73" s="104"/>
      <c r="G73" s="29"/>
      <c r="H73" s="75"/>
      <c r="I73" s="12"/>
    </row>
    <row r="74" spans="1:22" s="44" customFormat="1" ht="33" customHeight="1">
      <c r="A74" s="24">
        <v>12</v>
      </c>
      <c r="B74" s="30" t="s">
        <v>143</v>
      </c>
      <c r="C74" s="109" t="s">
        <v>144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0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125</v>
      </c>
      <c r="I75" s="12"/>
    </row>
    <row r="76" spans="1:22" s="44" customFormat="1" ht="15.75" hidden="1" customHeight="1">
      <c r="A76" s="24">
        <v>24</v>
      </c>
      <c r="B76" s="30" t="s">
        <v>145</v>
      </c>
      <c r="C76" s="106" t="s">
        <v>30</v>
      </c>
      <c r="D76" s="30" t="s">
        <v>63</v>
      </c>
      <c r="E76" s="15">
        <v>1</v>
      </c>
      <c r="F76" s="88">
        <f t="shared" ref="F76" si="11">E76</f>
        <v>1</v>
      </c>
      <c r="G76" s="29">
        <v>1029.1199999999999</v>
      </c>
      <c r="H76" s="75">
        <f>G76*F76/1000</f>
        <v>1.0291199999999998</v>
      </c>
      <c r="I76" s="12">
        <v>0</v>
      </c>
    </row>
    <row r="77" spans="1:22" s="44" customFormat="1" ht="15.75" hidden="1" customHeight="1">
      <c r="A77" s="24"/>
      <c r="B77" s="30" t="s">
        <v>146</v>
      </c>
      <c r="C77" s="106" t="s">
        <v>147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2">SUM(F77*G77/1000)</f>
        <v>0.73499999999999999</v>
      </c>
      <c r="I77" s="12">
        <v>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2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2"/>
        <v>1.1187199999999999</v>
      </c>
      <c r="I79" s="12">
        <v>0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125</v>
      </c>
      <c r="H80" s="75" t="s">
        <v>125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118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9"/>
        <v>2.1714540000000002</v>
      </c>
      <c r="I81" s="12">
        <v>0</v>
      </c>
    </row>
    <row r="82" spans="1:9" s="44" customFormat="1" ht="15.75" hidden="1" customHeight="1">
      <c r="A82" s="24"/>
      <c r="B82" s="73" t="s">
        <v>116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117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02" t="s">
        <v>135</v>
      </c>
      <c r="B84" s="203"/>
      <c r="C84" s="203"/>
      <c r="D84" s="203"/>
      <c r="E84" s="203"/>
      <c r="F84" s="203"/>
      <c r="G84" s="203"/>
      <c r="H84" s="203"/>
      <c r="I84" s="204"/>
    </row>
    <row r="85" spans="1:9" s="44" customFormat="1" ht="15.75" customHeight="1">
      <c r="A85" s="61">
        <v>13</v>
      </c>
      <c r="B85" s="85" t="s">
        <v>119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14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I86+I85+I74+I63+I60+I40+I39+I38+I25+I18+I17+I16+I53+I52</f>
        <v>95282.883965000001</v>
      </c>
    </row>
    <row r="88" spans="1:9" s="44" customFormat="1" ht="15.75" customHeight="1">
      <c r="A88" s="191" t="s">
        <v>57</v>
      </c>
      <c r="B88" s="192"/>
      <c r="C88" s="192"/>
      <c r="D88" s="192"/>
      <c r="E88" s="192"/>
      <c r="F88" s="192"/>
      <c r="G88" s="192"/>
      <c r="H88" s="192"/>
      <c r="I88" s="193"/>
    </row>
    <row r="89" spans="1:9" s="44" customFormat="1" ht="32.25" customHeight="1">
      <c r="A89" s="24">
        <v>15</v>
      </c>
      <c r="B89" s="77" t="s">
        <v>167</v>
      </c>
      <c r="C89" s="78" t="s">
        <v>29</v>
      </c>
      <c r="D89" s="30"/>
      <c r="E89" s="15"/>
      <c r="F89" s="29">
        <v>7</v>
      </c>
      <c r="G89" s="143">
        <v>20547.34</v>
      </c>
      <c r="H89" s="75">
        <f>G89*F89/1000</f>
        <v>143.83138</v>
      </c>
      <c r="I89" s="59">
        <f>G89*0.599*10/1000</f>
        <v>123.07856659999999</v>
      </c>
    </row>
    <row r="90" spans="1:9" s="44" customFormat="1" ht="18.75" customHeight="1">
      <c r="A90" s="24">
        <v>16</v>
      </c>
      <c r="B90" s="77" t="s">
        <v>76</v>
      </c>
      <c r="C90" s="78" t="s">
        <v>82</v>
      </c>
      <c r="D90" s="30"/>
      <c r="E90" s="15"/>
      <c r="F90" s="29">
        <v>4</v>
      </c>
      <c r="G90" s="29">
        <v>215.85</v>
      </c>
      <c r="H90" s="75"/>
      <c r="I90" s="59">
        <f>G90*1</f>
        <v>215.85</v>
      </c>
    </row>
    <row r="91" spans="1:9" s="44" customFormat="1" ht="15" customHeight="1">
      <c r="A91" s="24">
        <v>17</v>
      </c>
      <c r="B91" s="77" t="s">
        <v>201</v>
      </c>
      <c r="C91" s="78" t="s">
        <v>202</v>
      </c>
      <c r="D91" s="30"/>
      <c r="E91" s="15"/>
      <c r="F91" s="29">
        <v>7.0000000000000007E-2</v>
      </c>
      <c r="G91" s="29">
        <v>27139.18</v>
      </c>
      <c r="H91" s="75"/>
      <c r="I91" s="59">
        <f>G91*0.02</f>
        <v>542.78359999999998</v>
      </c>
    </row>
    <row r="92" spans="1:9" s="44" customFormat="1" ht="15.75" customHeight="1">
      <c r="A92" s="24">
        <v>18</v>
      </c>
      <c r="B92" s="77" t="s">
        <v>277</v>
      </c>
      <c r="C92" s="78" t="s">
        <v>50</v>
      </c>
      <c r="D92" s="30" t="s">
        <v>282</v>
      </c>
      <c r="E92" s="15"/>
      <c r="F92" s="185">
        <v>4.0000000000000001E-3</v>
      </c>
      <c r="G92" s="29">
        <v>58109.85</v>
      </c>
      <c r="H92" s="54"/>
      <c r="I92" s="76">
        <f>G92*0.004</f>
        <v>232.43940000000001</v>
      </c>
    </row>
    <row r="93" spans="1:9" s="44" customFormat="1" ht="15.75" customHeight="1">
      <c r="A93" s="24">
        <v>19</v>
      </c>
      <c r="B93" s="77" t="s">
        <v>278</v>
      </c>
      <c r="C93" s="78" t="s">
        <v>279</v>
      </c>
      <c r="D93" s="30" t="s">
        <v>281</v>
      </c>
      <c r="E93" s="15"/>
      <c r="F93" s="185">
        <v>17</v>
      </c>
      <c r="G93" s="29">
        <v>388</v>
      </c>
      <c r="H93" s="54"/>
      <c r="I93" s="76">
        <f>G93*17</f>
        <v>6596</v>
      </c>
    </row>
    <row r="94" spans="1:9" s="44" customFormat="1" ht="15.75" customHeight="1">
      <c r="A94" s="24">
        <v>20</v>
      </c>
      <c r="B94" s="77" t="s">
        <v>280</v>
      </c>
      <c r="C94" s="78" t="s">
        <v>231</v>
      </c>
      <c r="D94" s="30"/>
      <c r="E94" s="15"/>
      <c r="F94" s="29">
        <v>1</v>
      </c>
      <c r="G94" s="29">
        <v>331.57</v>
      </c>
      <c r="H94" s="54"/>
      <c r="I94" s="76">
        <f>G94*1</f>
        <v>331.57</v>
      </c>
    </row>
    <row r="95" spans="1:9" ht="15.75" customHeight="1">
      <c r="A95" s="24"/>
      <c r="B95" s="60" t="s">
        <v>49</v>
      </c>
      <c r="C95" s="32"/>
      <c r="D95" s="38"/>
      <c r="E95" s="32">
        <v>1</v>
      </c>
      <c r="F95" s="32"/>
      <c r="G95" s="32"/>
      <c r="H95" s="32"/>
      <c r="I95" s="27">
        <f>SUM(I89:I94)</f>
        <v>8041.7215665999993</v>
      </c>
    </row>
    <row r="96" spans="1:9" ht="15.75" customHeight="1">
      <c r="A96" s="24"/>
      <c r="B96" s="37" t="s">
        <v>74</v>
      </c>
      <c r="C96" s="14"/>
      <c r="D96" s="14"/>
      <c r="E96" s="33"/>
      <c r="F96" s="33"/>
      <c r="G96" s="34"/>
      <c r="H96" s="34"/>
      <c r="I96" s="15">
        <v>0</v>
      </c>
    </row>
    <row r="97" spans="1:9">
      <c r="A97" s="39"/>
      <c r="B97" s="36" t="s">
        <v>138</v>
      </c>
      <c r="C97" s="28"/>
      <c r="D97" s="28"/>
      <c r="E97" s="28"/>
      <c r="F97" s="28"/>
      <c r="G97" s="28"/>
      <c r="H97" s="28"/>
      <c r="I97" s="35">
        <f>I87+I95</f>
        <v>103324.6055316</v>
      </c>
    </row>
    <row r="98" spans="1:9" ht="15.75">
      <c r="A98" s="194" t="s">
        <v>283</v>
      </c>
      <c r="B98" s="194"/>
      <c r="C98" s="194"/>
      <c r="D98" s="194"/>
      <c r="E98" s="194"/>
      <c r="F98" s="194"/>
      <c r="G98" s="194"/>
      <c r="H98" s="194"/>
      <c r="I98" s="194"/>
    </row>
    <row r="99" spans="1:9" ht="15.75">
      <c r="A99" s="68"/>
      <c r="B99" s="195" t="s">
        <v>284</v>
      </c>
      <c r="C99" s="195"/>
      <c r="D99" s="195"/>
      <c r="E99" s="195"/>
      <c r="F99" s="195"/>
      <c r="G99" s="195"/>
      <c r="H99" s="43"/>
      <c r="I99" s="3"/>
    </row>
    <row r="100" spans="1:9" ht="15.75" customHeight="1">
      <c r="A100" s="71"/>
      <c r="B100" s="196" t="s">
        <v>6</v>
      </c>
      <c r="C100" s="196"/>
      <c r="D100" s="196"/>
      <c r="E100" s="196"/>
      <c r="F100" s="196"/>
      <c r="G100" s="196"/>
      <c r="H100" s="19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197" t="s">
        <v>7</v>
      </c>
      <c r="B102" s="197"/>
      <c r="C102" s="197"/>
      <c r="D102" s="197"/>
      <c r="E102" s="197"/>
      <c r="F102" s="197"/>
      <c r="G102" s="197"/>
      <c r="H102" s="197"/>
      <c r="I102" s="197"/>
    </row>
    <row r="103" spans="1:9" ht="15.75">
      <c r="A103" s="197" t="s">
        <v>8</v>
      </c>
      <c r="B103" s="197"/>
      <c r="C103" s="197"/>
      <c r="D103" s="197"/>
      <c r="E103" s="197"/>
      <c r="F103" s="197"/>
      <c r="G103" s="197"/>
      <c r="H103" s="197"/>
      <c r="I103" s="197"/>
    </row>
    <row r="104" spans="1:9" ht="15.75" customHeight="1">
      <c r="A104" s="198" t="s">
        <v>58</v>
      </c>
      <c r="B104" s="198"/>
      <c r="C104" s="198"/>
      <c r="D104" s="198"/>
      <c r="E104" s="198"/>
      <c r="F104" s="198"/>
      <c r="G104" s="198"/>
      <c r="H104" s="198"/>
      <c r="I104" s="198"/>
    </row>
    <row r="105" spans="1:9" ht="15.75">
      <c r="A105" s="10"/>
    </row>
    <row r="106" spans="1:9" ht="15.75">
      <c r="A106" s="199" t="s">
        <v>9</v>
      </c>
      <c r="B106" s="199"/>
      <c r="C106" s="199"/>
      <c r="D106" s="199"/>
      <c r="E106" s="199"/>
      <c r="F106" s="199"/>
      <c r="G106" s="199"/>
      <c r="H106" s="199"/>
      <c r="I106" s="199"/>
    </row>
    <row r="107" spans="1:9" ht="15.75">
      <c r="A107" s="4"/>
    </row>
    <row r="108" spans="1:9" ht="15.75">
      <c r="B108" s="72" t="s">
        <v>10</v>
      </c>
      <c r="C108" s="200" t="s">
        <v>272</v>
      </c>
      <c r="D108" s="200"/>
      <c r="E108" s="200"/>
      <c r="F108" s="41"/>
      <c r="I108" s="70"/>
    </row>
    <row r="109" spans="1:9">
      <c r="A109" s="71"/>
      <c r="C109" s="196" t="s">
        <v>11</v>
      </c>
      <c r="D109" s="196"/>
      <c r="E109" s="196"/>
      <c r="F109" s="19"/>
      <c r="I109" s="69" t="s">
        <v>12</v>
      </c>
    </row>
    <row r="110" spans="1:9" ht="15.75">
      <c r="A110" s="20"/>
      <c r="C110" s="11"/>
      <c r="D110" s="11"/>
      <c r="G110" s="11"/>
      <c r="H110" s="11"/>
    </row>
    <row r="111" spans="1:9" ht="15.75">
      <c r="B111" s="72" t="s">
        <v>13</v>
      </c>
      <c r="C111" s="201"/>
      <c r="D111" s="201"/>
      <c r="E111" s="201"/>
      <c r="F111" s="42"/>
      <c r="I111" s="70"/>
    </row>
    <row r="112" spans="1:9">
      <c r="A112" s="71"/>
      <c r="C112" s="190" t="s">
        <v>11</v>
      </c>
      <c r="D112" s="190"/>
      <c r="E112" s="190"/>
      <c r="F112" s="71"/>
      <c r="I112" s="69" t="s">
        <v>12</v>
      </c>
    </row>
    <row r="113" spans="1:9" ht="15.75">
      <c r="A113" s="4" t="s">
        <v>14</v>
      </c>
    </row>
    <row r="114" spans="1:9" ht="15" customHeight="1">
      <c r="A114" s="187" t="s">
        <v>15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45" customHeight="1">
      <c r="A115" s="188" t="s">
        <v>16</v>
      </c>
      <c r="B115" s="188"/>
      <c r="C115" s="188"/>
      <c r="D115" s="188"/>
      <c r="E115" s="188"/>
      <c r="F115" s="188"/>
      <c r="G115" s="188"/>
      <c r="H115" s="188"/>
      <c r="I115" s="188"/>
    </row>
    <row r="116" spans="1:9" ht="30" customHeight="1">
      <c r="A116" s="188" t="s">
        <v>17</v>
      </c>
      <c r="B116" s="188"/>
      <c r="C116" s="188"/>
      <c r="D116" s="188"/>
      <c r="E116" s="188"/>
      <c r="F116" s="188"/>
      <c r="G116" s="188"/>
      <c r="H116" s="188"/>
      <c r="I116" s="188"/>
    </row>
    <row r="117" spans="1:9" ht="30" customHeight="1">
      <c r="A117" s="188" t="s">
        <v>21</v>
      </c>
      <c r="B117" s="188"/>
      <c r="C117" s="188"/>
      <c r="D117" s="188"/>
      <c r="E117" s="188"/>
      <c r="F117" s="188"/>
      <c r="G117" s="188"/>
      <c r="H117" s="188"/>
      <c r="I117" s="188"/>
    </row>
    <row r="118" spans="1:9" ht="15" customHeight="1">
      <c r="A118" s="188" t="s">
        <v>20</v>
      </c>
      <c r="B118" s="188"/>
      <c r="C118" s="188"/>
      <c r="D118" s="188"/>
      <c r="E118" s="188"/>
      <c r="F118" s="188"/>
      <c r="G118" s="188"/>
      <c r="H118" s="188"/>
      <c r="I118" s="188"/>
    </row>
  </sheetData>
  <autoFilter ref="I12:I65"/>
  <mergeCells count="29">
    <mergeCell ref="A114:I114"/>
    <mergeCell ref="A115:I115"/>
    <mergeCell ref="A116:I116"/>
    <mergeCell ref="A117:I117"/>
    <mergeCell ref="A118:I118"/>
    <mergeCell ref="R70:U70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2"/>
  <sheetViews>
    <sheetView tabSelected="1" view="pageBreakPreview" topLeftCell="A91" zoomScale="60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152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285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44196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268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125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2" t="s">
        <v>148</v>
      </c>
      <c r="B27" s="213"/>
      <c r="C27" s="213"/>
      <c r="D27" s="213"/>
      <c r="E27" s="213"/>
      <c r="F27" s="213"/>
      <c r="G27" s="213"/>
      <c r="H27" s="213"/>
      <c r="I27" s="214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95</v>
      </c>
      <c r="C29" s="86" t="s">
        <v>96</v>
      </c>
      <c r="D29" s="85" t="s">
        <v>97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129</v>
      </c>
      <c r="C30" s="86" t="s">
        <v>96</v>
      </c>
      <c r="D30" s="85" t="s">
        <v>139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33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96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98</v>
      </c>
      <c r="C32" s="86" t="s">
        <v>38</v>
      </c>
      <c r="D32" s="85" t="s">
        <v>140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99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125</v>
      </c>
      <c r="I36" s="12"/>
      <c r="J36" s="45"/>
    </row>
    <row r="37" spans="1:14" s="44" customFormat="1" ht="15.75" customHeight="1">
      <c r="A37" s="24">
        <v>5</v>
      </c>
      <c r="B37" s="94" t="s">
        <v>26</v>
      </c>
      <c r="C37" s="86" t="s">
        <v>31</v>
      </c>
      <c r="D37" s="85" t="s">
        <v>286</v>
      </c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G37*1.3</f>
        <v>2603.9</v>
      </c>
      <c r="J37" s="45"/>
    </row>
    <row r="38" spans="1:14" s="44" customFormat="1" ht="15.75" customHeight="1">
      <c r="A38" s="24">
        <v>6</v>
      </c>
      <c r="B38" s="94" t="s">
        <v>141</v>
      </c>
      <c r="C38" s="95" t="s">
        <v>29</v>
      </c>
      <c r="D38" s="85" t="s">
        <v>179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ref="I38:I40" si="6">F38/6*G38</f>
        <v>1154.1309300000003</v>
      </c>
      <c r="J38" s="45"/>
    </row>
    <row r="39" spans="1:14" s="44" customFormat="1" ht="15.75" customHeight="1">
      <c r="A39" s="24">
        <v>7</v>
      </c>
      <c r="B39" s="85" t="s">
        <v>64</v>
      </c>
      <c r="C39" s="86" t="s">
        <v>29</v>
      </c>
      <c r="D39" s="85" t="s">
        <v>180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6"/>
        <v>994.67824499999983</v>
      </c>
      <c r="J39" s="45"/>
    </row>
    <row r="40" spans="1:14" s="44" customFormat="1" ht="47.25" customHeight="1">
      <c r="A40" s="24">
        <v>8</v>
      </c>
      <c r="B40" s="85" t="s">
        <v>77</v>
      </c>
      <c r="C40" s="86" t="s">
        <v>96</v>
      </c>
      <c r="D40" s="85" t="s">
        <v>179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6"/>
        <v>3185.2704600000002</v>
      </c>
      <c r="J40" s="45"/>
    </row>
    <row r="41" spans="1:14" s="44" customFormat="1" ht="15.75" hidden="1" customHeight="1">
      <c r="A41" s="24">
        <v>9</v>
      </c>
      <c r="B41" s="85" t="s">
        <v>103</v>
      </c>
      <c r="C41" s="86" t="s">
        <v>96</v>
      </c>
      <c r="D41" s="85" t="s">
        <v>181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212" t="s">
        <v>130</v>
      </c>
      <c r="B43" s="213"/>
      <c r="C43" s="213"/>
      <c r="D43" s="213"/>
      <c r="E43" s="213"/>
      <c r="F43" s="213"/>
      <c r="G43" s="213"/>
      <c r="H43" s="213"/>
      <c r="I43" s="214"/>
      <c r="J43" s="45"/>
    </row>
    <row r="44" spans="1:14" s="44" customFormat="1" ht="15.75" hidden="1" customHeight="1">
      <c r="A44" s="24">
        <v>8</v>
      </c>
      <c r="B44" s="85" t="s">
        <v>104</v>
      </c>
      <c r="C44" s="86" t="s">
        <v>96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7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96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7"/>
        <v>1.1666292</v>
      </c>
      <c r="I45" s="12">
        <f t="shared" ref="I45:I51" si="8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96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7"/>
        <v>15.3249438636</v>
      </c>
      <c r="I46" s="12">
        <f t="shared" si="8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96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7"/>
        <v>5.3807195075999994</v>
      </c>
      <c r="I47" s="12">
        <f t="shared" si="8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9</v>
      </c>
      <c r="B48" s="85" t="s">
        <v>53</v>
      </c>
      <c r="C48" s="86" t="s">
        <v>96</v>
      </c>
      <c r="D48" s="85" t="s">
        <v>182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7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105</v>
      </c>
      <c r="C49" s="86" t="s">
        <v>96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7"/>
        <v>12.5131592</v>
      </c>
      <c r="I49" s="12">
        <f t="shared" si="8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106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7"/>
        <v>2.4349920000000003</v>
      </c>
      <c r="I50" s="12">
        <f t="shared" si="8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7"/>
        <v>0.14825839999999998</v>
      </c>
      <c r="I51" s="12">
        <f t="shared" si="8"/>
        <v>74.129199999999997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107</v>
      </c>
      <c r="C52" s="86" t="s">
        <v>82</v>
      </c>
      <c r="D52" s="85" t="s">
        <v>66</v>
      </c>
      <c r="E52" s="87">
        <v>90</v>
      </c>
      <c r="F52" s="88">
        <f>E52*3</f>
        <v>270</v>
      </c>
      <c r="G52" s="29">
        <v>185.08</v>
      </c>
      <c r="H52" s="89">
        <f t="shared" si="7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hidden="1" customHeight="1">
      <c r="A53" s="24">
        <v>15</v>
      </c>
      <c r="B53" s="85" t="s">
        <v>39</v>
      </c>
      <c r="C53" s="86" t="s">
        <v>82</v>
      </c>
      <c r="D53" s="85" t="s">
        <v>66</v>
      </c>
      <c r="E53" s="87">
        <v>180</v>
      </c>
      <c r="F53" s="88">
        <f>SUM(E53)*3</f>
        <v>540</v>
      </c>
      <c r="G53" s="97">
        <v>86.15</v>
      </c>
      <c r="H53" s="89">
        <f t="shared" si="7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2" t="s">
        <v>131</v>
      </c>
      <c r="B54" s="213"/>
      <c r="C54" s="213"/>
      <c r="D54" s="213"/>
      <c r="E54" s="213"/>
      <c r="F54" s="213"/>
      <c r="G54" s="213"/>
      <c r="H54" s="213"/>
      <c r="I54" s="214"/>
      <c r="J54" s="45"/>
      <c r="L54" s="17"/>
      <c r="M54" s="18"/>
      <c r="N54" s="26"/>
    </row>
    <row r="55" spans="1:14" s="44" customFormat="1" ht="15.75" hidden="1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hidden="1" customHeight="1">
      <c r="A56" s="24">
        <v>12</v>
      </c>
      <c r="B56" s="85" t="s">
        <v>121</v>
      </c>
      <c r="C56" s="86" t="s">
        <v>86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G56*0.05</f>
        <v>101.465</v>
      </c>
      <c r="J56" s="45"/>
      <c r="L56" s="17"/>
      <c r="M56" s="18"/>
      <c r="N56" s="26"/>
    </row>
    <row r="57" spans="1:14" s="44" customFormat="1" ht="31.5" hidden="1" customHeight="1">
      <c r="A57" s="24">
        <v>13</v>
      </c>
      <c r="B57" s="85" t="s">
        <v>80</v>
      </c>
      <c r="C57" s="86" t="s">
        <v>86</v>
      </c>
      <c r="D57" s="85" t="s">
        <v>81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9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109</v>
      </c>
      <c r="C58" s="99" t="s">
        <v>110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13</v>
      </c>
      <c r="B59" s="85" t="s">
        <v>111</v>
      </c>
      <c r="C59" s="86" t="s">
        <v>86</v>
      </c>
      <c r="D59" s="85" t="s">
        <v>182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9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128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126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10</v>
      </c>
      <c r="B63" s="98" t="s">
        <v>83</v>
      </c>
      <c r="C63" s="99" t="s">
        <v>25</v>
      </c>
      <c r="D63" s="98" t="s">
        <v>183</v>
      </c>
      <c r="E63" s="100">
        <v>203.5</v>
      </c>
      <c r="F63" s="103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0" t="s">
        <v>43</v>
      </c>
      <c r="C64" s="99"/>
      <c r="D64" s="98"/>
      <c r="E64" s="100"/>
      <c r="F64" s="103"/>
      <c r="G64" s="103"/>
      <c r="H64" s="101" t="s">
        <v>125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291.68</v>
      </c>
      <c r="H65" s="75">
        <f t="shared" ref="H65:H81" si="10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82</v>
      </c>
      <c r="D66" s="30" t="s">
        <v>149</v>
      </c>
      <c r="E66" s="15">
        <v>10</v>
      </c>
      <c r="F66" s="88">
        <f>E66</f>
        <v>10</v>
      </c>
      <c r="G66" s="29">
        <v>100.01</v>
      </c>
      <c r="H66" s="75">
        <f t="shared" si="10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112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10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113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10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10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114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10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9"/>
      <c r="S70" s="189"/>
      <c r="T70" s="189"/>
      <c r="U70" s="189"/>
    </row>
    <row r="71" spans="1:22" s="44" customFormat="1" ht="15.75" hidden="1" customHeight="1">
      <c r="A71" s="24">
        <v>19</v>
      </c>
      <c r="B71" s="108" t="s">
        <v>115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10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10"/>
        <v>0.39251999999999998</v>
      </c>
      <c r="I72" s="12">
        <v>0</v>
      </c>
    </row>
    <row r="73" spans="1:22" s="44" customFormat="1" ht="15.75" customHeight="1">
      <c r="A73" s="24"/>
      <c r="B73" s="121" t="s">
        <v>142</v>
      </c>
      <c r="C73" s="106"/>
      <c r="D73" s="30"/>
      <c r="E73" s="15"/>
      <c r="F73" s="104"/>
      <c r="G73" s="29"/>
      <c r="H73" s="75"/>
      <c r="I73" s="12"/>
    </row>
    <row r="74" spans="1:22" s="44" customFormat="1" ht="36" customHeight="1">
      <c r="A74" s="24">
        <v>11</v>
      </c>
      <c r="B74" s="30" t="s">
        <v>143</v>
      </c>
      <c r="C74" s="109" t="s">
        <v>144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1">SUM(F74*G74/1000)</f>
        <v>87.03215999999999</v>
      </c>
      <c r="I74" s="12">
        <f>F74/12*G74</f>
        <v>7252.6799999999994</v>
      </c>
    </row>
    <row r="75" spans="1:22" s="44" customFormat="1" ht="15.75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125</v>
      </c>
      <c r="I75" s="12"/>
    </row>
    <row r="76" spans="1:22" s="44" customFormat="1" ht="15.75" customHeight="1">
      <c r="A76" s="24">
        <v>12</v>
      </c>
      <c r="B76" s="30" t="s">
        <v>145</v>
      </c>
      <c r="C76" s="106" t="s">
        <v>30</v>
      </c>
      <c r="D76" s="30" t="s">
        <v>287</v>
      </c>
      <c r="E76" s="15">
        <v>1</v>
      </c>
      <c r="F76" s="88">
        <f t="shared" ref="F76" si="12">E76</f>
        <v>1</v>
      </c>
      <c r="G76" s="29">
        <v>1029.1199999999999</v>
      </c>
      <c r="H76" s="75">
        <f>G76*F76/1000</f>
        <v>1.0291199999999998</v>
      </c>
      <c r="I76" s="12">
        <f>G76*1</f>
        <v>1029.1199999999999</v>
      </c>
    </row>
    <row r="77" spans="1:22" s="44" customFormat="1" ht="15.75" customHeight="1">
      <c r="A77" s="24">
        <v>13</v>
      </c>
      <c r="B77" s="30" t="s">
        <v>146</v>
      </c>
      <c r="C77" s="106" t="s">
        <v>147</v>
      </c>
      <c r="D77" s="30"/>
      <c r="E77" s="15">
        <v>1</v>
      </c>
      <c r="F77" s="29">
        <v>1</v>
      </c>
      <c r="G77" s="29">
        <v>735</v>
      </c>
      <c r="H77" s="75">
        <f t="shared" ref="H77:H79" si="13">SUM(F77*G77/1000)</f>
        <v>0.73499999999999999</v>
      </c>
      <c r="I77" s="12">
        <f>G77*1</f>
        <v>735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3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3"/>
        <v>1.1187199999999999</v>
      </c>
      <c r="I79" s="12">
        <v>0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125</v>
      </c>
      <c r="H80" s="75" t="s">
        <v>125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118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10"/>
        <v>2.1714540000000002</v>
      </c>
      <c r="I81" s="12">
        <v>0</v>
      </c>
    </row>
    <row r="82" spans="1:9" s="44" customFormat="1" ht="21" customHeight="1">
      <c r="A82" s="24"/>
      <c r="B82" s="73" t="s">
        <v>116</v>
      </c>
      <c r="C82" s="12"/>
      <c r="D82" s="12"/>
      <c r="E82" s="12"/>
      <c r="F82" s="12"/>
      <c r="G82" s="12"/>
      <c r="H82" s="12"/>
      <c r="I82" s="12"/>
    </row>
    <row r="83" spans="1:9" s="44" customFormat="1" ht="21.75" customHeight="1">
      <c r="A83" s="24">
        <v>14</v>
      </c>
      <c r="B83" s="85" t="s">
        <v>117</v>
      </c>
      <c r="C83" s="112"/>
      <c r="D83" s="113"/>
      <c r="E83" s="114"/>
      <c r="F83" s="115">
        <v>1</v>
      </c>
      <c r="G83" s="115">
        <v>9822</v>
      </c>
      <c r="H83" s="75">
        <f>G83*F83/1000</f>
        <v>9.8219999999999992</v>
      </c>
      <c r="I83" s="12">
        <f>G83</f>
        <v>9822</v>
      </c>
    </row>
    <row r="84" spans="1:9" s="44" customFormat="1" ht="15.75" customHeight="1">
      <c r="A84" s="202" t="s">
        <v>132</v>
      </c>
      <c r="B84" s="203"/>
      <c r="C84" s="203"/>
      <c r="D84" s="203"/>
      <c r="E84" s="203"/>
      <c r="F84" s="203"/>
      <c r="G84" s="203"/>
      <c r="H84" s="203"/>
      <c r="I84" s="204"/>
    </row>
    <row r="85" spans="1:9" s="44" customFormat="1" ht="15.75" customHeight="1">
      <c r="A85" s="61">
        <v>15</v>
      </c>
      <c r="B85" s="85" t="s">
        <v>119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16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I86++I85+I83+I77+I76++I63+I74+I48+I40+I39+I38+I37+I25+I18+I17+I16</f>
        <v>75240.489355000012</v>
      </c>
    </row>
    <row r="88" spans="1:9" s="44" customFormat="1" ht="15.75" customHeight="1">
      <c r="A88" s="191" t="s">
        <v>57</v>
      </c>
      <c r="B88" s="192"/>
      <c r="C88" s="192"/>
      <c r="D88" s="192"/>
      <c r="E88" s="192"/>
      <c r="F88" s="192"/>
      <c r="G88" s="192"/>
      <c r="H88" s="192"/>
      <c r="I88" s="193"/>
    </row>
    <row r="89" spans="1:9" s="44" customFormat="1" ht="32.25" customHeight="1">
      <c r="A89" s="24">
        <v>17</v>
      </c>
      <c r="B89" s="77" t="s">
        <v>167</v>
      </c>
      <c r="C89" s="78" t="s">
        <v>29</v>
      </c>
      <c r="D89" s="30"/>
      <c r="E89" s="15"/>
      <c r="F89" s="29">
        <v>7</v>
      </c>
      <c r="G89" s="143">
        <v>20547.34</v>
      </c>
      <c r="H89" s="75">
        <f>G89*F89/1000</f>
        <v>143.83138</v>
      </c>
      <c r="I89" s="59">
        <f>G89*0.599*10/1000</f>
        <v>123.07856659999999</v>
      </c>
    </row>
    <row r="90" spans="1:9" s="44" customFormat="1" ht="14.25" customHeight="1">
      <c r="A90" s="24">
        <v>18</v>
      </c>
      <c r="B90" s="77" t="s">
        <v>291</v>
      </c>
      <c r="C90" s="78" t="s">
        <v>82</v>
      </c>
      <c r="D90" s="30"/>
      <c r="E90" s="15"/>
      <c r="F90" s="29">
        <v>1</v>
      </c>
      <c r="G90" s="29">
        <v>2449.14</v>
      </c>
      <c r="H90" s="75"/>
      <c r="I90" s="59">
        <f>G90*1</f>
        <v>2449.14</v>
      </c>
    </row>
    <row r="91" spans="1:9" s="44" customFormat="1" ht="31.5" customHeight="1">
      <c r="A91" s="24">
        <v>19</v>
      </c>
      <c r="B91" s="77" t="s">
        <v>232</v>
      </c>
      <c r="C91" s="78" t="s">
        <v>233</v>
      </c>
      <c r="D91" s="30"/>
      <c r="E91" s="15"/>
      <c r="F91" s="29">
        <v>0.11</v>
      </c>
      <c r="G91" s="29">
        <v>667.05</v>
      </c>
      <c r="H91" s="75"/>
      <c r="I91" s="76">
        <f>G91*0.1</f>
        <v>66.704999999999998</v>
      </c>
    </row>
    <row r="92" spans="1:9" s="44" customFormat="1" ht="33.75" customHeight="1">
      <c r="A92" s="24">
        <v>20</v>
      </c>
      <c r="B92" s="77" t="s">
        <v>168</v>
      </c>
      <c r="C92" s="78" t="s">
        <v>36</v>
      </c>
      <c r="D92" s="30" t="s">
        <v>182</v>
      </c>
      <c r="E92" s="15"/>
      <c r="F92" s="29">
        <v>0.06</v>
      </c>
      <c r="G92" s="29">
        <v>4070.89</v>
      </c>
      <c r="H92" s="75"/>
      <c r="I92" s="76">
        <v>0</v>
      </c>
    </row>
    <row r="93" spans="1:9" s="44" customFormat="1" ht="33.75" customHeight="1">
      <c r="A93" s="24">
        <v>21</v>
      </c>
      <c r="B93" s="77" t="s">
        <v>122</v>
      </c>
      <c r="C93" s="78" t="s">
        <v>123</v>
      </c>
      <c r="D93" s="30" t="s">
        <v>293</v>
      </c>
      <c r="E93" s="15"/>
      <c r="F93" s="29">
        <v>3</v>
      </c>
      <c r="G93" s="29">
        <v>61.58</v>
      </c>
      <c r="H93" s="75"/>
      <c r="I93" s="76">
        <f>G93*1</f>
        <v>61.58</v>
      </c>
    </row>
    <row r="94" spans="1:9" s="44" customFormat="1" ht="18" customHeight="1">
      <c r="A94" s="24">
        <v>22</v>
      </c>
      <c r="B94" s="77" t="s">
        <v>76</v>
      </c>
      <c r="C94" s="78" t="s">
        <v>82</v>
      </c>
      <c r="D94" s="30"/>
      <c r="E94" s="15"/>
      <c r="F94" s="29">
        <v>5</v>
      </c>
      <c r="G94" s="29">
        <v>215.85</v>
      </c>
      <c r="H94" s="75"/>
      <c r="I94" s="76">
        <f>G94*1</f>
        <v>215.85</v>
      </c>
    </row>
    <row r="95" spans="1:9" s="44" customFormat="1" ht="15.75" customHeight="1">
      <c r="A95" s="24">
        <v>23</v>
      </c>
      <c r="B95" s="77" t="s">
        <v>188</v>
      </c>
      <c r="C95" s="78" t="s">
        <v>82</v>
      </c>
      <c r="D95" s="30" t="s">
        <v>287</v>
      </c>
      <c r="E95" s="15"/>
      <c r="F95" s="29">
        <v>3</v>
      </c>
      <c r="G95" s="29">
        <v>534.51</v>
      </c>
      <c r="H95" s="75"/>
      <c r="I95" s="76">
        <f>G95*1</f>
        <v>534.51</v>
      </c>
    </row>
    <row r="96" spans="1:9" s="44" customFormat="1" ht="15.75" customHeight="1">
      <c r="A96" s="24">
        <v>24</v>
      </c>
      <c r="B96" s="77" t="s">
        <v>201</v>
      </c>
      <c r="C96" s="78" t="s">
        <v>202</v>
      </c>
      <c r="D96" s="30" t="s">
        <v>182</v>
      </c>
      <c r="E96" s="15"/>
      <c r="F96" s="29">
        <v>0.08</v>
      </c>
      <c r="G96" s="29">
        <v>27139.18</v>
      </c>
      <c r="H96" s="75"/>
      <c r="I96" s="76">
        <v>0</v>
      </c>
    </row>
    <row r="97" spans="1:9" s="44" customFormat="1" ht="31.5" customHeight="1">
      <c r="A97" s="24">
        <v>25</v>
      </c>
      <c r="B97" s="186" t="s">
        <v>288</v>
      </c>
      <c r="C97" s="109" t="s">
        <v>289</v>
      </c>
      <c r="D97" s="30" t="s">
        <v>292</v>
      </c>
      <c r="E97" s="15"/>
      <c r="F97" s="185">
        <v>1</v>
      </c>
      <c r="G97" s="29">
        <v>458.9</v>
      </c>
      <c r="H97" s="75"/>
      <c r="I97" s="76">
        <f>G97*1</f>
        <v>458.9</v>
      </c>
    </row>
    <row r="98" spans="1:9" s="44" customFormat="1" ht="15.75" customHeight="1">
      <c r="A98" s="24">
        <v>26</v>
      </c>
      <c r="B98" s="77" t="s">
        <v>290</v>
      </c>
      <c r="C98" s="78" t="s">
        <v>29</v>
      </c>
      <c r="D98" s="30" t="s">
        <v>182</v>
      </c>
      <c r="E98" s="15"/>
      <c r="F98" s="29">
        <v>0.1</v>
      </c>
      <c r="G98" s="29">
        <v>904.65</v>
      </c>
      <c r="H98" s="75"/>
      <c r="I98" s="76">
        <v>0</v>
      </c>
    </row>
    <row r="99" spans="1:9" ht="15.75" customHeight="1">
      <c r="A99" s="24"/>
      <c r="B99" s="60" t="s">
        <v>49</v>
      </c>
      <c r="C99" s="32"/>
      <c r="D99" s="38"/>
      <c r="E99" s="32">
        <v>1</v>
      </c>
      <c r="F99" s="32"/>
      <c r="G99" s="32"/>
      <c r="H99" s="32"/>
      <c r="I99" s="27">
        <f>SUM(I89:I98)</f>
        <v>3909.7635666000001</v>
      </c>
    </row>
    <row r="100" spans="1:9" ht="15.75" customHeight="1">
      <c r="A100" s="24"/>
      <c r="B100" s="37" t="s">
        <v>74</v>
      </c>
      <c r="C100" s="14"/>
      <c r="D100" s="14"/>
      <c r="E100" s="33"/>
      <c r="F100" s="33"/>
      <c r="G100" s="34"/>
      <c r="H100" s="34"/>
      <c r="I100" s="15">
        <v>0</v>
      </c>
    </row>
    <row r="101" spans="1:9">
      <c r="A101" s="39"/>
      <c r="B101" s="36" t="s">
        <v>138</v>
      </c>
      <c r="C101" s="28"/>
      <c r="D101" s="28"/>
      <c r="E101" s="28"/>
      <c r="F101" s="28"/>
      <c r="G101" s="28"/>
      <c r="H101" s="28"/>
      <c r="I101" s="35">
        <f>I87+I99</f>
        <v>79150.252921600011</v>
      </c>
    </row>
    <row r="102" spans="1:9" ht="15.75">
      <c r="A102" s="194" t="s">
        <v>294</v>
      </c>
      <c r="B102" s="194"/>
      <c r="C102" s="194"/>
      <c r="D102" s="194"/>
      <c r="E102" s="194"/>
      <c r="F102" s="194"/>
      <c r="G102" s="194"/>
      <c r="H102" s="194"/>
      <c r="I102" s="194"/>
    </row>
    <row r="103" spans="1:9" ht="15.75">
      <c r="A103" s="68"/>
      <c r="B103" s="195" t="s">
        <v>295</v>
      </c>
      <c r="C103" s="195"/>
      <c r="D103" s="195"/>
      <c r="E103" s="195"/>
      <c r="F103" s="195"/>
      <c r="G103" s="195"/>
      <c r="H103" s="43"/>
      <c r="I103" s="3"/>
    </row>
    <row r="104" spans="1:9" ht="15.75" customHeight="1">
      <c r="A104" s="71"/>
      <c r="B104" s="196" t="s">
        <v>6</v>
      </c>
      <c r="C104" s="196"/>
      <c r="D104" s="196"/>
      <c r="E104" s="196"/>
      <c r="F104" s="196"/>
      <c r="G104" s="196"/>
      <c r="H104" s="19"/>
      <c r="I104" s="5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>
      <c r="A106" s="197" t="s">
        <v>7</v>
      </c>
      <c r="B106" s="197"/>
      <c r="C106" s="197"/>
      <c r="D106" s="197"/>
      <c r="E106" s="197"/>
      <c r="F106" s="197"/>
      <c r="G106" s="197"/>
      <c r="H106" s="197"/>
      <c r="I106" s="197"/>
    </row>
    <row r="107" spans="1:9" ht="15.75">
      <c r="A107" s="197" t="s">
        <v>8</v>
      </c>
      <c r="B107" s="197"/>
      <c r="C107" s="197"/>
      <c r="D107" s="197"/>
      <c r="E107" s="197"/>
      <c r="F107" s="197"/>
      <c r="G107" s="197"/>
      <c r="H107" s="197"/>
      <c r="I107" s="197"/>
    </row>
    <row r="108" spans="1:9" ht="15.75" customHeight="1">
      <c r="A108" s="198" t="s">
        <v>58</v>
      </c>
      <c r="B108" s="198"/>
      <c r="C108" s="198"/>
      <c r="D108" s="198"/>
      <c r="E108" s="198"/>
      <c r="F108" s="198"/>
      <c r="G108" s="198"/>
      <c r="H108" s="198"/>
      <c r="I108" s="198"/>
    </row>
    <row r="109" spans="1:9" ht="15.75">
      <c r="A109" s="10"/>
    </row>
    <row r="110" spans="1:9" ht="15.75">
      <c r="A110" s="199" t="s">
        <v>9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15.75">
      <c r="A111" s="4"/>
    </row>
    <row r="112" spans="1:9" ht="15.75">
      <c r="B112" s="72" t="s">
        <v>10</v>
      </c>
      <c r="C112" s="200" t="s">
        <v>272</v>
      </c>
      <c r="D112" s="200"/>
      <c r="E112" s="200"/>
      <c r="F112" s="41"/>
      <c r="I112" s="70"/>
    </row>
    <row r="113" spans="1:9">
      <c r="A113" s="71"/>
      <c r="C113" s="196" t="s">
        <v>11</v>
      </c>
      <c r="D113" s="196"/>
      <c r="E113" s="196"/>
      <c r="F113" s="19"/>
      <c r="I113" s="69" t="s">
        <v>12</v>
      </c>
    </row>
    <row r="114" spans="1:9" ht="15.75">
      <c r="A114" s="20"/>
      <c r="C114" s="11"/>
      <c r="D114" s="11"/>
      <c r="G114" s="11"/>
      <c r="H114" s="11"/>
    </row>
    <row r="115" spans="1:9" ht="15.75">
      <c r="B115" s="72" t="s">
        <v>13</v>
      </c>
      <c r="C115" s="201"/>
      <c r="D115" s="201"/>
      <c r="E115" s="201"/>
      <c r="F115" s="42"/>
      <c r="I115" s="70"/>
    </row>
    <row r="116" spans="1:9">
      <c r="A116" s="71"/>
      <c r="C116" s="190" t="s">
        <v>11</v>
      </c>
      <c r="D116" s="190"/>
      <c r="E116" s="190"/>
      <c r="F116" s="71"/>
      <c r="I116" s="69" t="s">
        <v>12</v>
      </c>
    </row>
    <row r="117" spans="1:9" ht="15.75">
      <c r="A117" s="4" t="s">
        <v>14</v>
      </c>
    </row>
    <row r="118" spans="1:9" ht="15" customHeight="1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5" customHeight="1">
      <c r="A119" s="188" t="s">
        <v>16</v>
      </c>
      <c r="B119" s="188"/>
      <c r="C119" s="188"/>
      <c r="D119" s="188"/>
      <c r="E119" s="188"/>
      <c r="F119" s="188"/>
      <c r="G119" s="188"/>
      <c r="H119" s="188"/>
      <c r="I119" s="188"/>
    </row>
    <row r="120" spans="1:9" ht="30" customHeight="1">
      <c r="A120" s="188" t="s">
        <v>17</v>
      </c>
      <c r="B120" s="188"/>
      <c r="C120" s="188"/>
      <c r="D120" s="188"/>
      <c r="E120" s="188"/>
      <c r="F120" s="188"/>
      <c r="G120" s="188"/>
      <c r="H120" s="188"/>
      <c r="I120" s="188"/>
    </row>
    <row r="121" spans="1:9" ht="30" customHeight="1">
      <c r="A121" s="188" t="s">
        <v>21</v>
      </c>
      <c r="B121" s="188"/>
      <c r="C121" s="188"/>
      <c r="D121" s="188"/>
      <c r="E121" s="188"/>
      <c r="F121" s="188"/>
      <c r="G121" s="188"/>
      <c r="H121" s="188"/>
      <c r="I121" s="188"/>
    </row>
    <row r="122" spans="1:9" ht="15" customHeight="1">
      <c r="A122" s="188" t="s">
        <v>20</v>
      </c>
      <c r="B122" s="188"/>
      <c r="C122" s="188"/>
      <c r="D122" s="188"/>
      <c r="E122" s="188"/>
      <c r="F122" s="188"/>
      <c r="G122" s="188"/>
      <c r="H122" s="188"/>
      <c r="I122" s="188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E116"/>
    <mergeCell ref="A88:I88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4"/>
  <sheetViews>
    <sheetView topLeftCell="A74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133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195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>
        <v>43890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125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2" t="s">
        <v>148</v>
      </c>
      <c r="B27" s="213"/>
      <c r="C27" s="213"/>
      <c r="D27" s="213"/>
      <c r="E27" s="213"/>
      <c r="F27" s="213"/>
      <c r="G27" s="213"/>
      <c r="H27" s="213"/>
      <c r="I27" s="214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95</v>
      </c>
      <c r="C29" s="86" t="s">
        <v>96</v>
      </c>
      <c r="D29" s="85" t="s">
        <v>97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2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129</v>
      </c>
      <c r="C30" s="86" t="s">
        <v>96</v>
      </c>
      <c r="D30" s="85" t="s">
        <v>139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2"/>
        <v>1.4763776040000001</v>
      </c>
      <c r="I30" s="12">
        <f t="shared" ref="I30:I40" si="3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96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2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98</v>
      </c>
      <c r="C32" s="86" t="s">
        <v>38</v>
      </c>
      <c r="D32" s="85" t="s">
        <v>140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3"/>
        <v>819.66240000000005</v>
      </c>
      <c r="J32" s="45"/>
    </row>
    <row r="33" spans="1:14" s="44" customFormat="1" ht="15.75" hidden="1" customHeight="1">
      <c r="A33" s="24">
        <v>9</v>
      </c>
      <c r="B33" s="85" t="s">
        <v>99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3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2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2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125</v>
      </c>
      <c r="I36" s="12"/>
      <c r="J36" s="45"/>
    </row>
    <row r="37" spans="1:14" s="44" customFormat="1" ht="15.75" customHeight="1">
      <c r="A37" s="24">
        <v>5</v>
      </c>
      <c r="B37" s="94" t="s">
        <v>26</v>
      </c>
      <c r="C37" s="86" t="s">
        <v>31</v>
      </c>
      <c r="D37" s="85" t="s">
        <v>196</v>
      </c>
      <c r="E37" s="87"/>
      <c r="F37" s="88">
        <v>5</v>
      </c>
      <c r="G37" s="88">
        <v>2003</v>
      </c>
      <c r="H37" s="89">
        <f t="shared" ref="H37:H42" si="4">SUM(F37*G37/1000)</f>
        <v>10.015000000000001</v>
      </c>
      <c r="I37" s="12">
        <f>G37*0.4</f>
        <v>801.2</v>
      </c>
      <c r="J37" s="45"/>
    </row>
    <row r="38" spans="1:14" s="44" customFormat="1" ht="15.75" customHeight="1">
      <c r="A38" s="24">
        <v>6</v>
      </c>
      <c r="B38" s="94" t="s">
        <v>141</v>
      </c>
      <c r="C38" s="95" t="s">
        <v>29</v>
      </c>
      <c r="D38" s="85" t="s">
        <v>179</v>
      </c>
      <c r="E38" s="87">
        <v>83.7</v>
      </c>
      <c r="F38" s="96">
        <f>E38*30/1000</f>
        <v>2.5110000000000001</v>
      </c>
      <c r="G38" s="88">
        <v>2757.78</v>
      </c>
      <c r="H38" s="89">
        <f t="shared" si="4"/>
        <v>6.9247855800000009</v>
      </c>
      <c r="I38" s="12">
        <f t="shared" si="3"/>
        <v>1154.1309300000003</v>
      </c>
      <c r="J38" s="45"/>
    </row>
    <row r="39" spans="1:14" s="44" customFormat="1" ht="15.75" customHeight="1">
      <c r="A39" s="24">
        <v>7</v>
      </c>
      <c r="B39" s="85" t="s">
        <v>64</v>
      </c>
      <c r="C39" s="86" t="s">
        <v>29</v>
      </c>
      <c r="D39" s="85" t="s">
        <v>180</v>
      </c>
      <c r="E39" s="88">
        <v>83.7</v>
      </c>
      <c r="F39" s="96">
        <f>SUM(E39*155/1000)</f>
        <v>12.9735</v>
      </c>
      <c r="G39" s="88">
        <v>460.02</v>
      </c>
      <c r="H39" s="89">
        <f t="shared" si="4"/>
        <v>5.9680694699999997</v>
      </c>
      <c r="I39" s="12">
        <f t="shared" si="3"/>
        <v>994.67824499999983</v>
      </c>
      <c r="J39" s="45"/>
    </row>
    <row r="40" spans="1:14" s="44" customFormat="1" ht="47.25" customHeight="1">
      <c r="A40" s="24">
        <v>8</v>
      </c>
      <c r="B40" s="85" t="s">
        <v>77</v>
      </c>
      <c r="C40" s="86" t="s">
        <v>96</v>
      </c>
      <c r="D40" s="85" t="s">
        <v>179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4"/>
        <v>19.111622760000003</v>
      </c>
      <c r="I40" s="12">
        <f t="shared" si="3"/>
        <v>3185.2704600000002</v>
      </c>
      <c r="J40" s="45"/>
    </row>
    <row r="41" spans="1:14" s="44" customFormat="1" ht="15.75" hidden="1" customHeight="1">
      <c r="A41" s="24">
        <v>8</v>
      </c>
      <c r="B41" s="85" t="s">
        <v>103</v>
      </c>
      <c r="C41" s="86" t="s">
        <v>96</v>
      </c>
      <c r="D41" s="85" t="s">
        <v>181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4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9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4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212" t="s">
        <v>130</v>
      </c>
      <c r="B43" s="213"/>
      <c r="C43" s="213"/>
      <c r="D43" s="213"/>
      <c r="E43" s="213"/>
      <c r="F43" s="213"/>
      <c r="G43" s="213"/>
      <c r="H43" s="213"/>
      <c r="I43" s="214"/>
      <c r="J43" s="45"/>
    </row>
    <row r="44" spans="1:14" s="44" customFormat="1" ht="15.75" hidden="1" customHeight="1">
      <c r="A44" s="24">
        <v>8</v>
      </c>
      <c r="B44" s="85" t="s">
        <v>104</v>
      </c>
      <c r="C44" s="86" t="s">
        <v>96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5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96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5"/>
        <v>1.1666292</v>
      </c>
      <c r="I45" s="12">
        <f t="shared" ref="I45:I51" si="6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96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5"/>
        <v>15.3249438636</v>
      </c>
      <c r="I46" s="12">
        <f t="shared" si="6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96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5"/>
        <v>5.3807195075999994</v>
      </c>
      <c r="I47" s="12">
        <f t="shared" si="6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9</v>
      </c>
      <c r="B48" s="85" t="s">
        <v>53</v>
      </c>
      <c r="C48" s="86" t="s">
        <v>96</v>
      </c>
      <c r="D48" s="85" t="s">
        <v>182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5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105</v>
      </c>
      <c r="C49" s="86" t="s">
        <v>96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5"/>
        <v>12.5131592</v>
      </c>
      <c r="I49" s="12">
        <f t="shared" si="6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106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5"/>
        <v>2.4349920000000003</v>
      </c>
      <c r="I50" s="12">
        <f t="shared" si="6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5"/>
        <v>0.14825839999999998</v>
      </c>
      <c r="I51" s="12">
        <f t="shared" si="6"/>
        <v>74.129199999999997</v>
      </c>
      <c r="J51" s="45"/>
      <c r="L51" s="17"/>
      <c r="M51" s="18"/>
      <c r="N51" s="26"/>
    </row>
    <row r="52" spans="1:14" s="44" customFormat="1" ht="21" hidden="1" customHeight="1">
      <c r="A52" s="24">
        <v>11</v>
      </c>
      <c r="B52" s="85" t="s">
        <v>107</v>
      </c>
      <c r="C52" s="86" t="s">
        <v>82</v>
      </c>
      <c r="D52" s="182">
        <v>43503</v>
      </c>
      <c r="E52" s="87">
        <v>90</v>
      </c>
      <c r="F52" s="88">
        <f>E52*3</f>
        <v>270</v>
      </c>
      <c r="G52" s="29">
        <v>185.08</v>
      </c>
      <c r="H52" s="89">
        <f t="shared" si="5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9.5" hidden="1" customHeight="1">
      <c r="A53" s="24">
        <v>12</v>
      </c>
      <c r="B53" s="85" t="s">
        <v>39</v>
      </c>
      <c r="C53" s="86" t="s">
        <v>82</v>
      </c>
      <c r="D53" s="182">
        <v>43503</v>
      </c>
      <c r="E53" s="87">
        <v>180</v>
      </c>
      <c r="F53" s="88">
        <f>SUM(E53)*3</f>
        <v>540</v>
      </c>
      <c r="G53" s="97">
        <v>86.15</v>
      </c>
      <c r="H53" s="89">
        <f t="shared" si="5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2" t="s">
        <v>131</v>
      </c>
      <c r="B54" s="213"/>
      <c r="C54" s="213"/>
      <c r="D54" s="213"/>
      <c r="E54" s="213"/>
      <c r="F54" s="213"/>
      <c r="G54" s="213"/>
      <c r="H54" s="213"/>
      <c r="I54" s="214"/>
      <c r="J54" s="45"/>
      <c r="L54" s="17"/>
      <c r="M54" s="18"/>
      <c r="N54" s="26"/>
    </row>
    <row r="55" spans="1:14" s="44" customFormat="1" ht="15.75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customHeight="1">
      <c r="A56" s="24">
        <v>10</v>
      </c>
      <c r="B56" s="85" t="s">
        <v>121</v>
      </c>
      <c r="C56" s="86" t="s">
        <v>86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G56*1.256</f>
        <v>2548.8008</v>
      </c>
      <c r="J56" s="45"/>
      <c r="L56" s="17"/>
      <c r="M56" s="18"/>
      <c r="N56" s="26"/>
    </row>
    <row r="57" spans="1:14" s="44" customFormat="1" ht="31.5" hidden="1" customHeight="1">
      <c r="A57" s="24">
        <v>14</v>
      </c>
      <c r="B57" s="85" t="s">
        <v>80</v>
      </c>
      <c r="C57" s="86" t="s">
        <v>86</v>
      </c>
      <c r="D57" s="85" t="s">
        <v>81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7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109</v>
      </c>
      <c r="C58" s="99" t="s">
        <v>110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14</v>
      </c>
      <c r="B59" s="85" t="s">
        <v>111</v>
      </c>
      <c r="C59" s="86" t="s">
        <v>86</v>
      </c>
      <c r="D59" s="85" t="s">
        <v>182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7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128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126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11</v>
      </c>
      <c r="B63" s="47" t="s">
        <v>83</v>
      </c>
      <c r="C63" s="48" t="s">
        <v>25</v>
      </c>
      <c r="D63" s="47" t="s">
        <v>183</v>
      </c>
      <c r="E63" s="49">
        <v>200</v>
      </c>
      <c r="F63" s="129">
        <f>E63*12</f>
        <v>2400</v>
      </c>
      <c r="G63" s="40">
        <v>1.4</v>
      </c>
      <c r="H63" s="50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0" t="s">
        <v>43</v>
      </c>
      <c r="C64" s="99"/>
      <c r="D64" s="98"/>
      <c r="E64" s="100"/>
      <c r="F64" s="103"/>
      <c r="G64" s="103"/>
      <c r="H64" s="101" t="s">
        <v>125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291.68</v>
      </c>
      <c r="H65" s="75">
        <f t="shared" ref="H65:H81" si="8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82</v>
      </c>
      <c r="D66" s="30" t="s">
        <v>149</v>
      </c>
      <c r="E66" s="15">
        <v>10</v>
      </c>
      <c r="F66" s="88">
        <f>E66</f>
        <v>10</v>
      </c>
      <c r="G66" s="29">
        <v>100.01</v>
      </c>
      <c r="H66" s="75">
        <f t="shared" si="8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112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8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113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8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8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114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8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9"/>
      <c r="S70" s="189"/>
      <c r="T70" s="189"/>
      <c r="U70" s="189"/>
    </row>
    <row r="71" spans="1:22" s="44" customFormat="1" ht="15.75" hidden="1" customHeight="1">
      <c r="A71" s="24">
        <v>19</v>
      </c>
      <c r="B71" s="108" t="s">
        <v>115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8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8"/>
        <v>0.39251999999999998</v>
      </c>
      <c r="I72" s="12">
        <v>0</v>
      </c>
    </row>
    <row r="73" spans="1:22" s="44" customFormat="1" ht="15.75" customHeight="1">
      <c r="A73" s="24"/>
      <c r="B73" s="121" t="s">
        <v>142</v>
      </c>
      <c r="C73" s="106"/>
      <c r="D73" s="30"/>
      <c r="E73" s="15"/>
      <c r="F73" s="104"/>
      <c r="G73" s="29"/>
      <c r="H73" s="75"/>
      <c r="I73" s="12"/>
    </row>
    <row r="74" spans="1:22" s="44" customFormat="1" ht="15.75" customHeight="1">
      <c r="A74" s="24">
        <v>12</v>
      </c>
      <c r="B74" s="30" t="s">
        <v>143</v>
      </c>
      <c r="C74" s="109" t="s">
        <v>144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9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125</v>
      </c>
      <c r="I75" s="12"/>
    </row>
    <row r="76" spans="1:22" s="44" customFormat="1" ht="15.75" hidden="1" customHeight="1">
      <c r="A76" s="24">
        <v>20</v>
      </c>
      <c r="B76" s="30" t="s">
        <v>145</v>
      </c>
      <c r="C76" s="106" t="s">
        <v>30</v>
      </c>
      <c r="D76" s="30" t="s">
        <v>63</v>
      </c>
      <c r="E76" s="15">
        <v>1</v>
      </c>
      <c r="F76" s="88">
        <f t="shared" ref="F76" si="10">E76</f>
        <v>1</v>
      </c>
      <c r="G76" s="29">
        <v>1029.1199999999999</v>
      </c>
      <c r="H76" s="75">
        <f>G76*F76/1000</f>
        <v>1.0291199999999998</v>
      </c>
      <c r="I76" s="12">
        <f>G76*2</f>
        <v>2058.2399999999998</v>
      </c>
    </row>
    <row r="77" spans="1:22" s="44" customFormat="1" ht="15.75" hidden="1" customHeight="1">
      <c r="A77" s="24">
        <v>21</v>
      </c>
      <c r="B77" s="30" t="s">
        <v>146</v>
      </c>
      <c r="C77" s="106" t="s">
        <v>147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1">SUM(F77*G77/1000)</f>
        <v>0.73499999999999999</v>
      </c>
      <c r="I77" s="12">
        <f>G77*2</f>
        <v>1470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1"/>
        <v>0.5262960000000001</v>
      </c>
      <c r="I78" s="12">
        <v>0</v>
      </c>
    </row>
    <row r="79" spans="1:22" s="44" customFormat="1" ht="15.75" hidden="1" customHeight="1">
      <c r="A79" s="24">
        <v>22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1"/>
        <v>1.1187199999999999</v>
      </c>
      <c r="I79" s="12">
        <f>G79*10</f>
        <v>11187.2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125</v>
      </c>
      <c r="H80" s="75" t="s">
        <v>125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118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8"/>
        <v>2.1714540000000002</v>
      </c>
      <c r="I81" s="12">
        <v>0</v>
      </c>
    </row>
    <row r="82" spans="1:9" s="44" customFormat="1" ht="15.75" hidden="1" customHeight="1">
      <c r="A82" s="24"/>
      <c r="B82" s="79" t="s">
        <v>116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117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02" t="s">
        <v>132</v>
      </c>
      <c r="B84" s="203"/>
      <c r="C84" s="203"/>
      <c r="D84" s="203"/>
      <c r="E84" s="203"/>
      <c r="F84" s="203"/>
      <c r="G84" s="203"/>
      <c r="H84" s="203"/>
      <c r="I84" s="204"/>
    </row>
    <row r="85" spans="1:9" s="44" customFormat="1" ht="15.75" customHeight="1">
      <c r="A85" s="61">
        <v>13</v>
      </c>
      <c r="B85" s="85" t="s">
        <v>119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14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I86+I85+I74+I63+I56+I48+I40+I39+I38+I37+I25+I18+I17+I16</f>
        <v>64400.470155000003</v>
      </c>
    </row>
    <row r="88" spans="1:9" s="44" customFormat="1" ht="15.75" customHeight="1">
      <c r="A88" s="191" t="s">
        <v>57</v>
      </c>
      <c r="B88" s="192"/>
      <c r="C88" s="192"/>
      <c r="D88" s="192"/>
      <c r="E88" s="192"/>
      <c r="F88" s="192"/>
      <c r="G88" s="192"/>
      <c r="H88" s="192"/>
      <c r="I88" s="193"/>
    </row>
    <row r="89" spans="1:9" s="44" customFormat="1" ht="31.5" customHeight="1">
      <c r="A89" s="24">
        <v>15</v>
      </c>
      <c r="B89" s="77" t="s">
        <v>167</v>
      </c>
      <c r="C89" s="78" t="s">
        <v>29</v>
      </c>
      <c r="D89" s="13"/>
      <c r="E89" s="16"/>
      <c r="F89" s="12">
        <v>8</v>
      </c>
      <c r="G89" s="29">
        <v>20547.34</v>
      </c>
      <c r="H89" s="54">
        <f t="shared" ref="H89:H90" si="12">G89*F89/1000</f>
        <v>164.37871999999999</v>
      </c>
      <c r="I89" s="12">
        <f>G89*0.599*10/1000</f>
        <v>123.07856659999999</v>
      </c>
    </row>
    <row r="90" spans="1:9" s="44" customFormat="1" ht="31.5" customHeight="1">
      <c r="A90" s="24">
        <v>16</v>
      </c>
      <c r="B90" s="77" t="s">
        <v>197</v>
      </c>
      <c r="C90" s="78" t="s">
        <v>82</v>
      </c>
      <c r="D90" s="30" t="s">
        <v>204</v>
      </c>
      <c r="E90" s="15"/>
      <c r="F90" s="29">
        <v>2</v>
      </c>
      <c r="G90" s="29">
        <v>1133.92</v>
      </c>
      <c r="H90" s="54">
        <f t="shared" si="12"/>
        <v>2.2678400000000001</v>
      </c>
      <c r="I90" s="12">
        <f>G90*2</f>
        <v>2267.84</v>
      </c>
    </row>
    <row r="91" spans="1:9" s="44" customFormat="1" ht="29.25" customHeight="1">
      <c r="A91" s="24">
        <v>17</v>
      </c>
      <c r="B91" s="77" t="s">
        <v>198</v>
      </c>
      <c r="C91" s="78" t="s">
        <v>82</v>
      </c>
      <c r="D91" s="30" t="s">
        <v>203</v>
      </c>
      <c r="E91" s="15"/>
      <c r="F91" s="29">
        <v>3</v>
      </c>
      <c r="G91" s="29">
        <v>945.36</v>
      </c>
      <c r="H91" s="54">
        <f>G91*F91/1000</f>
        <v>2.8360799999999999</v>
      </c>
      <c r="I91" s="59">
        <f>G91*3</f>
        <v>2836.08</v>
      </c>
    </row>
    <row r="92" spans="1:9" s="44" customFormat="1" ht="16.5" customHeight="1">
      <c r="A92" s="24">
        <v>18</v>
      </c>
      <c r="B92" s="77" t="s">
        <v>172</v>
      </c>
      <c r="C92" s="78" t="s">
        <v>82</v>
      </c>
      <c r="D92" s="30"/>
      <c r="E92" s="15"/>
      <c r="F92" s="29">
        <v>3</v>
      </c>
      <c r="G92" s="29">
        <v>98</v>
      </c>
      <c r="H92" s="54">
        <f>G92*F92/1000</f>
        <v>0.29399999999999998</v>
      </c>
      <c r="I92" s="12">
        <f>G92*3</f>
        <v>294</v>
      </c>
    </row>
    <row r="93" spans="1:9" s="44" customFormat="1" ht="18.75" customHeight="1">
      <c r="A93" s="24">
        <v>19</v>
      </c>
      <c r="B93" s="77" t="s">
        <v>171</v>
      </c>
      <c r="C93" s="78" t="s">
        <v>82</v>
      </c>
      <c r="D93" s="30"/>
      <c r="E93" s="15"/>
      <c r="F93" s="29">
        <v>1</v>
      </c>
      <c r="G93" s="29">
        <v>67</v>
      </c>
      <c r="H93" s="54"/>
      <c r="I93" s="59">
        <f>G93*1</f>
        <v>67</v>
      </c>
    </row>
    <row r="94" spans="1:9" s="44" customFormat="1" ht="15.75" customHeight="1">
      <c r="A94" s="24">
        <v>20</v>
      </c>
      <c r="B94" s="77" t="s">
        <v>199</v>
      </c>
      <c r="C94" s="78" t="s">
        <v>82</v>
      </c>
      <c r="D94" s="30"/>
      <c r="E94" s="15"/>
      <c r="F94" s="29">
        <v>2</v>
      </c>
      <c r="G94" s="29">
        <v>125</v>
      </c>
      <c r="H94" s="75">
        <f t="shared" ref="H94" si="13">G94*F94/1000</f>
        <v>0.25</v>
      </c>
      <c r="I94" s="59">
        <f>G94*2</f>
        <v>250</v>
      </c>
    </row>
    <row r="95" spans="1:9" s="44" customFormat="1" ht="18.75" customHeight="1">
      <c r="A95" s="24">
        <v>21</v>
      </c>
      <c r="B95" s="77" t="s">
        <v>170</v>
      </c>
      <c r="C95" s="78" t="s">
        <v>82</v>
      </c>
      <c r="D95" s="30"/>
      <c r="E95" s="15"/>
      <c r="F95" s="29">
        <v>4</v>
      </c>
      <c r="G95" s="29">
        <v>235</v>
      </c>
      <c r="H95" s="75"/>
      <c r="I95" s="59">
        <f>G95*4</f>
        <v>940</v>
      </c>
    </row>
    <row r="96" spans="1:9" s="44" customFormat="1" ht="21" customHeight="1">
      <c r="A96" s="24">
        <v>22</v>
      </c>
      <c r="B96" s="77" t="s">
        <v>173</v>
      </c>
      <c r="C96" s="78" t="s">
        <v>82</v>
      </c>
      <c r="D96" s="30"/>
      <c r="E96" s="15"/>
      <c r="F96" s="29">
        <v>1</v>
      </c>
      <c r="G96" s="29">
        <v>49</v>
      </c>
      <c r="H96" s="75"/>
      <c r="I96" s="59">
        <f>G96*1</f>
        <v>49</v>
      </c>
    </row>
    <row r="97" spans="1:9" s="44" customFormat="1" ht="35.25" customHeight="1">
      <c r="A97" s="24">
        <v>23</v>
      </c>
      <c r="B97" s="77" t="s">
        <v>168</v>
      </c>
      <c r="C97" s="78" t="s">
        <v>36</v>
      </c>
      <c r="D97" s="30"/>
      <c r="E97" s="15"/>
      <c r="F97" s="29">
        <v>0.04</v>
      </c>
      <c r="G97" s="29">
        <v>4070.89</v>
      </c>
      <c r="H97" s="75"/>
      <c r="I97" s="59">
        <f>G97*0.03</f>
        <v>122.12669999999999</v>
      </c>
    </row>
    <row r="98" spans="1:9" s="44" customFormat="1" ht="15.75" customHeight="1">
      <c r="A98" s="24">
        <v>24</v>
      </c>
      <c r="B98" s="77" t="s">
        <v>166</v>
      </c>
      <c r="C98" s="161" t="s">
        <v>127</v>
      </c>
      <c r="D98" s="30" t="s">
        <v>204</v>
      </c>
      <c r="E98" s="15"/>
      <c r="F98" s="29">
        <v>1</v>
      </c>
      <c r="G98" s="29">
        <v>335.25</v>
      </c>
      <c r="H98" s="75"/>
      <c r="I98" s="59">
        <f>G98*1</f>
        <v>335.25</v>
      </c>
    </row>
    <row r="99" spans="1:9" s="44" customFormat="1" ht="15.75" customHeight="1">
      <c r="A99" s="24">
        <v>25</v>
      </c>
      <c r="B99" s="77" t="s">
        <v>200</v>
      </c>
      <c r="C99" s="78" t="s">
        <v>29</v>
      </c>
      <c r="D99" s="30"/>
      <c r="E99" s="15"/>
      <c r="F99" s="29">
        <v>0.06</v>
      </c>
      <c r="G99" s="29">
        <v>1300.1199999999999</v>
      </c>
      <c r="H99" s="75"/>
      <c r="I99" s="59">
        <f>G99*0.06</f>
        <v>78.007199999999997</v>
      </c>
    </row>
    <row r="100" spans="1:9" s="44" customFormat="1" ht="15.75" customHeight="1">
      <c r="A100" s="24">
        <v>26</v>
      </c>
      <c r="B100" s="77" t="s">
        <v>201</v>
      </c>
      <c r="C100" s="78" t="s">
        <v>202</v>
      </c>
      <c r="D100" s="30"/>
      <c r="E100" s="15"/>
      <c r="F100" s="29">
        <v>0.01</v>
      </c>
      <c r="G100" s="29">
        <v>27139.18</v>
      </c>
      <c r="H100" s="75"/>
      <c r="I100" s="59">
        <f>G100*0.01</f>
        <v>271.39179999999999</v>
      </c>
    </row>
    <row r="101" spans="1:9" ht="15" customHeight="1">
      <c r="A101" s="24"/>
      <c r="B101" s="60" t="s">
        <v>49</v>
      </c>
      <c r="C101" s="32"/>
      <c r="D101" s="38"/>
      <c r="E101" s="32">
        <v>1</v>
      </c>
      <c r="F101" s="32"/>
      <c r="G101" s="32"/>
      <c r="H101" s="32"/>
      <c r="I101" s="27">
        <f>SUM(I89:I100)</f>
        <v>7633.7742666000004</v>
      </c>
    </row>
    <row r="102" spans="1:9" ht="15.75" customHeight="1">
      <c r="A102" s="24"/>
      <c r="B102" s="37" t="s">
        <v>74</v>
      </c>
      <c r="C102" s="14"/>
      <c r="D102" s="14"/>
      <c r="E102" s="33"/>
      <c r="F102" s="33"/>
      <c r="G102" s="34"/>
      <c r="H102" s="34"/>
      <c r="I102" s="15">
        <v>0</v>
      </c>
    </row>
    <row r="103" spans="1:9">
      <c r="A103" s="39"/>
      <c r="B103" s="36" t="s">
        <v>138</v>
      </c>
      <c r="C103" s="28"/>
      <c r="D103" s="28"/>
      <c r="E103" s="28"/>
      <c r="F103" s="28"/>
      <c r="G103" s="28"/>
      <c r="H103" s="28"/>
      <c r="I103" s="35">
        <f>I101+I87</f>
        <v>72034.2444216</v>
      </c>
    </row>
    <row r="104" spans="1:9" ht="15.75">
      <c r="A104" s="194" t="s">
        <v>205</v>
      </c>
      <c r="B104" s="194"/>
      <c r="C104" s="194"/>
      <c r="D104" s="194"/>
      <c r="E104" s="194"/>
      <c r="F104" s="194"/>
      <c r="G104" s="194"/>
      <c r="H104" s="194"/>
      <c r="I104" s="194"/>
    </row>
    <row r="105" spans="1:9" ht="15.75">
      <c r="A105" s="68"/>
      <c r="B105" s="195" t="s">
        <v>206</v>
      </c>
      <c r="C105" s="195"/>
      <c r="D105" s="195"/>
      <c r="E105" s="195"/>
      <c r="F105" s="195"/>
      <c r="G105" s="195"/>
      <c r="H105" s="43"/>
      <c r="I105" s="3"/>
    </row>
    <row r="106" spans="1:9" ht="15.75" customHeight="1">
      <c r="A106" s="84"/>
      <c r="B106" s="196" t="s">
        <v>6</v>
      </c>
      <c r="C106" s="196"/>
      <c r="D106" s="196"/>
      <c r="E106" s="196"/>
      <c r="F106" s="196"/>
      <c r="G106" s="196"/>
      <c r="H106" s="19"/>
      <c r="I106" s="5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>
      <c r="A108" s="197" t="s">
        <v>7</v>
      </c>
      <c r="B108" s="197"/>
      <c r="C108" s="197"/>
      <c r="D108" s="197"/>
      <c r="E108" s="197"/>
      <c r="F108" s="197"/>
      <c r="G108" s="197"/>
      <c r="H108" s="197"/>
      <c r="I108" s="197"/>
    </row>
    <row r="109" spans="1:9" ht="15.75">
      <c r="A109" s="197" t="s">
        <v>8</v>
      </c>
      <c r="B109" s="197"/>
      <c r="C109" s="197"/>
      <c r="D109" s="197"/>
      <c r="E109" s="197"/>
      <c r="F109" s="197"/>
      <c r="G109" s="197"/>
      <c r="H109" s="197"/>
      <c r="I109" s="197"/>
    </row>
    <row r="110" spans="1:9" ht="15.75" customHeight="1">
      <c r="A110" s="198" t="s">
        <v>58</v>
      </c>
      <c r="B110" s="198"/>
      <c r="C110" s="198"/>
      <c r="D110" s="198"/>
      <c r="E110" s="198"/>
      <c r="F110" s="198"/>
      <c r="G110" s="198"/>
      <c r="H110" s="198"/>
      <c r="I110" s="198"/>
    </row>
    <row r="111" spans="1:9" ht="15.75">
      <c r="A111" s="10"/>
    </row>
    <row r="112" spans="1:9" ht="15.75">
      <c r="A112" s="199" t="s">
        <v>9</v>
      </c>
      <c r="B112" s="199"/>
      <c r="C112" s="199"/>
      <c r="D112" s="199"/>
      <c r="E112" s="199"/>
      <c r="F112" s="199"/>
      <c r="G112" s="199"/>
      <c r="H112" s="199"/>
      <c r="I112" s="199"/>
    </row>
    <row r="113" spans="1:9" ht="15.75">
      <c r="A113" s="4"/>
    </row>
    <row r="114" spans="1:9" ht="15.75">
      <c r="B114" s="81" t="s">
        <v>10</v>
      </c>
      <c r="C114" s="200" t="s">
        <v>79</v>
      </c>
      <c r="D114" s="200"/>
      <c r="E114" s="200"/>
      <c r="F114" s="41"/>
      <c r="I114" s="83"/>
    </row>
    <row r="115" spans="1:9">
      <c r="A115" s="84"/>
      <c r="C115" s="196" t="s">
        <v>11</v>
      </c>
      <c r="D115" s="196"/>
      <c r="E115" s="196"/>
      <c r="F115" s="19"/>
      <c r="I115" s="82" t="s">
        <v>12</v>
      </c>
    </row>
    <row r="116" spans="1:9" ht="15.75">
      <c r="A116" s="20"/>
      <c r="C116" s="11"/>
      <c r="D116" s="11"/>
      <c r="G116" s="11"/>
      <c r="H116" s="11"/>
    </row>
    <row r="117" spans="1:9" ht="15.75">
      <c r="B117" s="81" t="s">
        <v>13</v>
      </c>
      <c r="C117" s="201"/>
      <c r="D117" s="201"/>
      <c r="E117" s="201"/>
      <c r="F117" s="42"/>
      <c r="I117" s="83"/>
    </row>
    <row r="118" spans="1:9">
      <c r="A118" s="84"/>
      <c r="C118" s="190" t="s">
        <v>11</v>
      </c>
      <c r="D118" s="190"/>
      <c r="E118" s="190"/>
      <c r="F118" s="84"/>
      <c r="I118" s="82" t="s">
        <v>12</v>
      </c>
    </row>
    <row r="119" spans="1:9" ht="15.75">
      <c r="A119" s="4" t="s">
        <v>14</v>
      </c>
    </row>
    <row r="120" spans="1:9" ht="15" customHeight="1">
      <c r="A120" s="187" t="s">
        <v>15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45" customHeight="1">
      <c r="A121" s="188" t="s">
        <v>16</v>
      </c>
      <c r="B121" s="188"/>
      <c r="C121" s="188"/>
      <c r="D121" s="188"/>
      <c r="E121" s="188"/>
      <c r="F121" s="188"/>
      <c r="G121" s="188"/>
      <c r="H121" s="188"/>
      <c r="I121" s="188"/>
    </row>
    <row r="122" spans="1:9" ht="30" customHeight="1">
      <c r="A122" s="188" t="s">
        <v>17</v>
      </c>
      <c r="B122" s="188"/>
      <c r="C122" s="188"/>
      <c r="D122" s="188"/>
      <c r="E122" s="188"/>
      <c r="F122" s="188"/>
      <c r="G122" s="188"/>
      <c r="H122" s="188"/>
      <c r="I122" s="188"/>
    </row>
    <row r="123" spans="1:9" ht="30" customHeight="1">
      <c r="A123" s="188" t="s">
        <v>21</v>
      </c>
      <c r="B123" s="188"/>
      <c r="C123" s="188"/>
      <c r="D123" s="188"/>
      <c r="E123" s="188"/>
      <c r="F123" s="188"/>
      <c r="G123" s="188"/>
      <c r="H123" s="188"/>
      <c r="I123" s="188"/>
    </row>
    <row r="124" spans="1:9" ht="15" customHeight="1">
      <c r="A124" s="188" t="s">
        <v>20</v>
      </c>
      <c r="B124" s="188"/>
      <c r="C124" s="188"/>
      <c r="D124" s="188"/>
      <c r="E124" s="188"/>
      <c r="F124" s="188"/>
      <c r="G124" s="188"/>
      <c r="H124" s="188"/>
      <c r="I124" s="188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18:E118"/>
    <mergeCell ref="A88:I8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4:I84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72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159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5" t="s">
        <v>154</v>
      </c>
      <c r="B3" s="205"/>
      <c r="C3" s="205"/>
      <c r="D3" s="205"/>
      <c r="E3" s="205"/>
      <c r="F3" s="205"/>
      <c r="G3" s="205"/>
      <c r="H3" s="205"/>
      <c r="I3" s="205"/>
      <c r="J3" s="3"/>
      <c r="K3" s="3"/>
      <c r="L3" s="3"/>
    </row>
    <row r="4" spans="1:13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13" ht="15.75">
      <c r="A5" s="205" t="s">
        <v>207</v>
      </c>
      <c r="B5" s="207"/>
      <c r="C5" s="207"/>
      <c r="D5" s="207"/>
      <c r="E5" s="207"/>
      <c r="F5" s="207"/>
      <c r="G5" s="207"/>
      <c r="H5" s="207"/>
      <c r="I5" s="207"/>
      <c r="J5" s="2"/>
      <c r="K5" s="2"/>
      <c r="L5" s="2"/>
      <c r="M5" s="2"/>
    </row>
    <row r="6" spans="1:13" ht="15.75">
      <c r="A6" s="2"/>
      <c r="B6" s="128"/>
      <c r="C6" s="128"/>
      <c r="D6" s="128"/>
      <c r="E6" s="128"/>
      <c r="F6" s="128"/>
      <c r="G6" s="128"/>
      <c r="H6" s="128"/>
      <c r="I6" s="25">
        <v>43921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  <c r="J26" s="45"/>
    </row>
    <row r="27" spans="1:10" s="44" customFormat="1" ht="15.75" hidden="1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95</v>
      </c>
      <c r="C28" s="86" t="s">
        <v>96</v>
      </c>
      <c r="D28" s="85" t="s">
        <v>97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129</v>
      </c>
      <c r="C29" s="86" t="s">
        <v>96</v>
      </c>
      <c r="D29" s="85" t="s">
        <v>139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2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98</v>
      </c>
      <c r="C31" s="86" t="s">
        <v>38</v>
      </c>
      <c r="D31" s="85" t="s">
        <v>140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99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7" t="s">
        <v>5</v>
      </c>
      <c r="C35" s="86"/>
      <c r="D35" s="85"/>
      <c r="E35" s="87"/>
      <c r="F35" s="88"/>
      <c r="G35" s="88"/>
      <c r="H35" s="89" t="s">
        <v>125</v>
      </c>
      <c r="I35" s="12"/>
      <c r="J35" s="45"/>
    </row>
    <row r="36" spans="1:14" s="44" customFormat="1" ht="14.25" customHeight="1">
      <c r="A36" s="24">
        <v>5</v>
      </c>
      <c r="B36" s="94" t="s">
        <v>26</v>
      </c>
      <c r="C36" s="86" t="s">
        <v>31</v>
      </c>
      <c r="D36" s="85" t="s">
        <v>208</v>
      </c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G36*0.3</f>
        <v>600.9</v>
      </c>
      <c r="J36" s="45"/>
    </row>
    <row r="37" spans="1:14" s="44" customFormat="1" ht="15.75" customHeight="1">
      <c r="A37" s="24">
        <v>6</v>
      </c>
      <c r="B37" s="94" t="s">
        <v>141</v>
      </c>
      <c r="C37" s="95" t="s">
        <v>29</v>
      </c>
      <c r="D37" s="85" t="s">
        <v>179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ref="I37:I39" si="5">F37/6*G37</f>
        <v>1154.1309300000003</v>
      </c>
      <c r="J37" s="45"/>
    </row>
    <row r="38" spans="1:14" s="44" customFormat="1" ht="15.75" customHeight="1">
      <c r="A38" s="24">
        <v>7</v>
      </c>
      <c r="B38" s="85" t="s">
        <v>64</v>
      </c>
      <c r="C38" s="86" t="s">
        <v>29</v>
      </c>
      <c r="D38" s="85" t="s">
        <v>180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5"/>
        <v>994.67824499999983</v>
      </c>
      <c r="J38" s="45"/>
    </row>
    <row r="39" spans="1:14" s="44" customFormat="1" ht="47.25" customHeight="1">
      <c r="A39" s="24">
        <v>8</v>
      </c>
      <c r="B39" s="85" t="s">
        <v>77</v>
      </c>
      <c r="C39" s="86" t="s">
        <v>96</v>
      </c>
      <c r="D39" s="85" t="s">
        <v>179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5"/>
        <v>3185.2704600000002</v>
      </c>
      <c r="J39" s="45"/>
    </row>
    <row r="40" spans="1:14" s="44" customFormat="1" ht="15.75" customHeight="1">
      <c r="A40" s="24">
        <v>9</v>
      </c>
      <c r="B40" s="85" t="s">
        <v>103</v>
      </c>
      <c r="C40" s="86" t="s">
        <v>96</v>
      </c>
      <c r="D40" s="85" t="s">
        <v>209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G40*F40/24</f>
        <v>47.060325000000006</v>
      </c>
      <c r="J40" s="45"/>
    </row>
    <row r="41" spans="1:14" s="44" customFormat="1" ht="15.75" customHeight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G41*F41/24</f>
        <v>36.556125000000002</v>
      </c>
      <c r="J41" s="45"/>
    </row>
    <row r="42" spans="1:14" s="44" customFormat="1" ht="15.75" hidden="1" customHeight="1">
      <c r="A42" s="212" t="s">
        <v>130</v>
      </c>
      <c r="B42" s="213"/>
      <c r="C42" s="213"/>
      <c r="D42" s="213"/>
      <c r="E42" s="213"/>
      <c r="F42" s="213"/>
      <c r="G42" s="213"/>
      <c r="H42" s="213"/>
      <c r="I42" s="214"/>
      <c r="J42" s="45"/>
    </row>
    <row r="43" spans="1:14" s="44" customFormat="1" ht="15.75" hidden="1" customHeight="1">
      <c r="A43" s="24">
        <v>8</v>
      </c>
      <c r="B43" s="85" t="s">
        <v>104</v>
      </c>
      <c r="C43" s="86" t="s">
        <v>96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6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96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6"/>
        <v>1.1666292</v>
      </c>
      <c r="I44" s="12">
        <f t="shared" ref="I44:I50" si="7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96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6"/>
        <v>15.3249438636</v>
      </c>
      <c r="I45" s="12">
        <f t="shared" si="7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96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6"/>
        <v>5.3807195075999994</v>
      </c>
      <c r="I46" s="12">
        <f t="shared" si="7"/>
        <v>2690.3597537999999</v>
      </c>
      <c r="J46" s="45"/>
      <c r="L46" s="17"/>
      <c r="M46" s="18"/>
      <c r="N46" s="26"/>
    </row>
    <row r="47" spans="1:14" s="44" customFormat="1" ht="15.75" hidden="1" customHeight="1">
      <c r="A47" s="24">
        <v>12</v>
      </c>
      <c r="B47" s="85" t="s">
        <v>53</v>
      </c>
      <c r="C47" s="86" t="s">
        <v>96</v>
      </c>
      <c r="D47" s="85" t="s">
        <v>137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6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105</v>
      </c>
      <c r="C48" s="86" t="s">
        <v>96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6"/>
        <v>12.5131592</v>
      </c>
      <c r="I48" s="12">
        <f t="shared" si="7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106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6"/>
        <v>2.4349920000000003</v>
      </c>
      <c r="I49" s="12">
        <f t="shared" si="7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6"/>
        <v>0.14825839999999998</v>
      </c>
      <c r="I50" s="12">
        <f t="shared" si="7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107</v>
      </c>
      <c r="C51" s="86" t="s">
        <v>82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6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82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6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212" t="s">
        <v>131</v>
      </c>
      <c r="B53" s="213"/>
      <c r="C53" s="213"/>
      <c r="D53" s="213"/>
      <c r="E53" s="213"/>
      <c r="F53" s="213"/>
      <c r="G53" s="213"/>
      <c r="H53" s="213"/>
      <c r="I53" s="214"/>
      <c r="J53" s="45"/>
      <c r="L53" s="17"/>
      <c r="M53" s="18"/>
      <c r="N53" s="26"/>
    </row>
    <row r="54" spans="1:14" s="44" customFormat="1" ht="15.75" hidden="1" customHeight="1">
      <c r="A54" s="24"/>
      <c r="B54" s="118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hidden="1" customHeight="1">
      <c r="A55" s="24">
        <v>11</v>
      </c>
      <c r="B55" s="85" t="s">
        <v>121</v>
      </c>
      <c r="C55" s="86" t="s">
        <v>86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G55*0.89</f>
        <v>1806.077</v>
      </c>
      <c r="J55" s="45"/>
      <c r="L55" s="17"/>
      <c r="M55" s="18"/>
      <c r="N55" s="26"/>
    </row>
    <row r="56" spans="1:14" s="44" customFormat="1" ht="31.5" hidden="1" customHeight="1">
      <c r="A56" s="24">
        <v>13</v>
      </c>
      <c r="B56" s="85" t="s">
        <v>80</v>
      </c>
      <c r="C56" s="86" t="s">
        <v>86</v>
      </c>
      <c r="D56" s="85" t="s">
        <v>81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8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109</v>
      </c>
      <c r="C57" s="99" t="s">
        <v>110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hidden="1" customHeight="1">
      <c r="A58" s="24">
        <v>12</v>
      </c>
      <c r="B58" s="85" t="s">
        <v>111</v>
      </c>
      <c r="C58" s="86" t="s">
        <v>86</v>
      </c>
      <c r="D58" s="85" t="s">
        <v>182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8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128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19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5.75" hidden="1" customHeight="1">
      <c r="A61" s="24">
        <v>14</v>
      </c>
      <c r="B61" s="98" t="s">
        <v>126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  <c r="J61" s="45"/>
      <c r="L61" s="17"/>
      <c r="M61" s="18"/>
      <c r="N61" s="26"/>
    </row>
    <row r="62" spans="1:14" s="44" customFormat="1" ht="15.75" customHeight="1">
      <c r="A62" s="24">
        <v>11</v>
      </c>
      <c r="B62" s="47" t="s">
        <v>83</v>
      </c>
      <c r="C62" s="48" t="s">
        <v>25</v>
      </c>
      <c r="D62" s="47" t="s">
        <v>183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hidden="1" customHeight="1">
      <c r="A63" s="24"/>
      <c r="B63" s="120" t="s">
        <v>43</v>
      </c>
      <c r="C63" s="99"/>
      <c r="D63" s="98"/>
      <c r="E63" s="100"/>
      <c r="F63" s="103"/>
      <c r="G63" s="103"/>
      <c r="H63" s="101" t="s">
        <v>125</v>
      </c>
      <c r="I63" s="12"/>
      <c r="J63" s="45"/>
      <c r="L63" s="17"/>
    </row>
    <row r="64" spans="1:14" s="44" customFormat="1" ht="15.75" hidden="1" customHeight="1">
      <c r="A64" s="24"/>
      <c r="B64" s="105" t="s">
        <v>44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291.68</v>
      </c>
      <c r="H64" s="75">
        <f t="shared" ref="H64:H80" si="9">SUM(F64*G64/1000)</f>
        <v>2.9168000000000003</v>
      </c>
      <c r="I64" s="12">
        <v>0</v>
      </c>
    </row>
    <row r="65" spans="1:22" s="44" customFormat="1" ht="15.75" hidden="1" customHeight="1">
      <c r="A65" s="61"/>
      <c r="B65" s="105" t="s">
        <v>45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100.01</v>
      </c>
      <c r="H65" s="75">
        <f t="shared" si="9"/>
        <v>1.0001</v>
      </c>
      <c r="I65" s="12">
        <v>0</v>
      </c>
    </row>
    <row r="66" spans="1:22" s="44" customFormat="1" ht="15.75" hidden="1" customHeight="1">
      <c r="A66" s="24">
        <v>22</v>
      </c>
      <c r="B66" s="105" t="s">
        <v>46</v>
      </c>
      <c r="C66" s="107" t="s">
        <v>112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9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5.75" hidden="1" customHeight="1">
      <c r="A67" s="62"/>
      <c r="B67" s="105" t="s">
        <v>47</v>
      </c>
      <c r="C67" s="106" t="s">
        <v>113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9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5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9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5.75" hidden="1" customHeight="1">
      <c r="A69" s="24"/>
      <c r="B69" s="108" t="s">
        <v>114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9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89"/>
      <c r="S69" s="189"/>
      <c r="T69" s="189"/>
      <c r="U69" s="189"/>
    </row>
    <row r="70" spans="1:22" s="44" customFormat="1" ht="15.75" hidden="1" customHeight="1">
      <c r="A70" s="24">
        <v>19</v>
      </c>
      <c r="B70" s="108" t="s">
        <v>115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9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9"/>
        <v>0.39251999999999998</v>
      </c>
      <c r="I71" s="12">
        <v>0</v>
      </c>
    </row>
    <row r="72" spans="1:22" s="44" customFormat="1" ht="15.75" customHeight="1">
      <c r="A72" s="24"/>
      <c r="B72" s="121" t="s">
        <v>142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12</v>
      </c>
      <c r="B73" s="30" t="s">
        <v>143</v>
      </c>
      <c r="C73" s="109" t="s">
        <v>144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10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1" t="s">
        <v>67</v>
      </c>
      <c r="C74" s="106"/>
      <c r="D74" s="30"/>
      <c r="E74" s="15"/>
      <c r="F74" s="29"/>
      <c r="G74" s="29"/>
      <c r="H74" s="75" t="s">
        <v>125</v>
      </c>
      <c r="I74" s="12"/>
    </row>
    <row r="75" spans="1:22" s="44" customFormat="1" ht="15.75" hidden="1" customHeight="1">
      <c r="A75" s="24">
        <v>20</v>
      </c>
      <c r="B75" s="30" t="s">
        <v>145</v>
      </c>
      <c r="C75" s="106" t="s">
        <v>30</v>
      </c>
      <c r="D75" s="30" t="s">
        <v>63</v>
      </c>
      <c r="E75" s="15">
        <v>1</v>
      </c>
      <c r="F75" s="88">
        <f t="shared" ref="F75" si="11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146</v>
      </c>
      <c r="C76" s="106" t="s">
        <v>147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2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2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2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2" t="s">
        <v>71</v>
      </c>
      <c r="C79" s="106"/>
      <c r="D79" s="30"/>
      <c r="E79" s="15"/>
      <c r="F79" s="29"/>
      <c r="G79" s="29" t="s">
        <v>125</v>
      </c>
      <c r="H79" s="75" t="s">
        <v>125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118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9"/>
        <v>2.1714540000000002</v>
      </c>
      <c r="I80" s="12">
        <v>0</v>
      </c>
    </row>
    <row r="81" spans="1:9" s="44" customFormat="1" ht="15.75" hidden="1" customHeight="1">
      <c r="A81" s="24"/>
      <c r="B81" s="127" t="s">
        <v>116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117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02" t="s">
        <v>132</v>
      </c>
      <c r="B83" s="203"/>
      <c r="C83" s="203"/>
      <c r="D83" s="203"/>
      <c r="E83" s="203"/>
      <c r="F83" s="203"/>
      <c r="G83" s="203"/>
      <c r="H83" s="203"/>
      <c r="I83" s="204"/>
    </row>
    <row r="84" spans="1:9" s="44" customFormat="1" ht="15.75" customHeight="1">
      <c r="A84" s="61">
        <v>13</v>
      </c>
      <c r="B84" s="85" t="s">
        <v>119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14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75</v>
      </c>
      <c r="C86" s="57"/>
      <c r="D86" s="56"/>
      <c r="E86" s="46"/>
      <c r="F86" s="46"/>
      <c r="G86" s="46"/>
      <c r="H86" s="58">
        <f>H85</f>
        <v>165.102</v>
      </c>
      <c r="I86" s="46">
        <f>I85+I84+I73+I62+I41+I40+I39+I38+I37+I36+I25+I18+I17+I16</f>
        <v>57475.00041500001</v>
      </c>
    </row>
    <row r="87" spans="1:9" s="44" customFormat="1" ht="15.75" customHeight="1">
      <c r="A87" s="191" t="s">
        <v>57</v>
      </c>
      <c r="B87" s="192"/>
      <c r="C87" s="192"/>
      <c r="D87" s="192"/>
      <c r="E87" s="192"/>
      <c r="F87" s="192"/>
      <c r="G87" s="192"/>
      <c r="H87" s="192"/>
      <c r="I87" s="193"/>
    </row>
    <row r="88" spans="1:9" s="44" customFormat="1" ht="32.25" customHeight="1">
      <c r="A88" s="24">
        <v>15</v>
      </c>
      <c r="B88" s="77" t="s">
        <v>167</v>
      </c>
      <c r="C88" s="78" t="s">
        <v>29</v>
      </c>
      <c r="D88" s="13"/>
      <c r="E88" s="16"/>
      <c r="F88" s="12">
        <v>31</v>
      </c>
      <c r="G88" s="29">
        <v>20547.34</v>
      </c>
      <c r="H88" s="54">
        <f>G88*F88/1000</f>
        <v>636.96753999999999</v>
      </c>
      <c r="I88" s="59">
        <f>G88*0.599*5/1000</f>
        <v>61.539283299999994</v>
      </c>
    </row>
    <row r="89" spans="1:9" s="44" customFormat="1" ht="19.5" customHeight="1">
      <c r="A89" s="24">
        <v>16</v>
      </c>
      <c r="B89" s="77" t="s">
        <v>210</v>
      </c>
      <c r="C89" s="78" t="s">
        <v>211</v>
      </c>
      <c r="D89" s="30"/>
      <c r="E89" s="15"/>
      <c r="F89" s="29">
        <v>0.02</v>
      </c>
      <c r="G89" s="29">
        <v>87398.8</v>
      </c>
      <c r="H89" s="54"/>
      <c r="I89" s="59">
        <f>G89*0.02</f>
        <v>1747.9760000000001</v>
      </c>
    </row>
    <row r="90" spans="1:9" s="44" customFormat="1" ht="19.5" customHeight="1">
      <c r="A90" s="24">
        <v>17</v>
      </c>
      <c r="B90" s="77" t="s">
        <v>212</v>
      </c>
      <c r="C90" s="78" t="s">
        <v>187</v>
      </c>
      <c r="D90" s="30"/>
      <c r="E90" s="15"/>
      <c r="F90" s="29">
        <v>1</v>
      </c>
      <c r="G90" s="29">
        <v>7276</v>
      </c>
      <c r="H90" s="54"/>
      <c r="I90" s="59">
        <f>G90*1</f>
        <v>7276</v>
      </c>
    </row>
    <row r="91" spans="1:9" s="44" customFormat="1" ht="19.5" customHeight="1">
      <c r="A91" s="24">
        <v>18</v>
      </c>
      <c r="B91" s="184" t="s">
        <v>224</v>
      </c>
      <c r="C91" s="78" t="s">
        <v>187</v>
      </c>
      <c r="D91" s="30"/>
      <c r="E91" s="15"/>
      <c r="F91" s="29"/>
      <c r="G91" s="29">
        <v>27000</v>
      </c>
      <c r="H91" s="54"/>
      <c r="I91" s="59">
        <f>G91*1</f>
        <v>27000</v>
      </c>
    </row>
    <row r="92" spans="1:9" ht="15.75" customHeight="1">
      <c r="A92" s="24"/>
      <c r="B92" s="60" t="s">
        <v>49</v>
      </c>
      <c r="C92" s="32"/>
      <c r="D92" s="38"/>
      <c r="E92" s="32">
        <v>1</v>
      </c>
      <c r="F92" s="32"/>
      <c r="G92" s="32"/>
      <c r="H92" s="32"/>
      <c r="I92" s="27">
        <f>SUM(I88:I91)</f>
        <v>36085.515283300003</v>
      </c>
    </row>
    <row r="93" spans="1:9" ht="15.75" customHeight="1">
      <c r="A93" s="24"/>
      <c r="B93" s="37" t="s">
        <v>74</v>
      </c>
      <c r="C93" s="14"/>
      <c r="D93" s="14"/>
      <c r="E93" s="33"/>
      <c r="F93" s="33"/>
      <c r="G93" s="34"/>
      <c r="H93" s="34"/>
      <c r="I93" s="15">
        <v>0</v>
      </c>
    </row>
    <row r="94" spans="1:9">
      <c r="A94" s="39"/>
      <c r="B94" s="36" t="s">
        <v>138</v>
      </c>
      <c r="C94" s="28"/>
      <c r="D94" s="28"/>
      <c r="E94" s="28"/>
      <c r="F94" s="28"/>
      <c r="G94" s="28"/>
      <c r="H94" s="28"/>
      <c r="I94" s="35">
        <f>I86+I92</f>
        <v>93560.515698300005</v>
      </c>
    </row>
    <row r="95" spans="1:9" ht="15.75">
      <c r="A95" s="194" t="s">
        <v>225</v>
      </c>
      <c r="B95" s="194"/>
      <c r="C95" s="194"/>
      <c r="D95" s="194"/>
      <c r="E95" s="194"/>
      <c r="F95" s="194"/>
      <c r="G95" s="194"/>
      <c r="H95" s="194"/>
      <c r="I95" s="194"/>
    </row>
    <row r="96" spans="1:9" ht="15.75">
      <c r="A96" s="68"/>
      <c r="B96" s="195" t="s">
        <v>226</v>
      </c>
      <c r="C96" s="195"/>
      <c r="D96" s="195"/>
      <c r="E96" s="195"/>
      <c r="F96" s="195"/>
      <c r="G96" s="195"/>
      <c r="H96" s="43"/>
      <c r="I96" s="3"/>
    </row>
    <row r="97" spans="1:9" ht="15.75" customHeight="1">
      <c r="A97" s="125"/>
      <c r="B97" s="196" t="s">
        <v>6</v>
      </c>
      <c r="C97" s="196"/>
      <c r="D97" s="196"/>
      <c r="E97" s="196"/>
      <c r="F97" s="196"/>
      <c r="G97" s="196"/>
      <c r="H97" s="19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97" t="s">
        <v>7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>
      <c r="A100" s="197" t="s">
        <v>8</v>
      </c>
      <c r="B100" s="197"/>
      <c r="C100" s="197"/>
      <c r="D100" s="197"/>
      <c r="E100" s="197"/>
      <c r="F100" s="197"/>
      <c r="G100" s="197"/>
      <c r="H100" s="197"/>
      <c r="I100" s="197"/>
    </row>
    <row r="101" spans="1:9" ht="15.75" customHeight="1">
      <c r="A101" s="198" t="s">
        <v>58</v>
      </c>
      <c r="B101" s="198"/>
      <c r="C101" s="198"/>
      <c r="D101" s="198"/>
      <c r="E101" s="198"/>
      <c r="F101" s="198"/>
      <c r="G101" s="198"/>
      <c r="H101" s="198"/>
      <c r="I101" s="198"/>
    </row>
    <row r="102" spans="1:9" ht="15.75">
      <c r="A102" s="10"/>
    </row>
    <row r="103" spans="1:9" ht="15.75">
      <c r="A103" s="199" t="s">
        <v>9</v>
      </c>
      <c r="B103" s="199"/>
      <c r="C103" s="199"/>
      <c r="D103" s="199"/>
      <c r="E103" s="199"/>
      <c r="F103" s="199"/>
      <c r="G103" s="199"/>
      <c r="H103" s="199"/>
      <c r="I103" s="199"/>
    </row>
    <row r="104" spans="1:9" ht="15.75">
      <c r="A104" s="4"/>
    </row>
    <row r="105" spans="1:9" ht="15.75">
      <c r="B105" s="126" t="s">
        <v>10</v>
      </c>
      <c r="C105" s="200" t="s">
        <v>79</v>
      </c>
      <c r="D105" s="200"/>
      <c r="E105" s="200"/>
      <c r="F105" s="41"/>
      <c r="I105" s="124"/>
    </row>
    <row r="106" spans="1:9">
      <c r="A106" s="125"/>
      <c r="C106" s="196" t="s">
        <v>11</v>
      </c>
      <c r="D106" s="196"/>
      <c r="E106" s="196"/>
      <c r="F106" s="19"/>
      <c r="I106" s="123" t="s">
        <v>12</v>
      </c>
    </row>
    <row r="107" spans="1:9" ht="15.75">
      <c r="A107" s="20"/>
      <c r="C107" s="11"/>
      <c r="D107" s="11"/>
      <c r="G107" s="11"/>
      <c r="H107" s="11"/>
    </row>
    <row r="108" spans="1:9" ht="15.75">
      <c r="B108" s="126" t="s">
        <v>13</v>
      </c>
      <c r="C108" s="201"/>
      <c r="D108" s="201"/>
      <c r="E108" s="201"/>
      <c r="F108" s="42"/>
      <c r="I108" s="124"/>
    </row>
    <row r="109" spans="1:9">
      <c r="A109" s="125"/>
      <c r="C109" s="190" t="s">
        <v>11</v>
      </c>
      <c r="D109" s="190"/>
      <c r="E109" s="190"/>
      <c r="F109" s="125"/>
      <c r="I109" s="123" t="s">
        <v>12</v>
      </c>
    </row>
    <row r="110" spans="1:9" ht="15.75">
      <c r="A110" s="4" t="s">
        <v>14</v>
      </c>
    </row>
    <row r="111" spans="1:9" ht="15" customHeight="1">
      <c r="A111" s="187" t="s">
        <v>15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45" customHeight="1">
      <c r="A112" s="188" t="s">
        <v>16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30" customHeight="1">
      <c r="A113" s="188" t="s">
        <v>17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30" customHeight="1">
      <c r="A114" s="188" t="s">
        <v>21</v>
      </c>
      <c r="B114" s="188"/>
      <c r="C114" s="188"/>
      <c r="D114" s="188"/>
      <c r="E114" s="188"/>
      <c r="F114" s="188"/>
      <c r="G114" s="188"/>
      <c r="H114" s="188"/>
      <c r="I114" s="188"/>
    </row>
    <row r="115" spans="1:9" ht="15" customHeight="1">
      <c r="A115" s="188" t="s">
        <v>20</v>
      </c>
      <c r="B115" s="188"/>
      <c r="C115" s="188"/>
      <c r="D115" s="188"/>
      <c r="E115" s="188"/>
      <c r="F115" s="188"/>
      <c r="G115" s="188"/>
      <c r="H115" s="188"/>
      <c r="I115" s="188"/>
    </row>
  </sheetData>
  <autoFilter ref="I12:I64"/>
  <mergeCells count="29">
    <mergeCell ref="A111:I111"/>
    <mergeCell ref="A112:I112"/>
    <mergeCell ref="A113:I113"/>
    <mergeCell ref="A114:I114"/>
    <mergeCell ref="A115:I115"/>
    <mergeCell ref="R69:U69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3:I3"/>
    <mergeCell ref="A4:I4"/>
    <mergeCell ref="A5:I5"/>
    <mergeCell ref="A8:I8"/>
    <mergeCell ref="A10:I10"/>
    <mergeCell ref="A14:I14"/>
    <mergeCell ref="A15:I15"/>
    <mergeCell ref="A26:I26"/>
    <mergeCell ref="A42:I42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4"/>
  <sheetViews>
    <sheetView topLeftCell="A15" workbookViewId="0">
      <selection activeCell="L98" sqref="L98"/>
    </sheetView>
  </sheetViews>
  <sheetFormatPr defaultRowHeight="15"/>
  <cols>
    <col min="2" max="2" width="51.42578125" customWidth="1"/>
    <col min="3" max="3" width="18.140625" customWidth="1"/>
    <col min="4" max="4" width="17.85546875" customWidth="1"/>
    <col min="5" max="6" width="0" hidden="1" customWidth="1"/>
    <col min="7" max="7" width="18.28515625" customWidth="1"/>
    <col min="8" max="8" width="0" hidden="1" customWidth="1"/>
    <col min="9" max="9" width="18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164</v>
      </c>
      <c r="B3" s="205"/>
      <c r="C3" s="205"/>
      <c r="D3" s="205"/>
      <c r="E3" s="205"/>
      <c r="F3" s="205"/>
      <c r="G3" s="205"/>
      <c r="H3" s="205"/>
      <c r="I3" s="205"/>
    </row>
    <row r="4" spans="1:9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213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34"/>
      <c r="C6" s="134"/>
      <c r="D6" s="134"/>
      <c r="E6" s="134"/>
      <c r="F6" s="134"/>
      <c r="G6" s="134"/>
      <c r="H6" s="134"/>
      <c r="I6" s="25">
        <v>43951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84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52.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61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idden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idden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idden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idden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idden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idden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idden="1">
      <c r="A28" s="24">
        <v>6</v>
      </c>
      <c r="B28" s="85" t="s">
        <v>95</v>
      </c>
      <c r="C28" s="86" t="s">
        <v>96</v>
      </c>
      <c r="D28" s="85" t="s">
        <v>97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</row>
    <row r="29" spans="1:9" ht="45" hidden="1">
      <c r="A29" s="24">
        <v>7</v>
      </c>
      <c r="B29" s="85" t="s">
        <v>129</v>
      </c>
      <c r="C29" s="86" t="s">
        <v>96</v>
      </c>
      <c r="D29" s="85" t="s">
        <v>139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</row>
    <row r="30" spans="1:9" hidden="1">
      <c r="A30" s="24">
        <v>5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</row>
    <row r="31" spans="1:9" hidden="1">
      <c r="A31" s="24">
        <v>8</v>
      </c>
      <c r="B31" s="85" t="s">
        <v>98</v>
      </c>
      <c r="C31" s="86" t="s">
        <v>38</v>
      </c>
      <c r="D31" s="85" t="s">
        <v>140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9</v>
      </c>
      <c r="B32" s="85" t="s">
        <v>99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</row>
    <row r="33" spans="1:9" hidden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</row>
    <row r="34" spans="1:9" hidden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</row>
    <row r="35" spans="1:9">
      <c r="A35" s="24"/>
      <c r="B35" s="117" t="s">
        <v>5</v>
      </c>
      <c r="C35" s="86"/>
      <c r="D35" s="85"/>
      <c r="E35" s="87"/>
      <c r="F35" s="88"/>
      <c r="G35" s="88"/>
      <c r="H35" s="89" t="s">
        <v>125</v>
      </c>
      <c r="I35" s="12"/>
    </row>
    <row r="36" spans="1:9" ht="15.75" hidden="1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G36*1.6</f>
        <v>3204.8</v>
      </c>
    </row>
    <row r="37" spans="1:9">
      <c r="A37" s="24">
        <v>5</v>
      </c>
      <c r="B37" s="94" t="s">
        <v>141</v>
      </c>
      <c r="C37" s="95" t="s">
        <v>29</v>
      </c>
      <c r="D37" s="85" t="s">
        <v>179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</row>
    <row r="38" spans="1:9">
      <c r="A38" s="24">
        <v>6</v>
      </c>
      <c r="B38" s="85" t="s">
        <v>64</v>
      </c>
      <c r="C38" s="86" t="s">
        <v>29</v>
      </c>
      <c r="D38" s="85" t="s">
        <v>180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</row>
    <row r="39" spans="1:9" ht="60">
      <c r="A39" s="24">
        <v>7</v>
      </c>
      <c r="B39" s="85" t="s">
        <v>77</v>
      </c>
      <c r="C39" s="86" t="s">
        <v>96</v>
      </c>
      <c r="D39" s="85" t="s">
        <v>179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</row>
    <row r="40" spans="1:9" hidden="1">
      <c r="A40" s="24">
        <v>9</v>
      </c>
      <c r="B40" s="85" t="s">
        <v>103</v>
      </c>
      <c r="C40" s="86" t="s">
        <v>96</v>
      </c>
      <c r="D40" s="85" t="s">
        <v>181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(F40/7.5*1.5)*G40</f>
        <v>225.88956000000002</v>
      </c>
    </row>
    <row r="41" spans="1:9" hidden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(F41/7.5*1.5)*G41</f>
        <v>175.46940000000004</v>
      </c>
    </row>
    <row r="42" spans="1:9" ht="19.5" hidden="1" customHeight="1">
      <c r="A42" s="212" t="s">
        <v>130</v>
      </c>
      <c r="B42" s="213"/>
      <c r="C42" s="213"/>
      <c r="D42" s="213"/>
      <c r="E42" s="213"/>
      <c r="F42" s="213"/>
      <c r="G42" s="213"/>
      <c r="H42" s="213"/>
      <c r="I42" s="214"/>
    </row>
    <row r="43" spans="1:9" ht="28.5" hidden="1" customHeight="1">
      <c r="A43" s="24">
        <v>8</v>
      </c>
      <c r="B43" s="85" t="s">
        <v>104</v>
      </c>
      <c r="C43" s="86" t="s">
        <v>96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</row>
    <row r="44" spans="1:9" ht="33.75" hidden="1" customHeight="1">
      <c r="A44" s="24"/>
      <c r="B44" s="85" t="s">
        <v>33</v>
      </c>
      <c r="C44" s="86" t="s">
        <v>96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</row>
    <row r="45" spans="1:9" ht="34.5" hidden="1" customHeight="1">
      <c r="A45" s="24">
        <v>9</v>
      </c>
      <c r="B45" s="85" t="s">
        <v>34</v>
      </c>
      <c r="C45" s="86" t="s">
        <v>96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</row>
    <row r="46" spans="1:9" ht="40.5" hidden="1" customHeight="1">
      <c r="A46" s="24">
        <v>10</v>
      </c>
      <c r="B46" s="85" t="s">
        <v>35</v>
      </c>
      <c r="C46" s="86" t="s">
        <v>96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</row>
    <row r="47" spans="1:9" ht="36.75" hidden="1" customHeight="1">
      <c r="A47" s="24">
        <v>12</v>
      </c>
      <c r="B47" s="85" t="s">
        <v>53</v>
      </c>
      <c r="C47" s="86" t="s">
        <v>96</v>
      </c>
      <c r="D47" s="85" t="s">
        <v>137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</row>
    <row r="48" spans="1:9" ht="37.5" hidden="1" customHeight="1">
      <c r="A48" s="24">
        <v>12</v>
      </c>
      <c r="B48" s="85" t="s">
        <v>105</v>
      </c>
      <c r="C48" s="86" t="s">
        <v>96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</row>
    <row r="49" spans="1:9" ht="33" hidden="1" customHeight="1">
      <c r="A49" s="24">
        <v>13</v>
      </c>
      <c r="B49" s="85" t="s">
        <v>106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</row>
    <row r="50" spans="1:9" ht="27" hidden="1" customHeight="1">
      <c r="A50" s="24">
        <v>14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</row>
    <row r="51" spans="1:9" ht="27.75" hidden="1" customHeight="1">
      <c r="A51" s="24">
        <v>13</v>
      </c>
      <c r="B51" s="85" t="s">
        <v>107</v>
      </c>
      <c r="C51" s="86" t="s">
        <v>82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</row>
    <row r="52" spans="1:9" ht="25.5" hidden="1" customHeight="1">
      <c r="A52" s="24">
        <v>14</v>
      </c>
      <c r="B52" s="85" t="s">
        <v>39</v>
      </c>
      <c r="C52" s="86" t="s">
        <v>82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</row>
    <row r="53" spans="1:9">
      <c r="A53" s="212" t="s">
        <v>134</v>
      </c>
      <c r="B53" s="213"/>
      <c r="C53" s="213"/>
      <c r="D53" s="213"/>
      <c r="E53" s="213"/>
      <c r="F53" s="213"/>
      <c r="G53" s="213"/>
      <c r="H53" s="213"/>
      <c r="I53" s="214"/>
    </row>
    <row r="54" spans="1:9" hidden="1">
      <c r="A54" s="24"/>
      <c r="B54" s="118" t="s">
        <v>41</v>
      </c>
      <c r="C54" s="86"/>
      <c r="D54" s="85"/>
      <c r="E54" s="87"/>
      <c r="F54" s="88"/>
      <c r="G54" s="88"/>
      <c r="H54" s="89"/>
      <c r="I54" s="12"/>
    </row>
    <row r="55" spans="1:9" ht="30" hidden="1">
      <c r="A55" s="24">
        <v>15</v>
      </c>
      <c r="B55" s="85" t="s">
        <v>121</v>
      </c>
      <c r="C55" s="86" t="s">
        <v>86</v>
      </c>
      <c r="D55" s="150" t="s">
        <v>155</v>
      </c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G55*0.48</f>
        <v>974.06399999999996</v>
      </c>
    </row>
    <row r="56" spans="1:9" ht="30" hidden="1">
      <c r="A56" s="24">
        <v>16</v>
      </c>
      <c r="B56" s="85" t="s">
        <v>80</v>
      </c>
      <c r="C56" s="86" t="s">
        <v>86</v>
      </c>
      <c r="D56" s="85" t="s">
        <v>81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</row>
    <row r="57" spans="1:9" hidden="1">
      <c r="A57" s="24">
        <v>20</v>
      </c>
      <c r="B57" s="98" t="s">
        <v>109</v>
      </c>
      <c r="C57" s="99" t="s">
        <v>110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</row>
    <row r="58" spans="1:9" ht="21.75" hidden="1" customHeight="1">
      <c r="A58" s="24">
        <v>11</v>
      </c>
      <c r="B58" s="85" t="s">
        <v>111</v>
      </c>
      <c r="C58" s="86" t="s">
        <v>86</v>
      </c>
      <c r="D58" s="85" t="s">
        <v>182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</row>
    <row r="59" spans="1:9" ht="22.5" hidden="1" customHeight="1">
      <c r="A59" s="24"/>
      <c r="B59" s="98" t="s">
        <v>128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</row>
    <row r="60" spans="1:9">
      <c r="A60" s="24"/>
      <c r="B60" s="119" t="s">
        <v>42</v>
      </c>
      <c r="C60" s="99"/>
      <c r="D60" s="98"/>
      <c r="E60" s="100"/>
      <c r="F60" s="101"/>
      <c r="G60" s="29"/>
      <c r="H60" s="102"/>
      <c r="I60" s="12"/>
    </row>
    <row r="61" spans="1:9" hidden="1">
      <c r="A61" s="24">
        <v>14</v>
      </c>
      <c r="B61" s="98" t="s">
        <v>126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</row>
    <row r="62" spans="1:9">
      <c r="A62" s="24">
        <v>8</v>
      </c>
      <c r="B62" s="47" t="s">
        <v>83</v>
      </c>
      <c r="C62" s="48" t="s">
        <v>25</v>
      </c>
      <c r="D62" s="47" t="s">
        <v>183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</row>
    <row r="63" spans="1:9" hidden="1">
      <c r="A63" s="24"/>
      <c r="B63" s="120" t="s">
        <v>43</v>
      </c>
      <c r="C63" s="99"/>
      <c r="D63" s="98"/>
      <c r="E63" s="100"/>
      <c r="F63" s="103"/>
      <c r="G63" s="103"/>
      <c r="H63" s="101" t="s">
        <v>125</v>
      </c>
      <c r="I63" s="12"/>
    </row>
    <row r="64" spans="1:9" ht="30" hidden="1">
      <c r="A64" s="24"/>
      <c r="B64" s="105" t="s">
        <v>44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v>0</v>
      </c>
    </row>
    <row r="65" spans="1:9" ht="30" hidden="1">
      <c r="A65" s="61"/>
      <c r="B65" s="105" t="s">
        <v>45</v>
      </c>
      <c r="C65" s="106" t="s">
        <v>82</v>
      </c>
      <c r="D65" s="30" t="s">
        <v>149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9" hidden="1">
      <c r="A66" s="24">
        <v>22</v>
      </c>
      <c r="B66" s="105" t="s">
        <v>46</v>
      </c>
      <c r="C66" s="107" t="s">
        <v>112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</row>
    <row r="67" spans="1:9" hidden="1">
      <c r="A67" s="62"/>
      <c r="B67" s="105" t="s">
        <v>47</v>
      </c>
      <c r="C67" s="106" t="s">
        <v>113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</row>
    <row r="68" spans="1:9" hidden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</row>
    <row r="69" spans="1:9" hidden="1">
      <c r="A69" s="24"/>
      <c r="B69" s="108" t="s">
        <v>114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</row>
    <row r="70" spans="1:9" hidden="1">
      <c r="A70" s="24">
        <v>19</v>
      </c>
      <c r="B70" s="108" t="s">
        <v>115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</row>
    <row r="71" spans="1:9" hidden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9">
      <c r="A72" s="24"/>
      <c r="B72" s="121" t="s">
        <v>142</v>
      </c>
      <c r="C72" s="106"/>
      <c r="D72" s="30"/>
      <c r="E72" s="15"/>
      <c r="F72" s="104"/>
      <c r="G72" s="29"/>
      <c r="H72" s="75"/>
      <c r="I72" s="12"/>
    </row>
    <row r="73" spans="1:9" ht="30">
      <c r="A73" s="24">
        <v>9</v>
      </c>
      <c r="B73" s="30" t="s">
        <v>143</v>
      </c>
      <c r="C73" s="109" t="s">
        <v>144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9">
      <c r="A74" s="24"/>
      <c r="B74" s="121" t="s">
        <v>67</v>
      </c>
      <c r="C74" s="106"/>
      <c r="D74" s="30"/>
      <c r="E74" s="15"/>
      <c r="F74" s="29"/>
      <c r="G74" s="29"/>
      <c r="H74" s="75" t="s">
        <v>125</v>
      </c>
      <c r="I74" s="12"/>
    </row>
    <row r="75" spans="1:9">
      <c r="A75" s="24">
        <v>10</v>
      </c>
      <c r="B75" s="30" t="s">
        <v>145</v>
      </c>
      <c r="C75" s="106" t="s">
        <v>30</v>
      </c>
      <c r="D75" s="30" t="s">
        <v>214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G75*1</f>
        <v>1029.1199999999999</v>
      </c>
    </row>
    <row r="76" spans="1:9">
      <c r="A76" s="24">
        <v>11</v>
      </c>
      <c r="B76" s="30" t="s">
        <v>146</v>
      </c>
      <c r="C76" s="106" t="s">
        <v>147</v>
      </c>
      <c r="D76" s="30"/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G76*1</f>
        <v>735</v>
      </c>
    </row>
    <row r="77" spans="1:9" hidden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9" hidden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9" hidden="1">
      <c r="A79" s="24"/>
      <c r="B79" s="122" t="s">
        <v>71</v>
      </c>
      <c r="C79" s="106"/>
      <c r="D79" s="30"/>
      <c r="E79" s="15"/>
      <c r="F79" s="29"/>
      <c r="G79" s="29" t="s">
        <v>125</v>
      </c>
      <c r="H79" s="75" t="s">
        <v>125</v>
      </c>
      <c r="I79" s="12" t="str">
        <f>G79</f>
        <v xml:space="preserve"> </v>
      </c>
    </row>
    <row r="80" spans="1:9" hidden="1">
      <c r="A80" s="24"/>
      <c r="B80" s="110" t="s">
        <v>118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ht="28.5" hidden="1">
      <c r="A81" s="24"/>
      <c r="B81" s="135" t="s">
        <v>116</v>
      </c>
      <c r="C81" s="12"/>
      <c r="D81" s="12"/>
      <c r="E81" s="12"/>
      <c r="F81" s="12"/>
      <c r="G81" s="12"/>
      <c r="H81" s="12"/>
      <c r="I81" s="12"/>
    </row>
    <row r="82" spans="1:9" hidden="1">
      <c r="A82" s="61"/>
      <c r="B82" s="98" t="s">
        <v>117</v>
      </c>
      <c r="C82" s="136"/>
      <c r="D82" s="137"/>
      <c r="E82" s="114"/>
      <c r="F82" s="138">
        <v>1</v>
      </c>
      <c r="G82" s="138">
        <v>30235</v>
      </c>
      <c r="H82" s="139">
        <f>G82*F82/1000</f>
        <v>30.234999999999999</v>
      </c>
      <c r="I82" s="59">
        <f>G82</f>
        <v>30235</v>
      </c>
    </row>
    <row r="83" spans="1:9" hidden="1">
      <c r="A83" s="24"/>
      <c r="B83" s="140" t="s">
        <v>142</v>
      </c>
      <c r="C83" s="141"/>
      <c r="D83" s="142"/>
      <c r="E83" s="15"/>
      <c r="F83" s="115"/>
      <c r="G83" s="115"/>
      <c r="H83" s="29"/>
      <c r="I83" s="12"/>
    </row>
    <row r="84" spans="1:9" ht="30" hidden="1">
      <c r="A84" s="24">
        <v>13</v>
      </c>
      <c r="B84" s="30" t="s">
        <v>143</v>
      </c>
      <c r="C84" s="109" t="s">
        <v>144</v>
      </c>
      <c r="D84" s="30"/>
      <c r="E84" s="15"/>
      <c r="F84" s="115"/>
      <c r="G84" s="29">
        <v>2.2799999999999998</v>
      </c>
      <c r="H84" s="29"/>
      <c r="I84" s="12">
        <f>38172/12*G84</f>
        <v>7252.6799999999994</v>
      </c>
    </row>
    <row r="85" spans="1:9">
      <c r="A85" s="202" t="s">
        <v>135</v>
      </c>
      <c r="B85" s="203"/>
      <c r="C85" s="203"/>
      <c r="D85" s="203"/>
      <c r="E85" s="203"/>
      <c r="F85" s="203"/>
      <c r="G85" s="203"/>
      <c r="H85" s="203"/>
      <c r="I85" s="204"/>
    </row>
    <row r="86" spans="1:9">
      <c r="A86" s="61">
        <v>12</v>
      </c>
      <c r="B86" s="85" t="s">
        <v>119</v>
      </c>
      <c r="C86" s="106" t="s">
        <v>52</v>
      </c>
      <c r="D86" s="116"/>
      <c r="E86" s="29">
        <v>3931</v>
      </c>
      <c r="F86" s="29">
        <f>SUM(E86*12)</f>
        <v>47172</v>
      </c>
      <c r="G86" s="29">
        <v>3.1</v>
      </c>
      <c r="H86" s="75">
        <f>SUM(F86*G86/1000)</f>
        <v>146.23320000000001</v>
      </c>
      <c r="I86" s="12">
        <f>F86/12*G86</f>
        <v>12186.1</v>
      </c>
    </row>
    <row r="87" spans="1:9" ht="30">
      <c r="A87" s="24">
        <v>13</v>
      </c>
      <c r="B87" s="30" t="s">
        <v>73</v>
      </c>
      <c r="C87" s="106"/>
      <c r="D87" s="116"/>
      <c r="E87" s="87">
        <f>E86</f>
        <v>3931</v>
      </c>
      <c r="F87" s="29">
        <f>E87*12</f>
        <v>47172</v>
      </c>
      <c r="G87" s="29">
        <v>3.5</v>
      </c>
      <c r="H87" s="75">
        <f>F87*G87/1000</f>
        <v>165.102</v>
      </c>
      <c r="I87" s="12">
        <f>F87/12*G87</f>
        <v>13758.5</v>
      </c>
    </row>
    <row r="88" spans="1:9">
      <c r="A88" s="24"/>
      <c r="B88" s="31" t="s">
        <v>75</v>
      </c>
      <c r="C88" s="57"/>
      <c r="D88" s="56"/>
      <c r="E88" s="46"/>
      <c r="F88" s="46"/>
      <c r="G88" s="46"/>
      <c r="H88" s="58">
        <f>H87</f>
        <v>165.102</v>
      </c>
      <c r="I88" s="46">
        <f>I87+I86+I76+I75+I73+I62+I39+I38+I37+I25+I18+I17+I16</f>
        <v>58554.603965000002</v>
      </c>
    </row>
    <row r="89" spans="1:9">
      <c r="A89" s="191" t="s">
        <v>57</v>
      </c>
      <c r="B89" s="192"/>
      <c r="C89" s="192"/>
      <c r="D89" s="192"/>
      <c r="E89" s="192"/>
      <c r="F89" s="192"/>
      <c r="G89" s="192"/>
      <c r="H89" s="192"/>
      <c r="I89" s="193"/>
    </row>
    <row r="90" spans="1:9" ht="30">
      <c r="A90" s="183">
        <v>14</v>
      </c>
      <c r="B90" s="77" t="s">
        <v>167</v>
      </c>
      <c r="C90" s="78" t="s">
        <v>29</v>
      </c>
      <c r="D90" s="13"/>
      <c r="E90" s="16"/>
      <c r="F90" s="12">
        <v>31</v>
      </c>
      <c r="G90" s="29">
        <v>20547.34</v>
      </c>
      <c r="H90" s="54">
        <f>G90*F90/1000</f>
        <v>636.96753999999999</v>
      </c>
      <c r="I90" s="59">
        <f>G90*0.599*5/1000</f>
        <v>61.539283299999994</v>
      </c>
    </row>
    <row r="91" spans="1:9">
      <c r="A91" s="24"/>
      <c r="B91" s="60" t="s">
        <v>49</v>
      </c>
      <c r="C91" s="32"/>
      <c r="D91" s="38"/>
      <c r="E91" s="32">
        <v>1</v>
      </c>
      <c r="F91" s="32"/>
      <c r="G91" s="32"/>
      <c r="H91" s="32"/>
      <c r="I91" s="27">
        <f>I90</f>
        <v>61.539283299999994</v>
      </c>
    </row>
    <row r="92" spans="1:9">
      <c r="A92" s="24"/>
      <c r="B92" s="37" t="s">
        <v>74</v>
      </c>
      <c r="C92" s="14"/>
      <c r="D92" s="14"/>
      <c r="E92" s="33"/>
      <c r="F92" s="33"/>
      <c r="G92" s="34"/>
      <c r="H92" s="34"/>
      <c r="I92" s="15">
        <v>0</v>
      </c>
    </row>
    <row r="93" spans="1:9">
      <c r="A93" s="39"/>
      <c r="B93" s="36" t="s">
        <v>138</v>
      </c>
      <c r="C93" s="28"/>
      <c r="D93" s="28"/>
      <c r="E93" s="28"/>
      <c r="F93" s="28"/>
      <c r="G93" s="28"/>
      <c r="H93" s="28"/>
      <c r="I93" s="35">
        <f>I88+I91</f>
        <v>58616.143248300003</v>
      </c>
    </row>
    <row r="94" spans="1:9" ht="15.75">
      <c r="A94" s="194" t="s">
        <v>215</v>
      </c>
      <c r="B94" s="194"/>
      <c r="C94" s="194"/>
      <c r="D94" s="194"/>
      <c r="E94" s="194"/>
      <c r="F94" s="194"/>
      <c r="G94" s="194"/>
      <c r="H94" s="194"/>
      <c r="I94" s="194"/>
    </row>
    <row r="95" spans="1:9" ht="15.75">
      <c r="A95" s="68"/>
      <c r="B95" s="195" t="s">
        <v>216</v>
      </c>
      <c r="C95" s="195"/>
      <c r="D95" s="195"/>
      <c r="E95" s="195"/>
      <c r="F95" s="195"/>
      <c r="G95" s="195"/>
      <c r="H95" s="43"/>
      <c r="I95" s="3"/>
    </row>
    <row r="96" spans="1:9">
      <c r="A96" s="133"/>
      <c r="B96" s="196" t="s">
        <v>6</v>
      </c>
      <c r="C96" s="196"/>
      <c r="D96" s="196"/>
      <c r="E96" s="196"/>
      <c r="F96" s="196"/>
      <c r="G96" s="196"/>
      <c r="H96" s="19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97" t="s">
        <v>7</v>
      </c>
      <c r="B98" s="197"/>
      <c r="C98" s="197"/>
      <c r="D98" s="197"/>
      <c r="E98" s="197"/>
      <c r="F98" s="197"/>
      <c r="G98" s="197"/>
      <c r="H98" s="197"/>
      <c r="I98" s="197"/>
    </row>
    <row r="99" spans="1:9" ht="15.75">
      <c r="A99" s="197" t="s">
        <v>8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>
      <c r="A100" s="198" t="s">
        <v>58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>
      <c r="A101" s="10"/>
    </row>
    <row r="102" spans="1:9" ht="15.75">
      <c r="A102" s="199" t="s">
        <v>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4"/>
    </row>
    <row r="104" spans="1:9" ht="15.75">
      <c r="B104" s="130" t="s">
        <v>10</v>
      </c>
      <c r="C104" s="200" t="s">
        <v>79</v>
      </c>
      <c r="D104" s="200"/>
      <c r="E104" s="200"/>
      <c r="F104" s="41"/>
      <c r="I104" s="132"/>
    </row>
    <row r="105" spans="1:9">
      <c r="A105" s="133"/>
      <c r="C105" s="196" t="s">
        <v>11</v>
      </c>
      <c r="D105" s="196"/>
      <c r="E105" s="196"/>
      <c r="F105" s="19"/>
      <c r="I105" s="131" t="s">
        <v>12</v>
      </c>
    </row>
    <row r="106" spans="1:9" ht="15.75">
      <c r="A106" s="20"/>
      <c r="C106" s="11"/>
      <c r="D106" s="11"/>
      <c r="G106" s="11"/>
      <c r="H106" s="11"/>
    </row>
    <row r="107" spans="1:9" ht="15.75">
      <c r="B107" s="130" t="s">
        <v>13</v>
      </c>
      <c r="C107" s="201"/>
      <c r="D107" s="201"/>
      <c r="E107" s="201"/>
      <c r="F107" s="42"/>
      <c r="I107" s="132"/>
    </row>
    <row r="108" spans="1:9">
      <c r="A108" s="133"/>
      <c r="C108" s="190" t="s">
        <v>11</v>
      </c>
      <c r="D108" s="190"/>
      <c r="E108" s="190"/>
      <c r="F108" s="133"/>
      <c r="I108" s="131" t="s">
        <v>12</v>
      </c>
    </row>
    <row r="109" spans="1:9" ht="15.75">
      <c r="A109" s="4" t="s">
        <v>14</v>
      </c>
    </row>
    <row r="110" spans="1:9">
      <c r="A110" s="187" t="s">
        <v>15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45.75" customHeight="1">
      <c r="A111" s="188" t="s">
        <v>16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38.25" customHeight="1">
      <c r="A112" s="188" t="s">
        <v>17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33.75" customHeight="1">
      <c r="A113" s="188" t="s">
        <v>21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.75">
      <c r="A114" s="188" t="s">
        <v>20</v>
      </c>
      <c r="B114" s="188"/>
      <c r="C114" s="188"/>
      <c r="D114" s="188"/>
      <c r="E114" s="188"/>
      <c r="F114" s="188"/>
      <c r="G114" s="188"/>
      <c r="H114" s="188"/>
      <c r="I114" s="188"/>
    </row>
  </sheetData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6:I26"/>
    <mergeCell ref="A42:I42"/>
    <mergeCell ref="A53:I53"/>
    <mergeCell ref="A85:I85"/>
    <mergeCell ref="A89:I89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4"/>
  <sheetViews>
    <sheetView topLeftCell="A28" workbookViewId="0">
      <selection activeCell="I97" sqref="I97"/>
    </sheetView>
  </sheetViews>
  <sheetFormatPr defaultRowHeight="15"/>
  <cols>
    <col min="1" max="1" width="10" customWidth="1"/>
    <col min="2" max="2" width="50.5703125" customWidth="1"/>
    <col min="3" max="3" width="18.28515625" customWidth="1"/>
    <col min="4" max="4" width="18" customWidth="1"/>
    <col min="5" max="5" width="0" hidden="1" customWidth="1"/>
    <col min="6" max="6" width="11.85546875" hidden="1" customWidth="1"/>
    <col min="7" max="7" width="18.28515625" customWidth="1"/>
    <col min="8" max="8" width="9.28515625" hidden="1" customWidth="1"/>
    <col min="9" max="9" width="18.7109375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157</v>
      </c>
      <c r="B3" s="205"/>
      <c r="C3" s="205"/>
      <c r="D3" s="205"/>
      <c r="E3" s="205"/>
      <c r="F3" s="205"/>
      <c r="G3" s="205"/>
      <c r="H3" s="205"/>
      <c r="I3" s="205"/>
    </row>
    <row r="4" spans="1:9" ht="32.2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217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48"/>
      <c r="C6" s="148"/>
      <c r="D6" s="148"/>
      <c r="E6" s="148"/>
      <c r="F6" s="148"/>
      <c r="G6" s="148"/>
      <c r="H6" s="148"/>
      <c r="I6" s="25">
        <v>43982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82.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74.2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 ht="18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157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21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157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157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9.5" hidden="1" customHeight="1">
      <c r="A19" s="24">
        <v>4</v>
      </c>
      <c r="B19" s="85" t="s">
        <v>87</v>
      </c>
      <c r="C19" s="86" t="s">
        <v>88</v>
      </c>
      <c r="D19" s="85" t="s">
        <v>184</v>
      </c>
      <c r="E19" s="87">
        <v>57.6</v>
      </c>
      <c r="F19" s="157">
        <f>SUM(E19/10)</f>
        <v>5.76</v>
      </c>
      <c r="G19" s="88">
        <v>223.17</v>
      </c>
      <c r="H19" s="89">
        <f t="shared" si="0"/>
        <v>1.2854591999999998</v>
      </c>
      <c r="I19" s="12">
        <f>F19*G19</f>
        <v>1285.4591999999998</v>
      </c>
    </row>
    <row r="20" spans="1:9" hidden="1">
      <c r="A20" s="24">
        <v>5</v>
      </c>
      <c r="B20" s="85" t="s">
        <v>90</v>
      </c>
      <c r="C20" s="86" t="s">
        <v>86</v>
      </c>
      <c r="D20" s="85" t="s">
        <v>182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0"/>
        <v>0.24689664000000003</v>
      </c>
      <c r="I20" s="12">
        <f>F20/2*G20</f>
        <v>123.44832000000001</v>
      </c>
    </row>
    <row r="21" spans="1:9" hidden="1">
      <c r="A21" s="24">
        <v>6</v>
      </c>
      <c r="B21" s="85" t="s">
        <v>91</v>
      </c>
      <c r="C21" s="86" t="s">
        <v>86</v>
      </c>
      <c r="D21" s="85" t="s">
        <v>182</v>
      </c>
      <c r="E21" s="87">
        <v>10.08</v>
      </c>
      <c r="F21" s="157">
        <f>SUM(E21*2/100)</f>
        <v>0.2016</v>
      </c>
      <c r="G21" s="88">
        <v>283.44</v>
      </c>
      <c r="H21" s="89">
        <f t="shared" si="0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92</v>
      </c>
      <c r="C22" s="86" t="s">
        <v>50</v>
      </c>
      <c r="D22" s="85" t="s">
        <v>185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0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93</v>
      </c>
      <c r="C23" s="86" t="s">
        <v>50</v>
      </c>
      <c r="D23" s="85" t="s">
        <v>186</v>
      </c>
      <c r="E23" s="90">
        <v>35.28</v>
      </c>
      <c r="F23" s="157">
        <f>SUM(E23/100)</f>
        <v>0.3528</v>
      </c>
      <c r="G23" s="88">
        <v>58.08</v>
      </c>
      <c r="H23" s="89">
        <f t="shared" si="0"/>
        <v>2.0490623999999999E-2</v>
      </c>
      <c r="I23" s="12">
        <f>F23*G23</f>
        <v>20.490624</v>
      </c>
    </row>
    <row r="24" spans="1:9" hidden="1">
      <c r="A24" s="24">
        <v>9</v>
      </c>
      <c r="B24" s="85" t="s">
        <v>94</v>
      </c>
      <c r="C24" s="86" t="s">
        <v>50</v>
      </c>
      <c r="D24" s="85" t="s">
        <v>185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0"/>
        <v>0.19671840000000002</v>
      </c>
      <c r="I24" s="12">
        <f>F24*G24</f>
        <v>196.7184</v>
      </c>
    </row>
    <row r="25" spans="1:9" ht="17.2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t="20.2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.75" customHeight="1">
      <c r="A28" s="24">
        <v>5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3.5" customHeight="1">
      <c r="A29" s="24">
        <v>6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t="20.25" customHeight="1">
      <c r="A30" s="24">
        <v>7</v>
      </c>
      <c r="B30" s="85" t="s">
        <v>27</v>
      </c>
      <c r="C30" s="86" t="s">
        <v>96</v>
      </c>
      <c r="D30" s="85" t="s">
        <v>182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6.5" customHeight="1">
      <c r="A31" s="24">
        <v>8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t="27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</row>
    <row r="42" spans="1:9" ht="17.25" customHeight="1">
      <c r="A42" s="24">
        <v>9</v>
      </c>
      <c r="B42" s="85" t="s">
        <v>104</v>
      </c>
      <c r="C42" s="86" t="s">
        <v>96</v>
      </c>
      <c r="D42" s="85" t="s">
        <v>182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t="19.5" customHeight="1">
      <c r="A43" s="24">
        <v>10</v>
      </c>
      <c r="B43" s="85" t="s">
        <v>33</v>
      </c>
      <c r="C43" s="86" t="s">
        <v>96</v>
      </c>
      <c r="D43" s="85" t="s">
        <v>182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t="18" customHeight="1">
      <c r="A44" s="24">
        <v>11</v>
      </c>
      <c r="B44" s="85" t="s">
        <v>34</v>
      </c>
      <c r="C44" s="86" t="s">
        <v>96</v>
      </c>
      <c r="D44" s="85" t="s">
        <v>182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t="20.25" customHeight="1">
      <c r="A45" s="24">
        <v>12</v>
      </c>
      <c r="B45" s="85" t="s">
        <v>35</v>
      </c>
      <c r="C45" s="86" t="s">
        <v>96</v>
      </c>
      <c r="D45" s="85" t="s">
        <v>182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t="17.25" customHeight="1">
      <c r="A46" s="24">
        <v>13</v>
      </c>
      <c r="B46" s="85" t="s">
        <v>53</v>
      </c>
      <c r="C46" s="86" t="s">
        <v>96</v>
      </c>
      <c r="D46" s="85" t="s">
        <v>182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8" customHeight="1">
      <c r="A47" s="24">
        <v>14</v>
      </c>
      <c r="B47" s="85" t="s">
        <v>105</v>
      </c>
      <c r="C47" s="86" t="s">
        <v>96</v>
      </c>
      <c r="D47" s="85" t="s">
        <v>182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6" customHeight="1">
      <c r="A48" s="24">
        <v>15</v>
      </c>
      <c r="B48" s="85" t="s">
        <v>106</v>
      </c>
      <c r="C48" s="86" t="s">
        <v>36</v>
      </c>
      <c r="D48" s="85" t="s">
        <v>182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t="17.25" customHeight="1">
      <c r="A49" s="24">
        <v>16</v>
      </c>
      <c r="B49" s="85" t="s">
        <v>37</v>
      </c>
      <c r="C49" s="86" t="s">
        <v>38</v>
      </c>
      <c r="D49" s="85" t="s">
        <v>182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t="16.5" customHeight="1">
      <c r="A50" s="24">
        <v>17</v>
      </c>
      <c r="B50" s="85" t="s">
        <v>107</v>
      </c>
      <c r="C50" s="86" t="s">
        <v>82</v>
      </c>
      <c r="D50" s="182">
        <v>43973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t="16.5" customHeight="1">
      <c r="A51" s="24">
        <v>18</v>
      </c>
      <c r="B51" s="85" t="s">
        <v>39</v>
      </c>
      <c r="C51" s="86" t="s">
        <v>82</v>
      </c>
      <c r="D51" s="182">
        <v>43973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2" t="s">
        <v>131</v>
      </c>
      <c r="B52" s="213"/>
      <c r="C52" s="213"/>
      <c r="D52" s="213"/>
      <c r="E52" s="213"/>
      <c r="F52" s="213"/>
      <c r="G52" s="213"/>
      <c r="H52" s="213"/>
      <c r="I52" s="214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30" hidden="1">
      <c r="A54" s="24">
        <v>15</v>
      </c>
      <c r="B54" s="85" t="s">
        <v>121</v>
      </c>
      <c r="C54" s="86" t="s">
        <v>86</v>
      </c>
      <c r="D54" s="150" t="s">
        <v>155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80</v>
      </c>
      <c r="C55" s="86" t="s">
        <v>86</v>
      </c>
      <c r="D55" s="85" t="s">
        <v>81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109</v>
      </c>
      <c r="C56" s="99" t="s">
        <v>110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111</v>
      </c>
      <c r="C57" s="86" t="s">
        <v>86</v>
      </c>
      <c r="D57" s="85" t="s">
        <v>108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t="19.5" hidden="1" customHeight="1">
      <c r="A58" s="24">
        <v>24</v>
      </c>
      <c r="B58" s="98" t="s">
        <v>128</v>
      </c>
      <c r="C58" s="99" t="s">
        <v>31</v>
      </c>
      <c r="D58" s="160" t="s">
        <v>156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16.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126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" customHeight="1">
      <c r="A61" s="24">
        <v>19</v>
      </c>
      <c r="B61" s="47" t="s">
        <v>83</v>
      </c>
      <c r="C61" s="48" t="s">
        <v>25</v>
      </c>
      <c r="D61" s="47" t="s">
        <v>183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8" hidden="1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125</v>
      </c>
      <c r="I62" s="12"/>
    </row>
    <row r="63" spans="1:9" ht="18" hidden="1" customHeight="1">
      <c r="A63" s="24">
        <v>26</v>
      </c>
      <c r="B63" s="105" t="s">
        <v>44</v>
      </c>
      <c r="C63" s="106" t="s">
        <v>82</v>
      </c>
      <c r="D63" s="30" t="s">
        <v>177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f>G63*2</f>
        <v>583.36</v>
      </c>
    </row>
    <row r="64" spans="1:9" ht="15.75" hidden="1" customHeight="1">
      <c r="A64" s="61"/>
      <c r="B64" s="105" t="s">
        <v>45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112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113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t="17.2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t="20.25" hidden="1" customHeight="1">
      <c r="A68" s="24">
        <v>29</v>
      </c>
      <c r="B68" s="108" t="s">
        <v>114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t="18.75" hidden="1" customHeight="1">
      <c r="A69" s="24">
        <v>30</v>
      </c>
      <c r="B69" s="108" t="s">
        <v>115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18.75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19.5" customHeight="1">
      <c r="A71" s="24"/>
      <c r="B71" s="121" t="s">
        <v>142</v>
      </c>
      <c r="C71" s="106"/>
      <c r="D71" s="30"/>
      <c r="E71" s="15"/>
      <c r="F71" s="104"/>
      <c r="G71" s="29"/>
      <c r="H71" s="75"/>
      <c r="I71" s="12"/>
    </row>
    <row r="72" spans="1:9" ht="33.75" customHeight="1">
      <c r="A72" s="24">
        <v>20</v>
      </c>
      <c r="B72" s="30" t="s">
        <v>143</v>
      </c>
      <c r="C72" s="109" t="s">
        <v>144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t="16.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125</v>
      </c>
      <c r="I73" s="12"/>
    </row>
    <row r="74" spans="1:9" ht="21" hidden="1" customHeight="1">
      <c r="A74" s="24">
        <v>20</v>
      </c>
      <c r="B74" s="30" t="s">
        <v>145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t="60.75" hidden="1" customHeight="1">
      <c r="A75" s="24">
        <v>21</v>
      </c>
      <c r="B75" s="30" t="s">
        <v>146</v>
      </c>
      <c r="C75" s="106" t="s">
        <v>147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125</v>
      </c>
      <c r="H78" s="75" t="s">
        <v>125</v>
      </c>
      <c r="I78" s="12" t="str">
        <f>G78</f>
        <v xml:space="preserve"> </v>
      </c>
    </row>
    <row r="79" spans="1:9" hidden="1">
      <c r="A79" s="24"/>
      <c r="B79" s="110" t="s">
        <v>118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 hidden="1">
      <c r="A80" s="24"/>
      <c r="B80" s="149" t="s">
        <v>116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117</v>
      </c>
      <c r="C81" s="136"/>
      <c r="D81" s="137"/>
      <c r="E81" s="114"/>
      <c r="F81" s="138">
        <v>1</v>
      </c>
      <c r="G81" s="138">
        <v>30235</v>
      </c>
      <c r="H81" s="139">
        <f>G81*F81/1000</f>
        <v>30.234999999999999</v>
      </c>
      <c r="I81" s="59">
        <f>G81</f>
        <v>30235</v>
      </c>
    </row>
    <row r="82" spans="1:9" hidden="1">
      <c r="A82" s="24"/>
      <c r="B82" s="140" t="s">
        <v>142</v>
      </c>
      <c r="C82" s="141"/>
      <c r="D82" s="142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143</v>
      </c>
      <c r="C83" s="109" t="s">
        <v>144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02" t="s">
        <v>132</v>
      </c>
      <c r="B84" s="203"/>
      <c r="C84" s="203"/>
      <c r="D84" s="203"/>
      <c r="E84" s="203"/>
      <c r="F84" s="203"/>
      <c r="G84" s="203"/>
      <c r="H84" s="203"/>
      <c r="I84" s="204"/>
    </row>
    <row r="85" spans="1:9" ht="21" customHeight="1">
      <c r="A85" s="61">
        <v>21</v>
      </c>
      <c r="B85" s="85" t="s">
        <v>119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5.25" customHeight="1">
      <c r="A86" s="24">
        <v>22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I86+I85+I72+I61+I51+I50+I49+I48+I47+I46+I45+I44+I43+I42+I31+I30+I29+I28+I25+I18+I17+I16</f>
        <v>110140.10649909999</v>
      </c>
    </row>
    <row r="88" spans="1:9">
      <c r="A88" s="191" t="s">
        <v>57</v>
      </c>
      <c r="B88" s="192"/>
      <c r="C88" s="192"/>
      <c r="D88" s="192"/>
      <c r="E88" s="192"/>
      <c r="F88" s="192"/>
      <c r="G88" s="192"/>
      <c r="H88" s="192"/>
      <c r="I88" s="193"/>
    </row>
    <row r="89" spans="1:9" ht="30.75" customHeight="1">
      <c r="A89" s="24">
        <v>23</v>
      </c>
      <c r="B89" s="77" t="s">
        <v>122</v>
      </c>
      <c r="C89" s="78" t="s">
        <v>123</v>
      </c>
      <c r="D89" s="30" t="s">
        <v>218</v>
      </c>
      <c r="E89" s="15"/>
      <c r="F89" s="29">
        <v>1</v>
      </c>
      <c r="G89" s="29">
        <v>61.58</v>
      </c>
      <c r="H89" s="54">
        <f>G89*F89/1000</f>
        <v>6.1579999999999996E-2</v>
      </c>
      <c r="I89" s="59">
        <f>G89*1</f>
        <v>61.58</v>
      </c>
    </row>
    <row r="90" spans="1:9" hidden="1">
      <c r="A90" s="24"/>
      <c r="B90" s="159"/>
      <c r="C90" s="158"/>
      <c r="D90" s="13"/>
      <c r="E90" s="16"/>
      <c r="F90" s="12"/>
      <c r="G90" s="143"/>
      <c r="H90" s="54"/>
      <c r="I90" s="59"/>
    </row>
    <row r="91" spans="1:9" ht="17.25" customHeight="1">
      <c r="A91" s="24"/>
      <c r="B91" s="60" t="s">
        <v>49</v>
      </c>
      <c r="C91" s="32"/>
      <c r="D91" s="38"/>
      <c r="E91" s="32">
        <v>1</v>
      </c>
      <c r="F91" s="32"/>
      <c r="G91" s="32"/>
      <c r="H91" s="32"/>
      <c r="I91" s="27">
        <f>SUM(I89:I90)</f>
        <v>61.58</v>
      </c>
    </row>
    <row r="92" spans="1:9">
      <c r="A92" s="24"/>
      <c r="B92" s="37" t="s">
        <v>74</v>
      </c>
      <c r="C92" s="14"/>
      <c r="D92" s="14"/>
      <c r="E92" s="33"/>
      <c r="F92" s="33"/>
      <c r="G92" s="34"/>
      <c r="H92" s="34"/>
      <c r="I92" s="15">
        <v>0</v>
      </c>
    </row>
    <row r="93" spans="1:9">
      <c r="A93" s="39"/>
      <c r="B93" s="36" t="s">
        <v>138</v>
      </c>
      <c r="C93" s="28"/>
      <c r="D93" s="28"/>
      <c r="E93" s="28"/>
      <c r="F93" s="28"/>
      <c r="G93" s="28"/>
      <c r="H93" s="28"/>
      <c r="I93" s="35">
        <f>I87+I91</f>
        <v>110201.68649909999</v>
      </c>
    </row>
    <row r="94" spans="1:9" ht="15.75">
      <c r="A94" s="194" t="s">
        <v>219</v>
      </c>
      <c r="B94" s="194"/>
      <c r="C94" s="194"/>
      <c r="D94" s="194"/>
      <c r="E94" s="194"/>
      <c r="F94" s="194"/>
      <c r="G94" s="194"/>
      <c r="H94" s="194"/>
      <c r="I94" s="194"/>
    </row>
    <row r="95" spans="1:9" ht="15.75">
      <c r="A95" s="68"/>
      <c r="B95" s="195" t="s">
        <v>220</v>
      </c>
      <c r="C95" s="195"/>
      <c r="D95" s="195"/>
      <c r="E95" s="195"/>
      <c r="F95" s="195"/>
      <c r="G95" s="195"/>
      <c r="H95" s="43"/>
      <c r="I95" s="3"/>
    </row>
    <row r="96" spans="1:9">
      <c r="A96" s="144"/>
      <c r="B96" s="196" t="s">
        <v>6</v>
      </c>
      <c r="C96" s="196"/>
      <c r="D96" s="196"/>
      <c r="E96" s="196"/>
      <c r="F96" s="196"/>
      <c r="G96" s="196"/>
      <c r="H96" s="19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97" t="s">
        <v>7</v>
      </c>
      <c r="B98" s="197"/>
      <c r="C98" s="197"/>
      <c r="D98" s="197"/>
      <c r="E98" s="197"/>
      <c r="F98" s="197"/>
      <c r="G98" s="197"/>
      <c r="H98" s="197"/>
      <c r="I98" s="197"/>
    </row>
    <row r="99" spans="1:9" ht="15.75">
      <c r="A99" s="197" t="s">
        <v>8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>
      <c r="A100" s="198" t="s">
        <v>58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>
      <c r="A101" s="10"/>
    </row>
    <row r="102" spans="1:9" ht="15.75">
      <c r="A102" s="199" t="s">
        <v>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4"/>
    </row>
    <row r="104" spans="1:9" ht="15.75">
      <c r="B104" s="146" t="s">
        <v>10</v>
      </c>
      <c r="C104" s="200" t="s">
        <v>79</v>
      </c>
      <c r="D104" s="200"/>
      <c r="E104" s="200"/>
      <c r="F104" s="41"/>
      <c r="I104" s="147"/>
    </row>
    <row r="105" spans="1:9">
      <c r="A105" s="144"/>
      <c r="C105" s="196" t="s">
        <v>11</v>
      </c>
      <c r="D105" s="196"/>
      <c r="E105" s="196"/>
      <c r="F105" s="19"/>
      <c r="I105" s="145" t="s">
        <v>12</v>
      </c>
    </row>
    <row r="106" spans="1:9" ht="15.75">
      <c r="A106" s="20"/>
      <c r="C106" s="11"/>
      <c r="D106" s="11"/>
      <c r="G106" s="11"/>
      <c r="H106" s="11"/>
    </row>
    <row r="107" spans="1:9" ht="15.75">
      <c r="B107" s="146" t="s">
        <v>13</v>
      </c>
      <c r="C107" s="201"/>
      <c r="D107" s="201"/>
      <c r="E107" s="201"/>
      <c r="F107" s="42"/>
      <c r="I107" s="147"/>
    </row>
    <row r="108" spans="1:9">
      <c r="A108" s="144"/>
      <c r="C108" s="190" t="s">
        <v>11</v>
      </c>
      <c r="D108" s="190"/>
      <c r="E108" s="190"/>
      <c r="F108" s="144"/>
      <c r="I108" s="145" t="s">
        <v>12</v>
      </c>
    </row>
    <row r="109" spans="1:9" ht="15.75">
      <c r="A109" s="4" t="s">
        <v>14</v>
      </c>
    </row>
    <row r="110" spans="1:9">
      <c r="A110" s="187" t="s">
        <v>15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49.5" customHeight="1">
      <c r="A111" s="188" t="s">
        <v>16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44.25" customHeight="1">
      <c r="A112" s="188" t="s">
        <v>17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33" customHeight="1">
      <c r="A113" s="188" t="s">
        <v>21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.75">
      <c r="A114" s="188" t="s">
        <v>20</v>
      </c>
      <c r="B114" s="188"/>
      <c r="C114" s="188"/>
      <c r="D114" s="188"/>
      <c r="E114" s="188"/>
      <c r="F114" s="188"/>
      <c r="G114" s="188"/>
      <c r="H114" s="188"/>
      <c r="I114" s="188"/>
    </row>
  </sheetData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6:I26"/>
    <mergeCell ref="A41:I41"/>
    <mergeCell ref="A52:I52"/>
    <mergeCell ref="A84:I84"/>
    <mergeCell ref="A88:I88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3"/>
  <sheetViews>
    <sheetView topLeftCell="A59" workbookViewId="0">
      <selection activeCell="A93" sqref="A93:I93"/>
    </sheetView>
  </sheetViews>
  <sheetFormatPr defaultRowHeight="15"/>
  <cols>
    <col min="1" max="1" width="13.28515625" customWidth="1"/>
    <col min="2" max="2" width="46.140625" customWidth="1"/>
    <col min="3" max="4" width="18.42578125" customWidth="1"/>
    <col min="5" max="5" width="0" hidden="1" customWidth="1"/>
    <col min="6" max="6" width="12.140625" hidden="1" customWidth="1"/>
    <col min="7" max="7" width="18.140625" customWidth="1"/>
    <col min="8" max="8" width="0" hidden="1" customWidth="1"/>
    <col min="9" max="9" width="17.85546875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158</v>
      </c>
      <c r="B3" s="205"/>
      <c r="C3" s="205"/>
      <c r="D3" s="205"/>
      <c r="E3" s="205"/>
      <c r="F3" s="205"/>
      <c r="G3" s="205"/>
      <c r="H3" s="205"/>
      <c r="I3" s="205"/>
    </row>
    <row r="4" spans="1:9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221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52"/>
      <c r="C6" s="152"/>
      <c r="D6" s="152"/>
      <c r="E6" s="152"/>
      <c r="F6" s="152"/>
      <c r="G6" s="152"/>
      <c r="H6" s="152"/>
      <c r="I6" s="25">
        <v>44012</v>
      </c>
    </row>
    <row r="7" spans="1:9" ht="15.75">
      <c r="B7" s="155"/>
      <c r="C7" s="155"/>
      <c r="D7" s="155"/>
      <c r="E7" s="3"/>
      <c r="F7" s="3"/>
      <c r="G7" s="3"/>
      <c r="H7" s="3"/>
    </row>
    <row r="8" spans="1:9" ht="83.2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69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 ht="18.7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8.7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6.5" customHeight="1">
      <c r="A19" s="24">
        <v>4</v>
      </c>
      <c r="B19" s="85" t="s">
        <v>87</v>
      </c>
      <c r="C19" s="86" t="s">
        <v>88</v>
      </c>
      <c r="D19" s="85" t="s">
        <v>182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f>G19*F19</f>
        <v>1285.4591999999998</v>
      </c>
    </row>
    <row r="20" spans="1:9" ht="18.75" customHeight="1">
      <c r="A20" s="24">
        <v>5</v>
      </c>
      <c r="B20" s="85" t="s">
        <v>90</v>
      </c>
      <c r="C20" s="86" t="s">
        <v>86</v>
      </c>
      <c r="D20" s="85" t="s">
        <v>182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f>G20*F20/2</f>
        <v>123.44832000000001</v>
      </c>
    </row>
    <row r="21" spans="1:9" ht="18.75" customHeight="1">
      <c r="A21" s="24">
        <v>6</v>
      </c>
      <c r="B21" s="85" t="s">
        <v>91</v>
      </c>
      <c r="C21" s="86" t="s">
        <v>86</v>
      </c>
      <c r="D21" s="85" t="s">
        <v>182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f>G21*F21/2</f>
        <v>28.570751999999999</v>
      </c>
    </row>
    <row r="22" spans="1:9" ht="14.25" customHeight="1">
      <c r="A22" s="24">
        <v>7</v>
      </c>
      <c r="B22" s="85" t="s">
        <v>92</v>
      </c>
      <c r="C22" s="86" t="s">
        <v>50</v>
      </c>
      <c r="D22" s="85" t="s">
        <v>182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f>G22*F22</f>
        <v>2269.2776399999998</v>
      </c>
    </row>
    <row r="23" spans="1:9" ht="15.75" customHeight="1">
      <c r="A23" s="24">
        <v>8</v>
      </c>
      <c r="B23" s="85" t="s">
        <v>93</v>
      </c>
      <c r="C23" s="86" t="s">
        <v>50</v>
      </c>
      <c r="D23" s="85" t="s">
        <v>186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f>G23*F23</f>
        <v>20.490624</v>
      </c>
    </row>
    <row r="24" spans="1:9" ht="20.25" customHeight="1">
      <c r="A24" s="24">
        <v>9</v>
      </c>
      <c r="B24" s="85" t="s">
        <v>94</v>
      </c>
      <c r="C24" s="86" t="s">
        <v>50</v>
      </c>
      <c r="D24" s="85" t="s">
        <v>182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f>G24*F24</f>
        <v>196.7184</v>
      </c>
    </row>
    <row r="25" spans="1:9" ht="18" customHeight="1">
      <c r="A25" s="24">
        <v>10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t="15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11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9.5" customHeight="1">
      <c r="A29" s="24">
        <v>12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5" customHeight="1">
      <c r="A31" s="24">
        <v>13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 hidden="1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</row>
    <row r="42" spans="1:9" hidden="1">
      <c r="A42" s="24">
        <v>17</v>
      </c>
      <c r="B42" s="85" t="s">
        <v>104</v>
      </c>
      <c r="C42" s="86" t="s">
        <v>96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96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96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96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96</v>
      </c>
      <c r="D46" s="85" t="s">
        <v>137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105</v>
      </c>
      <c r="C47" s="86" t="s">
        <v>96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106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idden="1">
      <c r="A50" s="24">
        <v>22</v>
      </c>
      <c r="B50" s="85" t="s">
        <v>107</v>
      </c>
      <c r="C50" s="86" t="s">
        <v>82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idden="1">
      <c r="A51" s="24">
        <v>23</v>
      </c>
      <c r="B51" s="85" t="s">
        <v>39</v>
      </c>
      <c r="C51" s="86" t="s">
        <v>82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2" t="s">
        <v>134</v>
      </c>
      <c r="B52" s="213"/>
      <c r="C52" s="213"/>
      <c r="D52" s="213"/>
      <c r="E52" s="213"/>
      <c r="F52" s="213"/>
      <c r="G52" s="213"/>
      <c r="H52" s="213"/>
      <c r="I52" s="214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121</v>
      </c>
      <c r="C54" s="86" t="s">
        <v>86</v>
      </c>
      <c r="D54" s="150" t="s">
        <v>155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80</v>
      </c>
      <c r="C55" s="86" t="s">
        <v>86</v>
      </c>
      <c r="D55" s="85" t="s">
        <v>81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109</v>
      </c>
      <c r="C56" s="99" t="s">
        <v>110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111</v>
      </c>
      <c r="C57" s="86" t="s">
        <v>86</v>
      </c>
      <c r="D57" s="85" t="s">
        <v>108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24</v>
      </c>
      <c r="B58" s="98" t="s">
        <v>128</v>
      </c>
      <c r="C58" s="99" t="s">
        <v>31</v>
      </c>
      <c r="D58" s="160" t="s">
        <v>156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18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126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20.25" customHeight="1">
      <c r="A61" s="24">
        <v>14</v>
      </c>
      <c r="B61" s="47" t="s">
        <v>83</v>
      </c>
      <c r="C61" s="48" t="s">
        <v>25</v>
      </c>
      <c r="D61" s="47" t="s">
        <v>183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idden="1">
      <c r="A62" s="24"/>
      <c r="B62" s="120" t="s">
        <v>43</v>
      </c>
      <c r="C62" s="99"/>
      <c r="D62" s="98"/>
      <c r="E62" s="100"/>
      <c r="F62" s="103"/>
      <c r="G62" s="103"/>
      <c r="H62" s="101" t="s">
        <v>125</v>
      </c>
      <c r="I62" s="12"/>
    </row>
    <row r="63" spans="1:9" hidden="1">
      <c r="A63" s="24"/>
      <c r="B63" s="105" t="s">
        <v>44</v>
      </c>
      <c r="C63" s="106" t="s">
        <v>82</v>
      </c>
      <c r="D63" s="30" t="s">
        <v>149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112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 hidden="1">
      <c r="A66" s="62">
        <v>27</v>
      </c>
      <c r="B66" s="105" t="s">
        <v>47</v>
      </c>
      <c r="C66" s="106" t="s">
        <v>113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idden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idden="1">
      <c r="A68" s="24">
        <v>29</v>
      </c>
      <c r="B68" s="108" t="s">
        <v>114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idden="1">
      <c r="A69" s="24">
        <v>30</v>
      </c>
      <c r="B69" s="108" t="s">
        <v>115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idden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20.25" customHeight="1">
      <c r="A71" s="24"/>
      <c r="B71" s="121" t="s">
        <v>142</v>
      </c>
      <c r="C71" s="106"/>
      <c r="D71" s="30"/>
      <c r="E71" s="15"/>
      <c r="F71" s="104"/>
      <c r="G71" s="29"/>
      <c r="H71" s="75"/>
      <c r="I71" s="12"/>
    </row>
    <row r="72" spans="1:9" ht="31.5" customHeight="1">
      <c r="A72" s="24">
        <v>15</v>
      </c>
      <c r="B72" s="30" t="s">
        <v>143</v>
      </c>
      <c r="C72" s="109" t="s">
        <v>144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idden="1">
      <c r="A73" s="24"/>
      <c r="B73" s="121" t="s">
        <v>67</v>
      </c>
      <c r="C73" s="106"/>
      <c r="D73" s="30"/>
      <c r="E73" s="15"/>
      <c r="F73" s="29"/>
      <c r="G73" s="29"/>
      <c r="H73" s="75" t="s">
        <v>125</v>
      </c>
      <c r="I73" s="12"/>
    </row>
    <row r="74" spans="1:9" hidden="1">
      <c r="A74" s="24">
        <v>20</v>
      </c>
      <c r="B74" s="30" t="s">
        <v>145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146</v>
      </c>
      <c r="C75" s="106" t="s">
        <v>147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125</v>
      </c>
      <c r="H78" s="75" t="s">
        <v>125</v>
      </c>
      <c r="I78" s="12" t="str">
        <f>G78</f>
        <v xml:space="preserve"> </v>
      </c>
    </row>
    <row r="79" spans="1:9" hidden="1">
      <c r="A79" s="24"/>
      <c r="B79" s="110" t="s">
        <v>118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 hidden="1">
      <c r="A80" s="24"/>
      <c r="B80" s="151" t="s">
        <v>116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117</v>
      </c>
      <c r="C81" s="136"/>
      <c r="D81" s="137"/>
      <c r="E81" s="114"/>
      <c r="F81" s="138">
        <v>1</v>
      </c>
      <c r="G81" s="138">
        <v>30235</v>
      </c>
      <c r="H81" s="139">
        <f>G81*F81/1000</f>
        <v>30.234999999999999</v>
      </c>
      <c r="I81" s="59">
        <f>G81</f>
        <v>30235</v>
      </c>
    </row>
    <row r="82" spans="1:9" hidden="1">
      <c r="A82" s="24"/>
      <c r="B82" s="140" t="s">
        <v>142</v>
      </c>
      <c r="C82" s="141"/>
      <c r="D82" s="142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143</v>
      </c>
      <c r="C83" s="109" t="s">
        <v>144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02" t="s">
        <v>135</v>
      </c>
      <c r="B84" s="203"/>
      <c r="C84" s="203"/>
      <c r="D84" s="203"/>
      <c r="E84" s="203"/>
      <c r="F84" s="203"/>
      <c r="G84" s="203"/>
      <c r="H84" s="203"/>
      <c r="I84" s="204"/>
    </row>
    <row r="85" spans="1:9" ht="18" customHeight="1">
      <c r="A85" s="61">
        <v>16</v>
      </c>
      <c r="B85" s="85" t="s">
        <v>119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8.25" customHeight="1">
      <c r="A86" s="24">
        <v>17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I86+I85+I72+I61+I31+I29+I28+I25+I24+I23+I22+I21+I20+I19+I18+I17+I16</f>
        <v>56927.939236000006</v>
      </c>
    </row>
    <row r="88" spans="1:9">
      <c r="A88" s="191" t="s">
        <v>57</v>
      </c>
      <c r="B88" s="192"/>
      <c r="C88" s="192"/>
      <c r="D88" s="192"/>
      <c r="E88" s="192"/>
      <c r="F88" s="192"/>
      <c r="G88" s="192"/>
      <c r="H88" s="192"/>
      <c r="I88" s="193"/>
    </row>
    <row r="89" spans="1:9" ht="15.75" customHeight="1">
      <c r="A89" s="24">
        <v>18</v>
      </c>
      <c r="B89" s="77" t="s">
        <v>201</v>
      </c>
      <c r="C89" s="78" t="s">
        <v>202</v>
      </c>
      <c r="D89" s="30"/>
      <c r="E89" s="15"/>
      <c r="F89" s="29">
        <v>0.02</v>
      </c>
      <c r="G89" s="29">
        <v>27139.18</v>
      </c>
      <c r="H89" s="54">
        <f>G89*F89/1000</f>
        <v>0.54278360000000003</v>
      </c>
      <c r="I89" s="59">
        <f>G89*0.01</f>
        <v>271.39179999999999</v>
      </c>
    </row>
    <row r="90" spans="1:9" ht="15" customHeight="1">
      <c r="A90" s="24"/>
      <c r="B90" s="60" t="s">
        <v>49</v>
      </c>
      <c r="C90" s="32"/>
      <c r="D90" s="38"/>
      <c r="E90" s="32">
        <v>1</v>
      </c>
      <c r="F90" s="32"/>
      <c r="G90" s="32"/>
      <c r="H90" s="32"/>
      <c r="I90" s="27">
        <f>SUM(I89:I89)</f>
        <v>271.39179999999999</v>
      </c>
    </row>
    <row r="91" spans="1:9">
      <c r="A91" s="24"/>
      <c r="B91" s="37" t="s">
        <v>74</v>
      </c>
      <c r="C91" s="14"/>
      <c r="D91" s="14"/>
      <c r="E91" s="33"/>
      <c r="F91" s="33"/>
      <c r="G91" s="34"/>
      <c r="H91" s="34"/>
      <c r="I91" s="15">
        <v>0</v>
      </c>
    </row>
    <row r="92" spans="1:9">
      <c r="A92" s="39"/>
      <c r="B92" s="36" t="s">
        <v>138</v>
      </c>
      <c r="C92" s="28"/>
      <c r="D92" s="28"/>
      <c r="E92" s="28"/>
      <c r="F92" s="28"/>
      <c r="G92" s="28"/>
      <c r="H92" s="28"/>
      <c r="I92" s="35">
        <f>I87+I90</f>
        <v>57199.331036000003</v>
      </c>
    </row>
    <row r="93" spans="1:9" ht="15.75">
      <c r="A93" s="194" t="s">
        <v>222</v>
      </c>
      <c r="B93" s="194"/>
      <c r="C93" s="194"/>
      <c r="D93" s="194"/>
      <c r="E93" s="194"/>
      <c r="F93" s="194"/>
      <c r="G93" s="194"/>
      <c r="H93" s="194"/>
      <c r="I93" s="194"/>
    </row>
    <row r="94" spans="1:9" ht="15.75">
      <c r="A94" s="68"/>
      <c r="B94" s="195" t="s">
        <v>223</v>
      </c>
      <c r="C94" s="195"/>
      <c r="D94" s="195"/>
      <c r="E94" s="195"/>
      <c r="F94" s="195"/>
      <c r="G94" s="195"/>
      <c r="H94" s="43"/>
      <c r="I94" s="3"/>
    </row>
    <row r="95" spans="1:9">
      <c r="A95" s="153"/>
      <c r="B95" s="196" t="s">
        <v>6</v>
      </c>
      <c r="C95" s="196"/>
      <c r="D95" s="196"/>
      <c r="E95" s="196"/>
      <c r="F95" s="196"/>
      <c r="G95" s="196"/>
      <c r="H95" s="19"/>
      <c r="I95" s="5"/>
    </row>
    <row r="96" spans="1:9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197" t="s">
        <v>7</v>
      </c>
      <c r="B97" s="197"/>
      <c r="C97" s="197"/>
      <c r="D97" s="197"/>
      <c r="E97" s="197"/>
      <c r="F97" s="197"/>
      <c r="G97" s="197"/>
      <c r="H97" s="197"/>
      <c r="I97" s="197"/>
    </row>
    <row r="98" spans="1:9" ht="15.75">
      <c r="A98" s="197" t="s">
        <v>8</v>
      </c>
      <c r="B98" s="197"/>
      <c r="C98" s="197"/>
      <c r="D98" s="197"/>
      <c r="E98" s="197"/>
      <c r="F98" s="197"/>
      <c r="G98" s="197"/>
      <c r="H98" s="197"/>
      <c r="I98" s="197"/>
    </row>
    <row r="99" spans="1:9" ht="15.75">
      <c r="A99" s="198" t="s">
        <v>58</v>
      </c>
      <c r="B99" s="198"/>
      <c r="C99" s="198"/>
      <c r="D99" s="198"/>
      <c r="E99" s="198"/>
      <c r="F99" s="198"/>
      <c r="G99" s="198"/>
      <c r="H99" s="198"/>
      <c r="I99" s="198"/>
    </row>
    <row r="100" spans="1:9" ht="15.75">
      <c r="A100" s="10"/>
    </row>
    <row r="101" spans="1:9" ht="15.75">
      <c r="A101" s="199" t="s">
        <v>9</v>
      </c>
      <c r="B101" s="199"/>
      <c r="C101" s="199"/>
      <c r="D101" s="199"/>
      <c r="E101" s="199"/>
      <c r="F101" s="199"/>
      <c r="G101" s="199"/>
      <c r="H101" s="199"/>
      <c r="I101" s="199"/>
    </row>
    <row r="102" spans="1:9" ht="15.75">
      <c r="A102" s="4"/>
    </row>
    <row r="103" spans="1:9" ht="15.75">
      <c r="B103" s="155" t="s">
        <v>10</v>
      </c>
      <c r="C103" s="200" t="s">
        <v>79</v>
      </c>
      <c r="D103" s="200"/>
      <c r="E103" s="200"/>
      <c r="F103" s="41"/>
      <c r="I103" s="156"/>
    </row>
    <row r="104" spans="1:9">
      <c r="A104" s="153"/>
      <c r="C104" s="196" t="s">
        <v>11</v>
      </c>
      <c r="D104" s="196"/>
      <c r="E104" s="196"/>
      <c r="F104" s="19"/>
      <c r="I104" s="154" t="s">
        <v>12</v>
      </c>
    </row>
    <row r="105" spans="1:9" ht="15.75">
      <c r="A105" s="20"/>
      <c r="C105" s="11"/>
      <c r="D105" s="11"/>
      <c r="G105" s="11"/>
      <c r="H105" s="11"/>
    </row>
    <row r="106" spans="1:9" ht="15.75">
      <c r="B106" s="155" t="s">
        <v>13</v>
      </c>
      <c r="C106" s="201"/>
      <c r="D106" s="201"/>
      <c r="E106" s="201"/>
      <c r="F106" s="42"/>
      <c r="I106" s="156"/>
    </row>
    <row r="107" spans="1:9">
      <c r="A107" s="153"/>
      <c r="C107" s="190" t="s">
        <v>11</v>
      </c>
      <c r="D107" s="190"/>
      <c r="E107" s="190"/>
      <c r="F107" s="153"/>
      <c r="I107" s="154" t="s">
        <v>12</v>
      </c>
    </row>
    <row r="108" spans="1:9" ht="15.75">
      <c r="A108" s="4" t="s">
        <v>14</v>
      </c>
    </row>
    <row r="109" spans="1:9">
      <c r="A109" s="187" t="s">
        <v>15</v>
      </c>
      <c r="B109" s="187"/>
      <c r="C109" s="187"/>
      <c r="D109" s="187"/>
      <c r="E109" s="187"/>
      <c r="F109" s="187"/>
      <c r="G109" s="187"/>
      <c r="H109" s="187"/>
      <c r="I109" s="187"/>
    </row>
    <row r="110" spans="1:9" ht="50.25" customHeight="1">
      <c r="A110" s="188" t="s">
        <v>16</v>
      </c>
      <c r="B110" s="188"/>
      <c r="C110" s="188"/>
      <c r="D110" s="188"/>
      <c r="E110" s="188"/>
      <c r="F110" s="188"/>
      <c r="G110" s="188"/>
      <c r="H110" s="188"/>
      <c r="I110" s="188"/>
    </row>
    <row r="111" spans="1:9" ht="30.75" customHeight="1">
      <c r="A111" s="188" t="s">
        <v>17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35.25" customHeight="1">
      <c r="A112" s="188" t="s">
        <v>21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15.75">
      <c r="A113" s="188" t="s">
        <v>20</v>
      </c>
      <c r="B113" s="188"/>
      <c r="C113" s="188"/>
      <c r="D113" s="188"/>
      <c r="E113" s="188"/>
      <c r="F113" s="188"/>
      <c r="G113" s="188"/>
      <c r="H113" s="188"/>
      <c r="I113" s="188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6:I26"/>
    <mergeCell ref="A41:I41"/>
    <mergeCell ref="A52:I52"/>
    <mergeCell ref="A84:I84"/>
    <mergeCell ref="A88:I88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L95" sqref="L95"/>
    </sheetView>
  </sheetViews>
  <sheetFormatPr defaultRowHeight="15"/>
  <cols>
    <col min="1" max="1" width="11.85546875" customWidth="1"/>
    <col min="2" max="2" width="47.28515625" customWidth="1"/>
    <col min="3" max="3" width="17.7109375" customWidth="1"/>
    <col min="4" max="4" width="19.140625" customWidth="1"/>
    <col min="5" max="6" width="0" hidden="1" customWidth="1"/>
    <col min="7" max="7" width="17.7109375" customWidth="1"/>
    <col min="8" max="8" width="0" hidden="1" customWidth="1"/>
    <col min="9" max="9" width="17.85546875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160</v>
      </c>
      <c r="B3" s="205"/>
      <c r="C3" s="205"/>
      <c r="D3" s="205"/>
      <c r="E3" s="205"/>
      <c r="F3" s="205"/>
      <c r="G3" s="205"/>
      <c r="H3" s="205"/>
      <c r="I3" s="205"/>
    </row>
    <row r="4" spans="1:9" ht="30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227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66"/>
      <c r="C6" s="166"/>
      <c r="D6" s="166"/>
      <c r="E6" s="166"/>
      <c r="F6" s="166"/>
      <c r="G6" s="166"/>
      <c r="H6" s="166"/>
      <c r="I6" s="25">
        <v>44043</v>
      </c>
    </row>
    <row r="7" spans="1:9" ht="0.75" customHeight="1">
      <c r="B7" s="164"/>
      <c r="C7" s="164"/>
      <c r="D7" s="164"/>
      <c r="E7" s="3"/>
      <c r="F7" s="3"/>
      <c r="G7" s="3"/>
      <c r="H7" s="3"/>
    </row>
    <row r="8" spans="1:9" ht="81.7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60.7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 ht="1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4.2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6.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idden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idden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idden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idden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idden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 ht="16.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t="21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5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5" customHeight="1">
      <c r="A29" s="24">
        <v>6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21" customHeight="1">
      <c r="A31" s="24">
        <v>7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 hidden="1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</row>
    <row r="42" spans="1:9" hidden="1">
      <c r="A42" s="24">
        <v>17</v>
      </c>
      <c r="B42" s="85" t="s">
        <v>104</v>
      </c>
      <c r="C42" s="86" t="s">
        <v>96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96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96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96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96</v>
      </c>
      <c r="D46" s="85" t="s">
        <v>137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105</v>
      </c>
      <c r="C47" s="86" t="s">
        <v>96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106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idden="1">
      <c r="A50" s="24">
        <v>22</v>
      </c>
      <c r="B50" s="85" t="s">
        <v>107</v>
      </c>
      <c r="C50" s="86" t="s">
        <v>82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idden="1">
      <c r="A51" s="24">
        <v>23</v>
      </c>
      <c r="B51" s="85" t="s">
        <v>39</v>
      </c>
      <c r="C51" s="86" t="s">
        <v>82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2" t="s">
        <v>134</v>
      </c>
      <c r="B52" s="213"/>
      <c r="C52" s="213"/>
      <c r="D52" s="213"/>
      <c r="E52" s="213"/>
      <c r="F52" s="213"/>
      <c r="G52" s="213"/>
      <c r="H52" s="213"/>
      <c r="I52" s="214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121</v>
      </c>
      <c r="C54" s="86" t="s">
        <v>86</v>
      </c>
      <c r="D54" s="150" t="s">
        <v>155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80</v>
      </c>
      <c r="C55" s="86" t="s">
        <v>86</v>
      </c>
      <c r="D55" s="85" t="s">
        <v>81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109</v>
      </c>
      <c r="C56" s="99" t="s">
        <v>110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111</v>
      </c>
      <c r="C57" s="86" t="s">
        <v>86</v>
      </c>
      <c r="D57" s="85" t="s">
        <v>108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24</v>
      </c>
      <c r="B58" s="98" t="s">
        <v>128</v>
      </c>
      <c r="C58" s="99" t="s">
        <v>31</v>
      </c>
      <c r="D58" s="160" t="s">
        <v>156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21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126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6.5" customHeight="1">
      <c r="A61" s="24">
        <v>8</v>
      </c>
      <c r="B61" s="47" t="s">
        <v>83</v>
      </c>
      <c r="C61" s="48" t="s">
        <v>25</v>
      </c>
      <c r="D61" s="47" t="s">
        <v>183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>
      <c r="A62" s="24"/>
      <c r="B62" s="120" t="s">
        <v>43</v>
      </c>
      <c r="C62" s="99"/>
      <c r="D62" s="98"/>
      <c r="E62" s="100"/>
      <c r="F62" s="103"/>
      <c r="G62" s="103"/>
      <c r="H62" s="101" t="s">
        <v>125</v>
      </c>
      <c r="I62" s="12"/>
    </row>
    <row r="63" spans="1:9" hidden="1">
      <c r="A63" s="24"/>
      <c r="B63" s="105" t="s">
        <v>44</v>
      </c>
      <c r="C63" s="106" t="s">
        <v>82</v>
      </c>
      <c r="D63" s="30" t="s">
        <v>149</v>
      </c>
      <c r="E63" s="15">
        <v>10</v>
      </c>
      <c r="F63" s="88">
        <f>E63</f>
        <v>10</v>
      </c>
      <c r="G63" s="29">
        <v>291.68</v>
      </c>
      <c r="H63" s="75">
        <f t="shared" ref="H63:H78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>
      <c r="A65" s="24">
        <v>9</v>
      </c>
      <c r="B65" s="105" t="s">
        <v>46</v>
      </c>
      <c r="C65" s="107" t="s">
        <v>112</v>
      </c>
      <c r="D65" s="30"/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69" si="9">F65*G65</f>
        <v>39919.092799999999</v>
      </c>
    </row>
    <row r="66" spans="1:9">
      <c r="A66" s="62">
        <v>10</v>
      </c>
      <c r="B66" s="105" t="s">
        <v>47</v>
      </c>
      <c r="C66" s="106" t="s">
        <v>113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>
      <c r="A67" s="24">
        <v>11</v>
      </c>
      <c r="B67" s="105" t="s">
        <v>48</v>
      </c>
      <c r="C67" s="106" t="s">
        <v>72</v>
      </c>
      <c r="D67" s="30"/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>
      <c r="A68" s="24">
        <v>12</v>
      </c>
      <c r="B68" s="108" t="s">
        <v>114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>
      <c r="A69" s="24">
        <v>13</v>
      </c>
      <c r="B69" s="108" t="s">
        <v>115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21" customHeight="1">
      <c r="A70" s="24"/>
      <c r="B70" s="121" t="s">
        <v>142</v>
      </c>
      <c r="C70" s="106"/>
      <c r="D70" s="30"/>
      <c r="E70" s="15"/>
      <c r="F70" s="104"/>
      <c r="G70" s="29"/>
      <c r="H70" s="75"/>
      <c r="I70" s="12"/>
    </row>
    <row r="71" spans="1:9" ht="36" customHeight="1">
      <c r="A71" s="24">
        <v>14</v>
      </c>
      <c r="B71" s="30" t="s">
        <v>143</v>
      </c>
      <c r="C71" s="109" t="s">
        <v>144</v>
      </c>
      <c r="D71" s="30"/>
      <c r="E71" s="15">
        <v>3181</v>
      </c>
      <c r="F71" s="88">
        <f>SUM(E71)*12</f>
        <v>38172</v>
      </c>
      <c r="G71" s="29">
        <v>2.2799999999999998</v>
      </c>
      <c r="H71" s="75">
        <f t="shared" ref="H71" si="10">SUM(F71*G71/1000)</f>
        <v>87.03215999999999</v>
      </c>
      <c r="I71" s="12">
        <f>F71/12*G71</f>
        <v>7252.6799999999994</v>
      </c>
    </row>
    <row r="72" spans="1:9" hidden="1">
      <c r="A72" s="24"/>
      <c r="B72" s="121" t="s">
        <v>67</v>
      </c>
      <c r="C72" s="106"/>
      <c r="D72" s="30"/>
      <c r="E72" s="15"/>
      <c r="F72" s="29"/>
      <c r="G72" s="29"/>
      <c r="H72" s="75" t="s">
        <v>125</v>
      </c>
      <c r="I72" s="12"/>
    </row>
    <row r="73" spans="1:9" hidden="1">
      <c r="A73" s="24">
        <v>20</v>
      </c>
      <c r="B73" s="30" t="s">
        <v>145</v>
      </c>
      <c r="C73" s="106" t="s">
        <v>30</v>
      </c>
      <c r="D73" s="30" t="s">
        <v>63</v>
      </c>
      <c r="E73" s="15">
        <v>1</v>
      </c>
      <c r="F73" s="88">
        <f t="shared" ref="F73" si="11">E73</f>
        <v>1</v>
      </c>
      <c r="G73" s="29">
        <v>1029.1199999999999</v>
      </c>
      <c r="H73" s="75">
        <f>G73*F73/1000</f>
        <v>1.0291199999999998</v>
      </c>
      <c r="I73" s="12">
        <f>G73*2</f>
        <v>2058.2399999999998</v>
      </c>
    </row>
    <row r="74" spans="1:9" hidden="1">
      <c r="A74" s="24">
        <v>21</v>
      </c>
      <c r="B74" s="30" t="s">
        <v>146</v>
      </c>
      <c r="C74" s="106" t="s">
        <v>147</v>
      </c>
      <c r="D74" s="30" t="s">
        <v>63</v>
      </c>
      <c r="E74" s="15">
        <v>1</v>
      </c>
      <c r="F74" s="29">
        <v>1</v>
      </c>
      <c r="G74" s="29">
        <v>735</v>
      </c>
      <c r="H74" s="75">
        <f t="shared" ref="H74:H76" si="12">SUM(F74*G74/1000)</f>
        <v>0.73499999999999999</v>
      </c>
      <c r="I74" s="12">
        <f>G74*2</f>
        <v>1470</v>
      </c>
    </row>
    <row r="75" spans="1:9" hidden="1">
      <c r="A75" s="24"/>
      <c r="B75" s="30" t="s">
        <v>68</v>
      </c>
      <c r="C75" s="106" t="s">
        <v>70</v>
      </c>
      <c r="D75" s="30" t="s">
        <v>63</v>
      </c>
      <c r="E75" s="15">
        <v>8</v>
      </c>
      <c r="F75" s="29">
        <f>E75/10</f>
        <v>0.8</v>
      </c>
      <c r="G75" s="29">
        <v>657.87</v>
      </c>
      <c r="H75" s="75">
        <f t="shared" si="12"/>
        <v>0.5262960000000001</v>
      </c>
      <c r="I75" s="12">
        <v>0</v>
      </c>
    </row>
    <row r="76" spans="1:9" hidden="1">
      <c r="A76" s="24">
        <v>22</v>
      </c>
      <c r="B76" s="30" t="s">
        <v>69</v>
      </c>
      <c r="C76" s="106" t="s">
        <v>30</v>
      </c>
      <c r="D76" s="30" t="s">
        <v>63</v>
      </c>
      <c r="E76" s="15">
        <v>1</v>
      </c>
      <c r="F76" s="104">
        <v>1</v>
      </c>
      <c r="G76" s="29">
        <v>1118.72</v>
      </c>
      <c r="H76" s="75">
        <f t="shared" si="12"/>
        <v>1.1187199999999999</v>
      </c>
      <c r="I76" s="12">
        <f>G76*10</f>
        <v>11187.2</v>
      </c>
    </row>
    <row r="77" spans="1:9" hidden="1">
      <c r="A77" s="24"/>
      <c r="B77" s="122" t="s">
        <v>71</v>
      </c>
      <c r="C77" s="106"/>
      <c r="D77" s="30"/>
      <c r="E77" s="15"/>
      <c r="F77" s="29"/>
      <c r="G77" s="29" t="s">
        <v>125</v>
      </c>
      <c r="H77" s="75" t="s">
        <v>125</v>
      </c>
      <c r="I77" s="12" t="str">
        <f>G77</f>
        <v xml:space="preserve"> </v>
      </c>
    </row>
    <row r="78" spans="1:9" hidden="1">
      <c r="A78" s="24"/>
      <c r="B78" s="110" t="s">
        <v>118</v>
      </c>
      <c r="C78" s="107" t="s">
        <v>72</v>
      </c>
      <c r="D78" s="105"/>
      <c r="E78" s="111"/>
      <c r="F78" s="97">
        <v>0.6</v>
      </c>
      <c r="G78" s="97">
        <v>3619.09</v>
      </c>
      <c r="H78" s="75">
        <f t="shared" si="8"/>
        <v>2.1714540000000002</v>
      </c>
      <c r="I78" s="12">
        <v>0</v>
      </c>
    </row>
    <row r="79" spans="1:9" ht="28.5" hidden="1">
      <c r="A79" s="24"/>
      <c r="B79" s="167" t="s">
        <v>116</v>
      </c>
      <c r="C79" s="12"/>
      <c r="D79" s="12"/>
      <c r="E79" s="12"/>
      <c r="F79" s="12"/>
      <c r="G79" s="12"/>
      <c r="H79" s="12"/>
      <c r="I79" s="12"/>
    </row>
    <row r="80" spans="1:9" hidden="1">
      <c r="A80" s="61"/>
      <c r="B80" s="98" t="s">
        <v>117</v>
      </c>
      <c r="C80" s="136"/>
      <c r="D80" s="137"/>
      <c r="E80" s="114"/>
      <c r="F80" s="138">
        <v>1</v>
      </c>
      <c r="G80" s="138">
        <v>30235</v>
      </c>
      <c r="H80" s="139">
        <f>G80*F80/1000</f>
        <v>30.234999999999999</v>
      </c>
      <c r="I80" s="59">
        <f>G80</f>
        <v>30235</v>
      </c>
    </row>
    <row r="81" spans="1:9">
      <c r="A81" s="202" t="s">
        <v>135</v>
      </c>
      <c r="B81" s="203"/>
      <c r="C81" s="203"/>
      <c r="D81" s="203"/>
      <c r="E81" s="203"/>
      <c r="F81" s="203"/>
      <c r="G81" s="203"/>
      <c r="H81" s="203"/>
      <c r="I81" s="204"/>
    </row>
    <row r="82" spans="1:9" ht="18.75" customHeight="1">
      <c r="A82" s="61">
        <v>15</v>
      </c>
      <c r="B82" s="85" t="s">
        <v>119</v>
      </c>
      <c r="C82" s="106" t="s">
        <v>52</v>
      </c>
      <c r="D82" s="116"/>
      <c r="E82" s="29">
        <v>3931</v>
      </c>
      <c r="F82" s="29">
        <f>SUM(E82*12)</f>
        <v>47172</v>
      </c>
      <c r="G82" s="29">
        <v>3.1</v>
      </c>
      <c r="H82" s="75">
        <f>SUM(F82*G82/1000)</f>
        <v>146.23320000000001</v>
      </c>
      <c r="I82" s="12">
        <f>F82/12*G82</f>
        <v>12186.1</v>
      </c>
    </row>
    <row r="83" spans="1:9" ht="36.75" customHeight="1">
      <c r="A83" s="24">
        <v>16</v>
      </c>
      <c r="B83" s="30" t="s">
        <v>73</v>
      </c>
      <c r="C83" s="106"/>
      <c r="D83" s="116"/>
      <c r="E83" s="87">
        <f>E82</f>
        <v>3931</v>
      </c>
      <c r="F83" s="29">
        <f>E83*12</f>
        <v>47172</v>
      </c>
      <c r="G83" s="29">
        <v>3.5</v>
      </c>
      <c r="H83" s="75">
        <f>F83*G83/1000</f>
        <v>165.102</v>
      </c>
      <c r="I83" s="12">
        <f>F83/12*G83</f>
        <v>13758.5</v>
      </c>
    </row>
    <row r="84" spans="1:9">
      <c r="A84" s="24"/>
      <c r="B84" s="31" t="s">
        <v>75</v>
      </c>
      <c r="C84" s="57"/>
      <c r="D84" s="56"/>
      <c r="E84" s="46"/>
      <c r="F84" s="46"/>
      <c r="G84" s="46"/>
      <c r="H84" s="58">
        <f>H83</f>
        <v>165.102</v>
      </c>
      <c r="I84" s="46">
        <f>I83+I82+I71+I69+I68+I67+I66+I65+I61+I31+I29+I28+I25+I18+I17+I16</f>
        <v>158224.38866</v>
      </c>
    </row>
    <row r="85" spans="1:9">
      <c r="A85" s="191" t="s">
        <v>57</v>
      </c>
      <c r="B85" s="192"/>
      <c r="C85" s="192"/>
      <c r="D85" s="192"/>
      <c r="E85" s="192"/>
      <c r="F85" s="192"/>
      <c r="G85" s="192"/>
      <c r="H85" s="192"/>
      <c r="I85" s="193"/>
    </row>
    <row r="86" spans="1:9" ht="17.25" customHeight="1">
      <c r="A86" s="24">
        <v>17</v>
      </c>
      <c r="B86" s="77" t="s">
        <v>76</v>
      </c>
      <c r="C86" s="78" t="s">
        <v>82</v>
      </c>
      <c r="D86" s="24"/>
      <c r="E86" s="16"/>
      <c r="F86" s="12"/>
      <c r="G86" s="143">
        <v>215.85</v>
      </c>
      <c r="H86" s="54">
        <f>G86*F86/1000</f>
        <v>0</v>
      </c>
      <c r="I86" s="59">
        <f>G86*1</f>
        <v>215.85</v>
      </c>
    </row>
    <row r="87" spans="1:9" ht="18" customHeight="1">
      <c r="A87" s="24"/>
      <c r="B87" s="60" t="s">
        <v>49</v>
      </c>
      <c r="C87" s="32"/>
      <c r="D87" s="38"/>
      <c r="E87" s="32">
        <v>1</v>
      </c>
      <c r="F87" s="32"/>
      <c r="G87" s="32"/>
      <c r="H87" s="32"/>
      <c r="I87" s="27">
        <f>SUM(I86:I86)</f>
        <v>215.85</v>
      </c>
    </row>
    <row r="88" spans="1:9">
      <c r="A88" s="24"/>
      <c r="B88" s="37" t="s">
        <v>74</v>
      </c>
      <c r="C88" s="14"/>
      <c r="D88" s="14"/>
      <c r="E88" s="33"/>
      <c r="F88" s="33"/>
      <c r="G88" s="34"/>
      <c r="H88" s="34"/>
      <c r="I88" s="15">
        <v>0</v>
      </c>
    </row>
    <row r="89" spans="1:9">
      <c r="A89" s="39"/>
      <c r="B89" s="36" t="s">
        <v>138</v>
      </c>
      <c r="C89" s="28"/>
      <c r="D89" s="28"/>
      <c r="E89" s="28"/>
      <c r="F89" s="28"/>
      <c r="G89" s="28"/>
      <c r="H89" s="28"/>
      <c r="I89" s="35">
        <f>I84+I87</f>
        <v>158440.23866</v>
      </c>
    </row>
    <row r="90" spans="1:9" ht="15.75">
      <c r="A90" s="194" t="s">
        <v>228</v>
      </c>
      <c r="B90" s="194"/>
      <c r="C90" s="194"/>
      <c r="D90" s="194"/>
      <c r="E90" s="194"/>
      <c r="F90" s="194"/>
      <c r="G90" s="194"/>
      <c r="H90" s="194"/>
      <c r="I90" s="194"/>
    </row>
    <row r="91" spans="1:9" ht="15.75">
      <c r="A91" s="68"/>
      <c r="B91" s="195" t="s">
        <v>229</v>
      </c>
      <c r="C91" s="195"/>
      <c r="D91" s="195"/>
      <c r="E91" s="195"/>
      <c r="F91" s="195"/>
      <c r="G91" s="195"/>
      <c r="H91" s="43"/>
      <c r="I91" s="3"/>
    </row>
    <row r="92" spans="1:9">
      <c r="A92" s="162"/>
      <c r="B92" s="196" t="s">
        <v>6</v>
      </c>
      <c r="C92" s="196"/>
      <c r="D92" s="196"/>
      <c r="E92" s="196"/>
      <c r="F92" s="196"/>
      <c r="G92" s="196"/>
      <c r="H92" s="19"/>
      <c r="I92" s="5"/>
    </row>
    <row r="93" spans="1:9">
      <c r="A93" s="9"/>
      <c r="B93" s="9"/>
      <c r="C93" s="9"/>
      <c r="D93" s="9"/>
      <c r="E93" s="9"/>
      <c r="F93" s="9"/>
      <c r="G93" s="9"/>
      <c r="H93" s="9"/>
      <c r="I93" s="9"/>
    </row>
    <row r="94" spans="1:9" ht="15.75">
      <c r="A94" s="197" t="s">
        <v>7</v>
      </c>
      <c r="B94" s="197"/>
      <c r="C94" s="197"/>
      <c r="D94" s="197"/>
      <c r="E94" s="197"/>
      <c r="F94" s="197"/>
      <c r="G94" s="197"/>
      <c r="H94" s="197"/>
      <c r="I94" s="197"/>
    </row>
    <row r="95" spans="1:9" ht="15.75">
      <c r="A95" s="197" t="s">
        <v>8</v>
      </c>
      <c r="B95" s="197"/>
      <c r="C95" s="197"/>
      <c r="D95" s="197"/>
      <c r="E95" s="197"/>
      <c r="F95" s="197"/>
      <c r="G95" s="197"/>
      <c r="H95" s="197"/>
      <c r="I95" s="197"/>
    </row>
    <row r="96" spans="1:9" ht="15.75">
      <c r="A96" s="198" t="s">
        <v>58</v>
      </c>
      <c r="B96" s="198"/>
      <c r="C96" s="198"/>
      <c r="D96" s="198"/>
      <c r="E96" s="198"/>
      <c r="F96" s="198"/>
      <c r="G96" s="198"/>
      <c r="H96" s="198"/>
      <c r="I96" s="198"/>
    </row>
    <row r="97" spans="1:9" ht="15.75">
      <c r="A97" s="10"/>
    </row>
    <row r="98" spans="1:9" ht="15.75">
      <c r="A98" s="199" t="s">
        <v>9</v>
      </c>
      <c r="B98" s="199"/>
      <c r="C98" s="199"/>
      <c r="D98" s="199"/>
      <c r="E98" s="199"/>
      <c r="F98" s="199"/>
      <c r="G98" s="199"/>
      <c r="H98" s="199"/>
      <c r="I98" s="199"/>
    </row>
    <row r="99" spans="1:9" ht="15.75">
      <c r="A99" s="4"/>
    </row>
    <row r="100" spans="1:9" ht="15.75">
      <c r="B100" s="164" t="s">
        <v>10</v>
      </c>
      <c r="C100" s="200" t="s">
        <v>79</v>
      </c>
      <c r="D100" s="200"/>
      <c r="E100" s="200"/>
      <c r="F100" s="41"/>
      <c r="I100" s="165"/>
    </row>
    <row r="101" spans="1:9">
      <c r="A101" s="162"/>
      <c r="C101" s="196" t="s">
        <v>11</v>
      </c>
      <c r="D101" s="196"/>
      <c r="E101" s="196"/>
      <c r="F101" s="19"/>
      <c r="I101" s="163" t="s">
        <v>12</v>
      </c>
    </row>
    <row r="102" spans="1:9" ht="15.75">
      <c r="A102" s="20"/>
      <c r="C102" s="11"/>
      <c r="D102" s="11"/>
      <c r="G102" s="11"/>
      <c r="H102" s="11"/>
    </row>
    <row r="103" spans="1:9" ht="15.75">
      <c r="B103" s="164" t="s">
        <v>13</v>
      </c>
      <c r="C103" s="201"/>
      <c r="D103" s="201"/>
      <c r="E103" s="201"/>
      <c r="F103" s="42"/>
      <c r="I103" s="165"/>
    </row>
    <row r="104" spans="1:9">
      <c r="A104" s="162"/>
      <c r="C104" s="190" t="s">
        <v>11</v>
      </c>
      <c r="D104" s="190"/>
      <c r="E104" s="190"/>
      <c r="F104" s="162"/>
      <c r="I104" s="163" t="s">
        <v>12</v>
      </c>
    </row>
    <row r="105" spans="1:9" ht="15.75">
      <c r="A105" s="4" t="s">
        <v>14</v>
      </c>
    </row>
    <row r="106" spans="1:9">
      <c r="A106" s="187" t="s">
        <v>15</v>
      </c>
      <c r="B106" s="187"/>
      <c r="C106" s="187"/>
      <c r="D106" s="187"/>
      <c r="E106" s="187"/>
      <c r="F106" s="187"/>
      <c r="G106" s="187"/>
      <c r="H106" s="187"/>
      <c r="I106" s="187"/>
    </row>
    <row r="107" spans="1:9" ht="48" customHeight="1">
      <c r="A107" s="188" t="s">
        <v>16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38.25" customHeight="1">
      <c r="A108" s="188" t="s">
        <v>17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37.5" customHeight="1">
      <c r="A109" s="188" t="s">
        <v>21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15.75">
      <c r="A110" s="188" t="s">
        <v>20</v>
      </c>
      <c r="B110" s="188"/>
      <c r="C110" s="188"/>
      <c r="D110" s="188"/>
      <c r="E110" s="188"/>
      <c r="F110" s="188"/>
      <c r="G110" s="188"/>
      <c r="H110" s="188"/>
      <c r="I110" s="188"/>
    </row>
  </sheetData>
  <mergeCells count="28">
    <mergeCell ref="A14:I14"/>
    <mergeCell ref="A3:I3"/>
    <mergeCell ref="A4:I4"/>
    <mergeCell ref="A5:I5"/>
    <mergeCell ref="A8:I8"/>
    <mergeCell ref="A10:I10"/>
    <mergeCell ref="A96:I96"/>
    <mergeCell ref="A15:I15"/>
    <mergeCell ref="A26:I26"/>
    <mergeCell ref="A41:I41"/>
    <mergeCell ref="A52:I52"/>
    <mergeCell ref="A81:I81"/>
    <mergeCell ref="A85:I85"/>
    <mergeCell ref="A90:I90"/>
    <mergeCell ref="B91:G91"/>
    <mergeCell ref="B92:G92"/>
    <mergeCell ref="A94:I94"/>
    <mergeCell ref="A95:I9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" right="0.7" top="0.75" bottom="0.75" header="0.3" footer="0.3"/>
  <pageSetup paperSize="9" scale="66" orientation="portrait" horizontalDpi="0" verticalDpi="0" r:id="rId1"/>
  <rowBreaks count="1" manualBreakCount="1"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topLeftCell="A91" workbookViewId="0">
      <selection activeCell="K104" sqref="K104"/>
    </sheetView>
  </sheetViews>
  <sheetFormatPr defaultRowHeight="15"/>
  <cols>
    <col min="1" max="1" width="13.28515625" customWidth="1"/>
    <col min="2" max="2" width="45.42578125" customWidth="1"/>
    <col min="3" max="4" width="18.28515625" customWidth="1"/>
    <col min="5" max="6" width="0" hidden="1" customWidth="1"/>
    <col min="7" max="7" width="17.7109375" customWidth="1"/>
    <col min="8" max="8" width="0" hidden="1" customWidth="1"/>
    <col min="9" max="9" width="15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163</v>
      </c>
      <c r="B3" s="205"/>
      <c r="C3" s="205"/>
      <c r="D3" s="205"/>
      <c r="E3" s="205"/>
      <c r="F3" s="205"/>
      <c r="G3" s="205"/>
      <c r="H3" s="205"/>
      <c r="I3" s="205"/>
    </row>
    <row r="4" spans="1:9" ht="31.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230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72"/>
      <c r="C6" s="172"/>
      <c r="D6" s="172"/>
      <c r="E6" s="172"/>
      <c r="F6" s="172"/>
      <c r="G6" s="172"/>
      <c r="H6" s="172"/>
      <c r="I6" s="25">
        <v>44074</v>
      </c>
    </row>
    <row r="7" spans="1:9" ht="15.75">
      <c r="B7" s="170"/>
      <c r="C7" s="170"/>
      <c r="D7" s="170"/>
      <c r="E7" s="3"/>
      <c r="F7" s="3"/>
      <c r="G7" s="3"/>
      <c r="H7" s="3"/>
    </row>
    <row r="8" spans="1:9" ht="101.2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57.7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 ht="14.2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31.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29.2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idden="1">
      <c r="A20" s="24">
        <v>5</v>
      </c>
      <c r="B20" s="85" t="s">
        <v>90</v>
      </c>
      <c r="C20" s="86" t="s">
        <v>86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idden="1">
      <c r="A21" s="24">
        <v>6</v>
      </c>
      <c r="B21" s="85" t="s">
        <v>91</v>
      </c>
      <c r="C21" s="86" t="s">
        <v>86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idden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7.25" customHeight="1">
      <c r="A25" s="24">
        <v>4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t="18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5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5" customHeight="1">
      <c r="A29" s="24">
        <v>6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7.25" customHeight="1">
      <c r="A31" s="24">
        <v>7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</row>
    <row r="42" spans="1:9" ht="18" hidden="1" customHeight="1">
      <c r="A42" s="24">
        <v>17</v>
      </c>
      <c r="B42" s="85" t="s">
        <v>104</v>
      </c>
      <c r="C42" s="86" t="s">
        <v>96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96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idden="1">
      <c r="A44" s="24">
        <v>19</v>
      </c>
      <c r="B44" s="85" t="s">
        <v>34</v>
      </c>
      <c r="C44" s="86" t="s">
        <v>96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idden="1">
      <c r="A45" s="24">
        <v>20</v>
      </c>
      <c r="B45" s="85" t="s">
        <v>35</v>
      </c>
      <c r="C45" s="86" t="s">
        <v>96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idden="1">
      <c r="A46" s="24">
        <v>21</v>
      </c>
      <c r="B46" s="85" t="s">
        <v>53</v>
      </c>
      <c r="C46" s="86" t="s">
        <v>96</v>
      </c>
      <c r="D46" s="85" t="s">
        <v>137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105</v>
      </c>
      <c r="C47" s="86" t="s">
        <v>96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 hidden="1">
      <c r="A48" s="24">
        <v>13</v>
      </c>
      <c r="B48" s="85" t="s">
        <v>106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>
      <c r="A50" s="24">
        <v>8</v>
      </c>
      <c r="B50" s="85" t="s">
        <v>107</v>
      </c>
      <c r="C50" s="86" t="s">
        <v>82</v>
      </c>
      <c r="D50" s="182">
        <v>44074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>
      <c r="A51" s="24">
        <v>9</v>
      </c>
      <c r="B51" s="85" t="s">
        <v>39</v>
      </c>
      <c r="C51" s="86" t="s">
        <v>82</v>
      </c>
      <c r="D51" s="182">
        <v>44074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212" t="s">
        <v>131</v>
      </c>
      <c r="B52" s="213"/>
      <c r="C52" s="213"/>
      <c r="D52" s="213"/>
      <c r="E52" s="213"/>
      <c r="F52" s="213"/>
      <c r="G52" s="213"/>
      <c r="H52" s="213"/>
      <c r="I52" s="214"/>
    </row>
    <row r="53" spans="1:9" ht="17.25" customHeight="1">
      <c r="A53" s="24"/>
      <c r="B53" s="119" t="s">
        <v>42</v>
      </c>
      <c r="C53" s="99"/>
      <c r="D53" s="98"/>
      <c r="E53" s="100"/>
      <c r="F53" s="101"/>
      <c r="G53" s="29"/>
      <c r="H53" s="102"/>
      <c r="I53" s="12"/>
    </row>
    <row r="54" spans="1:9" hidden="1">
      <c r="A54" s="24">
        <v>14</v>
      </c>
      <c r="B54" s="98" t="s">
        <v>126</v>
      </c>
      <c r="C54" s="99" t="s">
        <v>50</v>
      </c>
      <c r="D54" s="98" t="s">
        <v>51</v>
      </c>
      <c r="E54" s="100">
        <v>508.73</v>
      </c>
      <c r="F54" s="88">
        <f>SUM(E54/100)</f>
        <v>5.0872999999999999</v>
      </c>
      <c r="G54" s="29">
        <v>1040.8399999999999</v>
      </c>
      <c r="H54" s="102">
        <f>F54*G54/1000</f>
        <v>5.2950653319999992</v>
      </c>
      <c r="I54" s="12">
        <v>0</v>
      </c>
    </row>
    <row r="55" spans="1:9" ht="18.75" customHeight="1">
      <c r="A55" s="24">
        <v>10</v>
      </c>
      <c r="B55" s="47" t="s">
        <v>83</v>
      </c>
      <c r="C55" s="48" t="s">
        <v>25</v>
      </c>
      <c r="D55" s="47" t="s">
        <v>182</v>
      </c>
      <c r="E55" s="49">
        <v>200</v>
      </c>
      <c r="F55" s="129">
        <f>E55*12</f>
        <v>2400</v>
      </c>
      <c r="G55" s="40">
        <v>1.4</v>
      </c>
      <c r="H55" s="50">
        <f>F55*G55/1000</f>
        <v>3.36</v>
      </c>
      <c r="I55" s="12">
        <f>F55/12*G55</f>
        <v>280</v>
      </c>
    </row>
    <row r="56" spans="1:9" hidden="1">
      <c r="A56" s="24"/>
      <c r="B56" s="120" t="s">
        <v>43</v>
      </c>
      <c r="C56" s="99"/>
      <c r="D56" s="98"/>
      <c r="E56" s="100"/>
      <c r="F56" s="103"/>
      <c r="G56" s="103"/>
      <c r="H56" s="101" t="s">
        <v>125</v>
      </c>
      <c r="I56" s="12"/>
    </row>
    <row r="57" spans="1:9" hidden="1">
      <c r="A57" s="24"/>
      <c r="B57" s="105" t="s">
        <v>44</v>
      </c>
      <c r="C57" s="106" t="s">
        <v>82</v>
      </c>
      <c r="D57" s="30" t="s">
        <v>231</v>
      </c>
      <c r="E57" s="15">
        <v>10</v>
      </c>
      <c r="F57" s="88">
        <f>E57</f>
        <v>10</v>
      </c>
      <c r="G57" s="29">
        <v>291.68</v>
      </c>
      <c r="H57" s="75">
        <f t="shared" ref="H57:H73" si="10">SUM(F57*G57/1000)</f>
        <v>2.9168000000000003</v>
      </c>
      <c r="I57" s="12">
        <v>0</v>
      </c>
    </row>
    <row r="58" spans="1:9" hidden="1">
      <c r="A58" s="61"/>
      <c r="B58" s="105" t="s">
        <v>45</v>
      </c>
      <c r="C58" s="106" t="s">
        <v>82</v>
      </c>
      <c r="D58" s="30" t="s">
        <v>149</v>
      </c>
      <c r="E58" s="15">
        <v>10</v>
      </c>
      <c r="F58" s="88">
        <f>E58</f>
        <v>10</v>
      </c>
      <c r="G58" s="29">
        <v>100.01</v>
      </c>
      <c r="H58" s="75">
        <f t="shared" si="10"/>
        <v>1.0001</v>
      </c>
      <c r="I58" s="12">
        <v>0</v>
      </c>
    </row>
    <row r="59" spans="1:9" hidden="1">
      <c r="A59" s="24">
        <v>26</v>
      </c>
      <c r="B59" s="105" t="s">
        <v>46</v>
      </c>
      <c r="C59" s="107" t="s">
        <v>112</v>
      </c>
      <c r="D59" s="30" t="s">
        <v>51</v>
      </c>
      <c r="E59" s="87">
        <v>14347</v>
      </c>
      <c r="F59" s="97">
        <f>SUM(E59/100)</f>
        <v>143.47</v>
      </c>
      <c r="G59" s="29">
        <v>278.24</v>
      </c>
      <c r="H59" s="75">
        <f t="shared" si="10"/>
        <v>39.919092800000001</v>
      </c>
      <c r="I59" s="12">
        <f t="shared" ref="I59:I64" si="11">F59*G59</f>
        <v>39919.092799999999</v>
      </c>
    </row>
    <row r="60" spans="1:9" hidden="1">
      <c r="A60" s="62">
        <v>27</v>
      </c>
      <c r="B60" s="105" t="s">
        <v>47</v>
      </c>
      <c r="C60" s="106" t="s">
        <v>113</v>
      </c>
      <c r="D60" s="30"/>
      <c r="E60" s="87">
        <v>14347</v>
      </c>
      <c r="F60" s="29">
        <f>SUM(E60/1000)</f>
        <v>14.347</v>
      </c>
      <c r="G60" s="29">
        <v>216.68</v>
      </c>
      <c r="H60" s="75">
        <f t="shared" si="10"/>
        <v>3.1087079600000003</v>
      </c>
      <c r="I60" s="12">
        <f t="shared" si="11"/>
        <v>3108.7079600000002</v>
      </c>
    </row>
    <row r="61" spans="1:9" hidden="1">
      <c r="A61" s="24">
        <v>28</v>
      </c>
      <c r="B61" s="105" t="s">
        <v>48</v>
      </c>
      <c r="C61" s="106" t="s">
        <v>72</v>
      </c>
      <c r="D61" s="30" t="s">
        <v>51</v>
      </c>
      <c r="E61" s="87">
        <v>2244</v>
      </c>
      <c r="F61" s="29">
        <f>SUM(E61/100)</f>
        <v>22.44</v>
      </c>
      <c r="G61" s="29">
        <v>2720.94</v>
      </c>
      <c r="H61" s="75">
        <f t="shared" si="10"/>
        <v>61.0578936</v>
      </c>
      <c r="I61" s="12">
        <f t="shared" si="11"/>
        <v>61057.893600000003</v>
      </c>
    </row>
    <row r="62" spans="1:9" hidden="1">
      <c r="A62" s="24">
        <v>29</v>
      </c>
      <c r="B62" s="108" t="s">
        <v>114</v>
      </c>
      <c r="C62" s="106" t="s">
        <v>32</v>
      </c>
      <c r="D62" s="30"/>
      <c r="E62" s="87">
        <v>12.8</v>
      </c>
      <c r="F62" s="29">
        <f>SUM(E62)</f>
        <v>12.8</v>
      </c>
      <c r="G62" s="29">
        <v>42.61</v>
      </c>
      <c r="H62" s="75">
        <f t="shared" si="10"/>
        <v>0.545408</v>
      </c>
      <c r="I62" s="12">
        <f t="shared" si="11"/>
        <v>545.40800000000002</v>
      </c>
    </row>
    <row r="63" spans="1:9" hidden="1">
      <c r="A63" s="24">
        <v>30</v>
      </c>
      <c r="B63" s="108" t="s">
        <v>115</v>
      </c>
      <c r="C63" s="106" t="s">
        <v>32</v>
      </c>
      <c r="D63" s="30"/>
      <c r="E63" s="87">
        <v>12.8</v>
      </c>
      <c r="F63" s="29">
        <f>SUM(E63)</f>
        <v>12.8</v>
      </c>
      <c r="G63" s="29">
        <v>46.04</v>
      </c>
      <c r="H63" s="75">
        <f t="shared" si="10"/>
        <v>0.58931200000000006</v>
      </c>
      <c r="I63" s="12">
        <f t="shared" si="11"/>
        <v>589.31200000000001</v>
      </c>
    </row>
    <row r="64" spans="1:9" hidden="1">
      <c r="A64" s="24">
        <v>20</v>
      </c>
      <c r="B64" s="30" t="s">
        <v>54</v>
      </c>
      <c r="C64" s="106" t="s">
        <v>55</v>
      </c>
      <c r="D64" s="30" t="s">
        <v>51</v>
      </c>
      <c r="E64" s="15">
        <v>6</v>
      </c>
      <c r="F64" s="29">
        <f>SUM(E64)</f>
        <v>6</v>
      </c>
      <c r="G64" s="29">
        <v>65.42</v>
      </c>
      <c r="H64" s="75">
        <f t="shared" si="10"/>
        <v>0.39251999999999998</v>
      </c>
      <c r="I64" s="12">
        <f t="shared" si="11"/>
        <v>392.52</v>
      </c>
    </row>
    <row r="65" spans="1:9" ht="18" customHeight="1">
      <c r="A65" s="24"/>
      <c r="B65" s="121" t="s">
        <v>142</v>
      </c>
      <c r="C65" s="106"/>
      <c r="D65" s="30"/>
      <c r="E65" s="15"/>
      <c r="F65" s="104"/>
      <c r="G65" s="29"/>
      <c r="H65" s="75"/>
      <c r="I65" s="12"/>
    </row>
    <row r="66" spans="1:9" ht="31.5" customHeight="1">
      <c r="A66" s="24">
        <v>11</v>
      </c>
      <c r="B66" s="30" t="s">
        <v>143</v>
      </c>
      <c r="C66" s="109" t="s">
        <v>144</v>
      </c>
      <c r="D66" s="30"/>
      <c r="E66" s="15">
        <v>3181</v>
      </c>
      <c r="F66" s="88">
        <f>SUM(E66)*12</f>
        <v>38172</v>
      </c>
      <c r="G66" s="29">
        <v>2.2799999999999998</v>
      </c>
      <c r="H66" s="75">
        <f t="shared" ref="H66" si="12">SUM(F66*G66/1000)</f>
        <v>87.03215999999999</v>
      </c>
      <c r="I66" s="12">
        <f>F66/12*G66</f>
        <v>7252.6799999999994</v>
      </c>
    </row>
    <row r="67" spans="1:9" ht="18.75" hidden="1" customHeight="1">
      <c r="A67" s="24"/>
      <c r="B67" s="121" t="s">
        <v>67</v>
      </c>
      <c r="C67" s="106"/>
      <c r="D67" s="30"/>
      <c r="E67" s="15"/>
      <c r="F67" s="29"/>
      <c r="G67" s="29"/>
      <c r="H67" s="75" t="s">
        <v>125</v>
      </c>
      <c r="I67" s="12"/>
    </row>
    <row r="68" spans="1:9" hidden="1">
      <c r="A68" s="24">
        <v>20</v>
      </c>
      <c r="B68" s="30" t="s">
        <v>145</v>
      </c>
      <c r="C68" s="106" t="s">
        <v>30</v>
      </c>
      <c r="D68" s="30" t="s">
        <v>63</v>
      </c>
      <c r="E68" s="15">
        <v>1</v>
      </c>
      <c r="F68" s="88">
        <f t="shared" ref="F68" si="13">E68</f>
        <v>1</v>
      </c>
      <c r="G68" s="29">
        <v>1029.1199999999999</v>
      </c>
      <c r="H68" s="75">
        <f>G68*F68/1000</f>
        <v>1.0291199999999998</v>
      </c>
      <c r="I68" s="12">
        <f>G68*2</f>
        <v>2058.2399999999998</v>
      </c>
    </row>
    <row r="69" spans="1:9" hidden="1">
      <c r="A69" s="24">
        <v>21</v>
      </c>
      <c r="B69" s="30" t="s">
        <v>146</v>
      </c>
      <c r="C69" s="106" t="s">
        <v>147</v>
      </c>
      <c r="D69" s="30" t="s">
        <v>63</v>
      </c>
      <c r="E69" s="15">
        <v>1</v>
      </c>
      <c r="F69" s="29">
        <v>1</v>
      </c>
      <c r="G69" s="29">
        <v>735</v>
      </c>
      <c r="H69" s="75">
        <f t="shared" ref="H69:H71" si="14">SUM(F69*G69/1000)</f>
        <v>0.73499999999999999</v>
      </c>
      <c r="I69" s="12">
        <f>G69*2</f>
        <v>1470</v>
      </c>
    </row>
    <row r="70" spans="1:9" ht="15.75" hidden="1" customHeight="1">
      <c r="A70" s="24">
        <v>12</v>
      </c>
      <c r="B70" s="30" t="s">
        <v>68</v>
      </c>
      <c r="C70" s="106" t="s">
        <v>70</v>
      </c>
      <c r="D70" s="30"/>
      <c r="E70" s="15">
        <v>8</v>
      </c>
      <c r="F70" s="29">
        <f>E70/10</f>
        <v>0.8</v>
      </c>
      <c r="G70" s="29">
        <v>657.87</v>
      </c>
      <c r="H70" s="75">
        <f t="shared" si="14"/>
        <v>0.5262960000000001</v>
      </c>
      <c r="I70" s="12">
        <f>G70*0.3</f>
        <v>197.36099999999999</v>
      </c>
    </row>
    <row r="71" spans="1:9" hidden="1">
      <c r="A71" s="24">
        <v>22</v>
      </c>
      <c r="B71" s="30" t="s">
        <v>69</v>
      </c>
      <c r="C71" s="106" t="s">
        <v>30</v>
      </c>
      <c r="D71" s="30" t="s">
        <v>63</v>
      </c>
      <c r="E71" s="15">
        <v>1</v>
      </c>
      <c r="F71" s="104">
        <v>1</v>
      </c>
      <c r="G71" s="29">
        <v>1118.72</v>
      </c>
      <c r="H71" s="75">
        <f t="shared" si="14"/>
        <v>1.1187199999999999</v>
      </c>
      <c r="I71" s="12">
        <f>G71*10</f>
        <v>11187.2</v>
      </c>
    </row>
    <row r="72" spans="1:9" hidden="1">
      <c r="A72" s="24"/>
      <c r="B72" s="122" t="s">
        <v>71</v>
      </c>
      <c r="C72" s="106"/>
      <c r="D72" s="30"/>
      <c r="E72" s="15"/>
      <c r="F72" s="29"/>
      <c r="G72" s="29" t="s">
        <v>125</v>
      </c>
      <c r="H72" s="75" t="s">
        <v>125</v>
      </c>
      <c r="I72" s="12" t="str">
        <f>G72</f>
        <v xml:space="preserve"> </v>
      </c>
    </row>
    <row r="73" spans="1:9" hidden="1">
      <c r="A73" s="24"/>
      <c r="B73" s="110" t="s">
        <v>118</v>
      </c>
      <c r="C73" s="107" t="s">
        <v>72</v>
      </c>
      <c r="D73" s="105"/>
      <c r="E73" s="111"/>
      <c r="F73" s="97">
        <v>0.6</v>
      </c>
      <c r="G73" s="97">
        <v>3619.09</v>
      </c>
      <c r="H73" s="75">
        <f t="shared" si="10"/>
        <v>2.1714540000000002</v>
      </c>
      <c r="I73" s="12">
        <v>0</v>
      </c>
    </row>
    <row r="74" spans="1:9" ht="28.5" hidden="1">
      <c r="A74" s="24"/>
      <c r="B74" s="173" t="s">
        <v>116</v>
      </c>
      <c r="C74" s="12"/>
      <c r="D74" s="12"/>
      <c r="E74" s="12"/>
      <c r="F74" s="12"/>
      <c r="G74" s="12"/>
      <c r="H74" s="12"/>
      <c r="I74" s="12"/>
    </row>
    <row r="75" spans="1:9" hidden="1">
      <c r="A75" s="61"/>
      <c r="B75" s="98" t="s">
        <v>117</v>
      </c>
      <c r="C75" s="136"/>
      <c r="D75" s="137"/>
      <c r="E75" s="114"/>
      <c r="F75" s="138">
        <v>1</v>
      </c>
      <c r="G75" s="138">
        <v>30235</v>
      </c>
      <c r="H75" s="139">
        <f>G75*F75/1000</f>
        <v>30.234999999999999</v>
      </c>
      <c r="I75" s="59">
        <f>G75</f>
        <v>30235</v>
      </c>
    </row>
    <row r="76" spans="1:9">
      <c r="A76" s="202" t="s">
        <v>132</v>
      </c>
      <c r="B76" s="203"/>
      <c r="C76" s="203"/>
      <c r="D76" s="203"/>
      <c r="E76" s="203"/>
      <c r="F76" s="203"/>
      <c r="G76" s="203"/>
      <c r="H76" s="203"/>
      <c r="I76" s="204"/>
    </row>
    <row r="77" spans="1:9" ht="17.25" customHeight="1">
      <c r="A77" s="61">
        <v>12</v>
      </c>
      <c r="B77" s="85" t="s">
        <v>119</v>
      </c>
      <c r="C77" s="106" t="s">
        <v>52</v>
      </c>
      <c r="D77" s="116"/>
      <c r="E77" s="29">
        <v>3931</v>
      </c>
      <c r="F77" s="29">
        <f>SUM(E77*12)</f>
        <v>47172</v>
      </c>
      <c r="G77" s="29">
        <v>3.1</v>
      </c>
      <c r="H77" s="75">
        <f>SUM(F77*G77/1000)</f>
        <v>146.23320000000001</v>
      </c>
      <c r="I77" s="12">
        <f>F77/12*G77</f>
        <v>12186.1</v>
      </c>
    </row>
    <row r="78" spans="1:9" ht="36" customHeight="1">
      <c r="A78" s="24">
        <v>13</v>
      </c>
      <c r="B78" s="30" t="s">
        <v>73</v>
      </c>
      <c r="C78" s="106"/>
      <c r="D78" s="116"/>
      <c r="E78" s="87">
        <f>E77</f>
        <v>3931</v>
      </c>
      <c r="F78" s="29">
        <f>E78*12</f>
        <v>47172</v>
      </c>
      <c r="G78" s="29">
        <v>3.5</v>
      </c>
      <c r="H78" s="75">
        <f>F78*G78/1000</f>
        <v>165.102</v>
      </c>
      <c r="I78" s="12">
        <f>F78/12*G78</f>
        <v>13758.5</v>
      </c>
    </row>
    <row r="79" spans="1:9">
      <c r="A79" s="24"/>
      <c r="B79" s="31" t="s">
        <v>75</v>
      </c>
      <c r="C79" s="57"/>
      <c r="D79" s="56"/>
      <c r="E79" s="46"/>
      <c r="F79" s="46"/>
      <c r="G79" s="46"/>
      <c r="H79" s="58">
        <f>H78</f>
        <v>165.102</v>
      </c>
      <c r="I79" s="46">
        <f>I78+I77+I66+I55+I51+I50+I31+I29+I28+I25+I18+I17+I16</f>
        <v>85168.174299999984</v>
      </c>
    </row>
    <row r="80" spans="1:9">
      <c r="A80" s="191" t="s">
        <v>57</v>
      </c>
      <c r="B80" s="192"/>
      <c r="C80" s="192"/>
      <c r="D80" s="192"/>
      <c r="E80" s="192"/>
      <c r="F80" s="192"/>
      <c r="G80" s="192"/>
      <c r="H80" s="192"/>
      <c r="I80" s="193"/>
    </row>
    <row r="81" spans="1:9">
      <c r="A81" s="24">
        <v>14</v>
      </c>
      <c r="B81" s="77" t="s">
        <v>232</v>
      </c>
      <c r="C81" s="78" t="s">
        <v>233</v>
      </c>
      <c r="D81" s="30" t="s">
        <v>189</v>
      </c>
      <c r="E81" s="15"/>
      <c r="F81" s="29">
        <v>0.1</v>
      </c>
      <c r="G81" s="29">
        <v>667.05</v>
      </c>
      <c r="H81" s="54">
        <f>G81*F81/1000</f>
        <v>6.6705E-2</v>
      </c>
      <c r="I81" s="59">
        <f>G81*0.1</f>
        <v>66.704999999999998</v>
      </c>
    </row>
    <row r="82" spans="1:9" ht="30">
      <c r="A82" s="24">
        <v>15</v>
      </c>
      <c r="B82" s="77" t="s">
        <v>234</v>
      </c>
      <c r="C82" s="78" t="s">
        <v>231</v>
      </c>
      <c r="D82" s="30" t="s">
        <v>240</v>
      </c>
      <c r="E82" s="15"/>
      <c r="F82" s="29">
        <v>3</v>
      </c>
      <c r="G82" s="29">
        <v>670.51</v>
      </c>
      <c r="H82" s="54"/>
      <c r="I82" s="59">
        <f>G82*3</f>
        <v>2011.53</v>
      </c>
    </row>
    <row r="83" spans="1:9" ht="30">
      <c r="A83" s="24">
        <v>16</v>
      </c>
      <c r="B83" s="77" t="s">
        <v>197</v>
      </c>
      <c r="C83" s="78" t="s">
        <v>82</v>
      </c>
      <c r="D83" s="30" t="s">
        <v>239</v>
      </c>
      <c r="E83" s="15"/>
      <c r="F83" s="29">
        <v>3</v>
      </c>
      <c r="G83" s="29">
        <v>1133.92</v>
      </c>
      <c r="H83" s="54"/>
      <c r="I83" s="59">
        <f t="shared" ref="I83:I89" si="15">G83*1</f>
        <v>1133.92</v>
      </c>
    </row>
    <row r="84" spans="1:9">
      <c r="A84" s="24">
        <v>17</v>
      </c>
      <c r="B84" s="77" t="s">
        <v>172</v>
      </c>
      <c r="C84" s="78" t="s">
        <v>82</v>
      </c>
      <c r="D84" s="30"/>
      <c r="E84" s="15"/>
      <c r="F84" s="29">
        <v>4</v>
      </c>
      <c r="G84" s="29">
        <v>98</v>
      </c>
      <c r="H84" s="54"/>
      <c r="I84" s="59">
        <f t="shared" si="15"/>
        <v>98</v>
      </c>
    </row>
    <row r="85" spans="1:9">
      <c r="A85" s="24">
        <v>18</v>
      </c>
      <c r="B85" s="77" t="s">
        <v>235</v>
      </c>
      <c r="C85" s="78" t="s">
        <v>82</v>
      </c>
      <c r="D85" s="30"/>
      <c r="E85" s="15"/>
      <c r="F85" s="29">
        <v>1</v>
      </c>
      <c r="G85" s="29">
        <v>49</v>
      </c>
      <c r="H85" s="54"/>
      <c r="I85" s="59">
        <f t="shared" si="15"/>
        <v>49</v>
      </c>
    </row>
    <row r="86" spans="1:9">
      <c r="A86" s="24">
        <v>19</v>
      </c>
      <c r="B86" s="77" t="s">
        <v>170</v>
      </c>
      <c r="C86" s="78" t="s">
        <v>82</v>
      </c>
      <c r="D86" s="30"/>
      <c r="E86" s="15"/>
      <c r="F86" s="29">
        <v>5</v>
      </c>
      <c r="G86" s="29">
        <v>235</v>
      </c>
      <c r="H86" s="54"/>
      <c r="I86" s="59">
        <f t="shared" si="15"/>
        <v>235</v>
      </c>
    </row>
    <row r="87" spans="1:9">
      <c r="A87" s="24">
        <v>20</v>
      </c>
      <c r="B87" s="77" t="s">
        <v>173</v>
      </c>
      <c r="C87" s="78" t="s">
        <v>82</v>
      </c>
      <c r="D87" s="30"/>
      <c r="E87" s="15"/>
      <c r="F87" s="29">
        <v>2</v>
      </c>
      <c r="G87" s="29">
        <v>49</v>
      </c>
      <c r="H87" s="54"/>
      <c r="I87" s="59">
        <f t="shared" si="15"/>
        <v>49</v>
      </c>
    </row>
    <row r="88" spans="1:9">
      <c r="A88" s="24">
        <v>21</v>
      </c>
      <c r="B88" s="77" t="s">
        <v>166</v>
      </c>
      <c r="C88" s="161" t="s">
        <v>127</v>
      </c>
      <c r="D88" s="30" t="s">
        <v>237</v>
      </c>
      <c r="E88" s="15"/>
      <c r="F88" s="29">
        <v>2</v>
      </c>
      <c r="G88" s="29">
        <v>335.25</v>
      </c>
      <c r="H88" s="54"/>
      <c r="I88" s="59">
        <f t="shared" si="15"/>
        <v>335.25</v>
      </c>
    </row>
    <row r="89" spans="1:9" ht="30">
      <c r="A89" s="24">
        <v>22</v>
      </c>
      <c r="B89" s="77" t="s">
        <v>76</v>
      </c>
      <c r="C89" s="78" t="s">
        <v>82</v>
      </c>
      <c r="D89" s="30"/>
      <c r="E89" s="15"/>
      <c r="F89" s="29">
        <v>2</v>
      </c>
      <c r="G89" s="29">
        <v>215.85</v>
      </c>
      <c r="H89" s="54"/>
      <c r="I89" s="59">
        <f t="shared" si="15"/>
        <v>215.85</v>
      </c>
    </row>
    <row r="90" spans="1:9" ht="30">
      <c r="A90" s="24">
        <v>23</v>
      </c>
      <c r="B90" s="77" t="s">
        <v>236</v>
      </c>
      <c r="C90" s="78" t="s">
        <v>169</v>
      </c>
      <c r="D90" s="30" t="s">
        <v>238</v>
      </c>
      <c r="E90" s="15"/>
      <c r="F90" s="29">
        <v>4</v>
      </c>
      <c r="G90" s="29">
        <v>1446.64</v>
      </c>
      <c r="H90" s="54"/>
      <c r="I90" s="59">
        <f>G90*4</f>
        <v>5786.56</v>
      </c>
    </row>
    <row r="91" spans="1:9">
      <c r="A91" s="24">
        <v>24</v>
      </c>
      <c r="B91" s="77" t="s">
        <v>201</v>
      </c>
      <c r="C91" s="78" t="s">
        <v>202</v>
      </c>
      <c r="D91" s="30"/>
      <c r="E91" s="15"/>
      <c r="F91" s="29">
        <v>0.04</v>
      </c>
      <c r="G91" s="29">
        <v>27139.18</v>
      </c>
      <c r="H91" s="54"/>
      <c r="I91" s="59">
        <f>G91*0.02</f>
        <v>542.78359999999998</v>
      </c>
    </row>
    <row r="92" spans="1:9">
      <c r="A92" s="24">
        <v>25</v>
      </c>
      <c r="B92" s="77" t="s">
        <v>241</v>
      </c>
      <c r="C92" s="78" t="s">
        <v>169</v>
      </c>
      <c r="D92" s="30"/>
      <c r="E92" s="15"/>
      <c r="F92" s="29">
        <v>12</v>
      </c>
      <c r="G92" s="29">
        <v>284</v>
      </c>
      <c r="H92" s="54"/>
      <c r="I92" s="59">
        <f>G92*12</f>
        <v>3408</v>
      </c>
    </row>
    <row r="93" spans="1:9">
      <c r="A93" s="24">
        <v>26</v>
      </c>
      <c r="B93" s="77" t="s">
        <v>242</v>
      </c>
      <c r="C93" s="78" t="s">
        <v>161</v>
      </c>
      <c r="D93" s="30"/>
      <c r="E93" s="15"/>
      <c r="F93" s="29">
        <v>1</v>
      </c>
      <c r="G93" s="29">
        <v>227</v>
      </c>
      <c r="H93" s="54"/>
      <c r="I93" s="59">
        <f>G93*1</f>
        <v>227</v>
      </c>
    </row>
    <row r="94" spans="1:9" ht="30">
      <c r="A94" s="24">
        <v>27</v>
      </c>
      <c r="B94" s="77" t="s">
        <v>243</v>
      </c>
      <c r="C94" s="78" t="s">
        <v>244</v>
      </c>
      <c r="D94" s="30" t="s">
        <v>247</v>
      </c>
      <c r="E94" s="15"/>
      <c r="F94" s="29">
        <v>1</v>
      </c>
      <c r="G94" s="29">
        <v>754.11</v>
      </c>
      <c r="H94" s="54"/>
      <c r="I94" s="59">
        <f>G94*1</f>
        <v>754.11</v>
      </c>
    </row>
    <row r="95" spans="1:9">
      <c r="A95" s="24">
        <v>28</v>
      </c>
      <c r="B95" s="77" t="s">
        <v>245</v>
      </c>
      <c r="C95" s="78" t="s">
        <v>246</v>
      </c>
      <c r="D95" s="30"/>
      <c r="E95" s="15"/>
      <c r="F95" s="29">
        <v>25</v>
      </c>
      <c r="G95" s="29">
        <v>45</v>
      </c>
      <c r="H95" s="54"/>
      <c r="I95" s="59">
        <f>G95*25</f>
        <v>1125</v>
      </c>
    </row>
    <row r="96" spans="1:9">
      <c r="A96" s="173"/>
      <c r="B96" s="60" t="s">
        <v>49</v>
      </c>
      <c r="C96" s="32"/>
      <c r="D96" s="38"/>
      <c r="E96" s="32">
        <v>1</v>
      </c>
      <c r="F96" s="32"/>
      <c r="G96" s="32"/>
      <c r="H96" s="32"/>
      <c r="I96" s="27">
        <f>SUM(I81:I95)</f>
        <v>16037.708600000002</v>
      </c>
    </row>
    <row r="97" spans="1:9">
      <c r="A97" s="24"/>
      <c r="B97" s="37" t="s">
        <v>74</v>
      </c>
      <c r="C97" s="14"/>
      <c r="D97" s="14"/>
      <c r="E97" s="33"/>
      <c r="F97" s="33"/>
      <c r="G97" s="34"/>
      <c r="H97" s="34"/>
      <c r="I97" s="15">
        <v>0</v>
      </c>
    </row>
    <row r="98" spans="1:9">
      <c r="A98" s="39"/>
      <c r="B98" s="36" t="s">
        <v>138</v>
      </c>
      <c r="C98" s="28"/>
      <c r="D98" s="28"/>
      <c r="E98" s="28"/>
      <c r="F98" s="28"/>
      <c r="G98" s="28"/>
      <c r="H98" s="28"/>
      <c r="I98" s="35">
        <f>I79+I96</f>
        <v>101205.88289999998</v>
      </c>
    </row>
    <row r="99" spans="1:9" ht="15.75">
      <c r="A99" s="194" t="s">
        <v>248</v>
      </c>
      <c r="B99" s="194"/>
      <c r="C99" s="194"/>
      <c r="D99" s="194"/>
      <c r="E99" s="194"/>
      <c r="F99" s="194"/>
      <c r="G99" s="194"/>
      <c r="H99" s="194"/>
      <c r="I99" s="194"/>
    </row>
    <row r="100" spans="1:9" ht="15.75">
      <c r="A100" s="68"/>
      <c r="B100" s="195" t="s">
        <v>249</v>
      </c>
      <c r="C100" s="195"/>
      <c r="D100" s="195"/>
      <c r="E100" s="195"/>
      <c r="F100" s="195"/>
      <c r="G100" s="195"/>
      <c r="H100" s="43"/>
      <c r="I100" s="3"/>
    </row>
    <row r="101" spans="1:9">
      <c r="A101" s="168"/>
      <c r="B101" s="196" t="s">
        <v>6</v>
      </c>
      <c r="C101" s="196"/>
      <c r="D101" s="196"/>
      <c r="E101" s="196"/>
      <c r="F101" s="196"/>
      <c r="G101" s="196"/>
      <c r="H101" s="19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197" t="s">
        <v>7</v>
      </c>
      <c r="B103" s="197"/>
      <c r="C103" s="197"/>
      <c r="D103" s="197"/>
      <c r="E103" s="197"/>
      <c r="F103" s="197"/>
      <c r="G103" s="197"/>
      <c r="H103" s="197"/>
      <c r="I103" s="197"/>
    </row>
    <row r="104" spans="1:9" ht="15.75">
      <c r="A104" s="197" t="s">
        <v>8</v>
      </c>
      <c r="B104" s="197"/>
      <c r="C104" s="197"/>
      <c r="D104" s="197"/>
      <c r="E104" s="197"/>
      <c r="F104" s="197"/>
      <c r="G104" s="197"/>
      <c r="H104" s="197"/>
      <c r="I104" s="197"/>
    </row>
    <row r="105" spans="1:9" ht="15.75">
      <c r="A105" s="198" t="s">
        <v>58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>
      <c r="A106" s="10"/>
    </row>
    <row r="107" spans="1:9" ht="15.75">
      <c r="A107" s="199" t="s">
        <v>9</v>
      </c>
      <c r="B107" s="199"/>
      <c r="C107" s="199"/>
      <c r="D107" s="199"/>
      <c r="E107" s="199"/>
      <c r="F107" s="199"/>
      <c r="G107" s="199"/>
      <c r="H107" s="199"/>
      <c r="I107" s="199"/>
    </row>
    <row r="108" spans="1:9" ht="15.75">
      <c r="A108" s="4"/>
    </row>
    <row r="109" spans="1:9" ht="15.75">
      <c r="B109" s="170" t="s">
        <v>10</v>
      </c>
      <c r="C109" s="200" t="s">
        <v>79</v>
      </c>
      <c r="D109" s="200"/>
      <c r="E109" s="200"/>
      <c r="F109" s="41"/>
      <c r="I109" s="171"/>
    </row>
    <row r="110" spans="1:9">
      <c r="A110" s="168"/>
      <c r="C110" s="196" t="s">
        <v>11</v>
      </c>
      <c r="D110" s="196"/>
      <c r="E110" s="196"/>
      <c r="F110" s="19"/>
      <c r="I110" s="169" t="s">
        <v>12</v>
      </c>
    </row>
    <row r="111" spans="1:9" ht="15.75">
      <c r="A111" s="20"/>
      <c r="C111" s="11"/>
      <c r="D111" s="11"/>
      <c r="G111" s="11"/>
      <c r="H111" s="11"/>
    </row>
    <row r="112" spans="1:9" ht="15.75">
      <c r="B112" s="170" t="s">
        <v>13</v>
      </c>
      <c r="C112" s="201"/>
      <c r="D112" s="201"/>
      <c r="E112" s="201"/>
      <c r="F112" s="42"/>
      <c r="I112" s="171"/>
    </row>
    <row r="113" spans="1:9">
      <c r="A113" s="168"/>
      <c r="C113" s="190" t="s">
        <v>11</v>
      </c>
      <c r="D113" s="190"/>
      <c r="E113" s="190"/>
      <c r="F113" s="168"/>
      <c r="I113" s="169" t="s">
        <v>12</v>
      </c>
    </row>
    <row r="114" spans="1:9" ht="15.75">
      <c r="A114" s="4" t="s">
        <v>14</v>
      </c>
    </row>
    <row r="115" spans="1:9">
      <c r="A115" s="187" t="s">
        <v>15</v>
      </c>
      <c r="B115" s="187"/>
      <c r="C115" s="187"/>
      <c r="D115" s="187"/>
      <c r="E115" s="187"/>
      <c r="F115" s="187"/>
      <c r="G115" s="187"/>
      <c r="H115" s="187"/>
      <c r="I115" s="187"/>
    </row>
    <row r="116" spans="1:9" ht="43.5" customHeight="1">
      <c r="A116" s="188" t="s">
        <v>16</v>
      </c>
      <c r="B116" s="188"/>
      <c r="C116" s="188"/>
      <c r="D116" s="188"/>
      <c r="E116" s="188"/>
      <c r="F116" s="188"/>
      <c r="G116" s="188"/>
      <c r="H116" s="188"/>
      <c r="I116" s="188"/>
    </row>
    <row r="117" spans="1:9" ht="39" customHeight="1">
      <c r="A117" s="188" t="s">
        <v>17</v>
      </c>
      <c r="B117" s="188"/>
      <c r="C117" s="188"/>
      <c r="D117" s="188"/>
      <c r="E117" s="188"/>
      <c r="F117" s="188"/>
      <c r="G117" s="188"/>
      <c r="H117" s="188"/>
      <c r="I117" s="188"/>
    </row>
    <row r="118" spans="1:9" ht="32.25" customHeight="1">
      <c r="A118" s="188" t="s">
        <v>21</v>
      </c>
      <c r="B118" s="188"/>
      <c r="C118" s="188"/>
      <c r="D118" s="188"/>
      <c r="E118" s="188"/>
      <c r="F118" s="188"/>
      <c r="G118" s="188"/>
      <c r="H118" s="188"/>
      <c r="I118" s="188"/>
    </row>
    <row r="119" spans="1:9" ht="15.75">
      <c r="A119" s="188" t="s">
        <v>20</v>
      </c>
      <c r="B119" s="188"/>
      <c r="C119" s="188"/>
      <c r="D119" s="188"/>
      <c r="E119" s="188"/>
      <c r="F119" s="188"/>
      <c r="G119" s="188"/>
      <c r="H119" s="188"/>
      <c r="I119" s="188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6:I26"/>
    <mergeCell ref="A41:I41"/>
    <mergeCell ref="A52:I52"/>
    <mergeCell ref="A76:I76"/>
    <mergeCell ref="A80:I8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I102" sqref="I102"/>
    </sheetView>
  </sheetViews>
  <sheetFormatPr defaultRowHeight="15"/>
  <cols>
    <col min="1" max="1" width="11.140625" customWidth="1"/>
    <col min="2" max="2" width="46" customWidth="1"/>
    <col min="3" max="3" width="16.7109375" customWidth="1"/>
    <col min="4" max="4" width="19" customWidth="1"/>
    <col min="5" max="6" width="0" hidden="1" customWidth="1"/>
    <col min="7" max="7" width="17.28515625" customWidth="1"/>
    <col min="8" max="8" width="0" hidden="1" customWidth="1"/>
    <col min="9" max="9" width="16.140625" customWidth="1"/>
  </cols>
  <sheetData>
    <row r="1" spans="1:9" ht="15.75">
      <c r="A1" s="22" t="s">
        <v>159</v>
      </c>
      <c r="I1" s="21"/>
    </row>
    <row r="2" spans="1:9" ht="15.75">
      <c r="A2" s="23" t="s">
        <v>59</v>
      </c>
    </row>
    <row r="3" spans="1:9" ht="15.75">
      <c r="A3" s="205" t="s">
        <v>165</v>
      </c>
      <c r="B3" s="205"/>
      <c r="C3" s="205"/>
      <c r="D3" s="205"/>
      <c r="E3" s="205"/>
      <c r="F3" s="205"/>
      <c r="G3" s="205"/>
      <c r="H3" s="205"/>
      <c r="I3" s="205"/>
    </row>
    <row r="4" spans="1:9" ht="32.25" customHeight="1">
      <c r="A4" s="206" t="s">
        <v>120</v>
      </c>
      <c r="B4" s="206"/>
      <c r="C4" s="206"/>
      <c r="D4" s="206"/>
      <c r="E4" s="206"/>
      <c r="F4" s="206"/>
      <c r="G4" s="206"/>
      <c r="H4" s="206"/>
      <c r="I4" s="206"/>
    </row>
    <row r="5" spans="1:9" ht="15.75">
      <c r="A5" s="205" t="s">
        <v>250</v>
      </c>
      <c r="B5" s="207"/>
      <c r="C5" s="207"/>
      <c r="D5" s="207"/>
      <c r="E5" s="207"/>
      <c r="F5" s="207"/>
      <c r="G5" s="207"/>
      <c r="H5" s="207"/>
      <c r="I5" s="207"/>
    </row>
    <row r="6" spans="1:9" ht="15.75">
      <c r="A6" s="2"/>
      <c r="B6" s="178"/>
      <c r="C6" s="178"/>
      <c r="D6" s="178"/>
      <c r="E6" s="178"/>
      <c r="F6" s="178"/>
      <c r="G6" s="178"/>
      <c r="H6" s="178"/>
      <c r="I6" s="25">
        <v>44104</v>
      </c>
    </row>
    <row r="7" spans="1:9" ht="15.75">
      <c r="B7" s="176"/>
      <c r="C7" s="176"/>
      <c r="D7" s="176"/>
      <c r="E7" s="3"/>
      <c r="F7" s="3"/>
      <c r="G7" s="3"/>
      <c r="H7" s="3"/>
    </row>
    <row r="8" spans="1:9" ht="96.75" customHeight="1">
      <c r="A8" s="208" t="s">
        <v>162</v>
      </c>
      <c r="B8" s="208"/>
      <c r="C8" s="208"/>
      <c r="D8" s="208"/>
      <c r="E8" s="208"/>
      <c r="F8" s="208"/>
      <c r="G8" s="208"/>
      <c r="H8" s="208"/>
      <c r="I8" s="208"/>
    </row>
    <row r="9" spans="1:9" ht="15.75">
      <c r="A9" s="4"/>
    </row>
    <row r="10" spans="1:9" ht="67.5" customHeight="1">
      <c r="A10" s="209" t="s">
        <v>153</v>
      </c>
      <c r="B10" s="209"/>
      <c r="C10" s="209"/>
      <c r="D10" s="209"/>
      <c r="E10" s="209"/>
      <c r="F10" s="209"/>
      <c r="G10" s="209"/>
      <c r="H10" s="209"/>
      <c r="I10" s="209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1" t="s">
        <v>4</v>
      </c>
      <c r="B15" s="211"/>
      <c r="C15" s="211"/>
      <c r="D15" s="211"/>
      <c r="E15" s="211"/>
      <c r="F15" s="211"/>
      <c r="G15" s="211"/>
      <c r="H15" s="211"/>
      <c r="I15" s="211"/>
    </row>
    <row r="16" spans="1:9" ht="17.25" customHeight="1">
      <c r="A16" s="24">
        <v>1</v>
      </c>
      <c r="B16" s="85" t="s">
        <v>78</v>
      </c>
      <c r="C16" s="86" t="s">
        <v>86</v>
      </c>
      <c r="D16" s="85" t="s">
        <v>175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29.25" customHeight="1">
      <c r="A17" s="24">
        <v>2</v>
      </c>
      <c r="B17" s="85" t="s">
        <v>84</v>
      </c>
      <c r="C17" s="86" t="s">
        <v>86</v>
      </c>
      <c r="D17" s="85" t="s">
        <v>176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85</v>
      </c>
      <c r="C18" s="86" t="s">
        <v>86</v>
      </c>
      <c r="D18" s="85" t="s">
        <v>177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87</v>
      </c>
      <c r="C19" s="86" t="s">
        <v>88</v>
      </c>
      <c r="D19" s="85" t="s">
        <v>89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t="16.5" customHeight="1">
      <c r="A20" s="24">
        <v>4</v>
      </c>
      <c r="B20" s="85" t="s">
        <v>90</v>
      </c>
      <c r="C20" s="86" t="s">
        <v>86</v>
      </c>
      <c r="D20" s="85" t="s">
        <v>182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t="14.25" customHeight="1">
      <c r="A21" s="24">
        <v>5</v>
      </c>
      <c r="B21" s="85" t="s">
        <v>91</v>
      </c>
      <c r="C21" s="86" t="s">
        <v>86</v>
      </c>
      <c r="D21" s="85" t="s">
        <v>182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92</v>
      </c>
      <c r="C22" s="86" t="s">
        <v>50</v>
      </c>
      <c r="D22" s="85" t="s">
        <v>89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93</v>
      </c>
      <c r="C23" s="86" t="s">
        <v>50</v>
      </c>
      <c r="D23" s="85" t="s">
        <v>89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t="16.5" hidden="1" customHeight="1">
      <c r="A24" s="24">
        <v>9</v>
      </c>
      <c r="B24" s="85" t="s">
        <v>94</v>
      </c>
      <c r="C24" s="86" t="s">
        <v>50</v>
      </c>
      <c r="D24" s="85" t="s">
        <v>89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9.5" customHeight="1">
      <c r="A25" s="24">
        <v>6</v>
      </c>
      <c r="B25" s="85" t="s">
        <v>174</v>
      </c>
      <c r="C25" s="86" t="s">
        <v>25</v>
      </c>
      <c r="D25" s="85" t="s">
        <v>178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2" t="s">
        <v>148</v>
      </c>
      <c r="B26" s="213"/>
      <c r="C26" s="213"/>
      <c r="D26" s="213"/>
      <c r="E26" s="213"/>
      <c r="F26" s="213"/>
      <c r="G26" s="213"/>
      <c r="H26" s="213"/>
      <c r="I26" s="214"/>
    </row>
    <row r="27" spans="1:9" ht="16.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7</v>
      </c>
      <c r="B28" s="85" t="s">
        <v>95</v>
      </c>
      <c r="C28" s="86" t="s">
        <v>96</v>
      </c>
      <c r="D28" s="85" t="s">
        <v>176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6.5" customHeight="1">
      <c r="A29" s="24">
        <v>8</v>
      </c>
      <c r="B29" s="85" t="s">
        <v>129</v>
      </c>
      <c r="C29" s="86" t="s">
        <v>96</v>
      </c>
      <c r="D29" s="85" t="s">
        <v>176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96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6.5" customHeight="1">
      <c r="A31" s="24">
        <v>9</v>
      </c>
      <c r="B31" s="85" t="s">
        <v>98</v>
      </c>
      <c r="C31" s="86" t="s">
        <v>38</v>
      </c>
      <c r="D31" s="85" t="s">
        <v>176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125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141</v>
      </c>
      <c r="C36" s="95" t="s">
        <v>29</v>
      </c>
      <c r="D36" s="85" t="s">
        <v>100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101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77</v>
      </c>
      <c r="C38" s="86" t="s">
        <v>96</v>
      </c>
      <c r="D38" s="85" t="s">
        <v>100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103</v>
      </c>
      <c r="C39" s="86" t="s">
        <v>96</v>
      </c>
      <c r="D39" s="85" t="s">
        <v>102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>
      <c r="A41" s="212" t="s">
        <v>130</v>
      </c>
      <c r="B41" s="213"/>
      <c r="C41" s="213"/>
      <c r="D41" s="213"/>
      <c r="E41" s="213"/>
      <c r="F41" s="213"/>
      <c r="G41" s="213"/>
      <c r="H41" s="213"/>
      <c r="I41" s="214"/>
    </row>
    <row r="42" spans="1:9" ht="15.75" customHeight="1">
      <c r="A42" s="24">
        <v>10</v>
      </c>
      <c r="B42" s="85" t="s">
        <v>104</v>
      </c>
      <c r="C42" s="86" t="s">
        <v>96</v>
      </c>
      <c r="D42" s="85" t="s">
        <v>182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t="18" customHeight="1">
      <c r="A43" s="24">
        <v>11</v>
      </c>
      <c r="B43" s="85" t="s">
        <v>33</v>
      </c>
      <c r="C43" s="86" t="s">
        <v>96</v>
      </c>
      <c r="D43" s="85" t="s">
        <v>182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t="15" customHeight="1">
      <c r="A44" s="24">
        <v>12</v>
      </c>
      <c r="B44" s="85" t="s">
        <v>34</v>
      </c>
      <c r="C44" s="86" t="s">
        <v>96</v>
      </c>
      <c r="D44" s="85" t="s">
        <v>182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t="15.75" customHeight="1">
      <c r="A45" s="24">
        <v>13</v>
      </c>
      <c r="B45" s="85" t="s">
        <v>35</v>
      </c>
      <c r="C45" s="86" t="s">
        <v>96</v>
      </c>
      <c r="D45" s="85" t="s">
        <v>182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t="19.5" customHeight="1">
      <c r="A46" s="24">
        <v>14</v>
      </c>
      <c r="B46" s="85" t="s">
        <v>53</v>
      </c>
      <c r="C46" s="86" t="s">
        <v>96</v>
      </c>
      <c r="D46" s="85" t="s">
        <v>182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>
      <c r="A47" s="24">
        <v>15</v>
      </c>
      <c r="B47" s="85" t="s">
        <v>105</v>
      </c>
      <c r="C47" s="86" t="s">
        <v>96</v>
      </c>
      <c r="D47" s="85" t="s">
        <v>182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>
      <c r="A48" s="24">
        <v>16</v>
      </c>
      <c r="B48" s="85" t="s">
        <v>106</v>
      </c>
      <c r="C48" s="86" t="s">
        <v>36</v>
      </c>
      <c r="D48" s="85" t="s">
        <v>182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>
      <c r="A49" s="24">
        <v>17</v>
      </c>
      <c r="B49" s="85" t="s">
        <v>37</v>
      </c>
      <c r="C49" s="86" t="s">
        <v>38</v>
      </c>
      <c r="D49" s="85" t="s">
        <v>182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 ht="14.25" hidden="1" customHeight="1">
      <c r="A50" s="24">
        <v>17</v>
      </c>
      <c r="B50" s="85" t="s">
        <v>107</v>
      </c>
      <c r="C50" s="86" t="s">
        <v>82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 ht="16.5" hidden="1" customHeight="1">
      <c r="A51" s="24">
        <v>18</v>
      </c>
      <c r="B51" s="85" t="s">
        <v>39</v>
      </c>
      <c r="C51" s="86" t="s">
        <v>82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212" t="s">
        <v>131</v>
      </c>
      <c r="B52" s="213"/>
      <c r="C52" s="213"/>
      <c r="D52" s="213"/>
      <c r="E52" s="213"/>
      <c r="F52" s="213"/>
      <c r="G52" s="213"/>
      <c r="H52" s="213"/>
      <c r="I52" s="214"/>
    </row>
    <row r="53" spans="1:9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121</v>
      </c>
      <c r="C54" s="86" t="s">
        <v>86</v>
      </c>
      <c r="D54" s="150" t="s">
        <v>155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80</v>
      </c>
      <c r="C55" s="86" t="s">
        <v>86</v>
      </c>
      <c r="D55" s="85" t="s">
        <v>81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</row>
    <row r="56" spans="1:9" hidden="1">
      <c r="A56" s="24">
        <v>20</v>
      </c>
      <c r="B56" s="98" t="s">
        <v>109</v>
      </c>
      <c r="C56" s="99" t="s">
        <v>110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111</v>
      </c>
      <c r="C57" s="86" t="s">
        <v>86</v>
      </c>
      <c r="D57" s="85" t="s">
        <v>108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</row>
    <row r="58" spans="1:9" ht="19.5" customHeight="1">
      <c r="A58" s="24">
        <v>18</v>
      </c>
      <c r="B58" s="98" t="s">
        <v>128</v>
      </c>
      <c r="C58" s="99" t="s">
        <v>31</v>
      </c>
      <c r="D58" s="98" t="s">
        <v>251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G58*2</f>
        <v>3164.1</v>
      </c>
    </row>
    <row r="59" spans="1:9" ht="16.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126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.75" customHeight="1">
      <c r="A61" s="24">
        <v>19</v>
      </c>
      <c r="B61" s="47" t="s">
        <v>83</v>
      </c>
      <c r="C61" s="48" t="s">
        <v>25</v>
      </c>
      <c r="D61" s="47" t="s">
        <v>182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5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125</v>
      </c>
      <c r="I62" s="12"/>
    </row>
    <row r="63" spans="1:9" ht="18.75" customHeight="1">
      <c r="A63" s="24">
        <v>20</v>
      </c>
      <c r="B63" s="105" t="s">
        <v>44</v>
      </c>
      <c r="C63" s="106" t="s">
        <v>82</v>
      </c>
      <c r="D63" s="30" t="s">
        <v>181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G63*4</f>
        <v>1166.72</v>
      </c>
    </row>
    <row r="64" spans="1:9" ht="17.25" hidden="1" customHeight="1">
      <c r="A64" s="61"/>
      <c r="B64" s="105" t="s">
        <v>45</v>
      </c>
      <c r="C64" s="106" t="s">
        <v>82</v>
      </c>
      <c r="D64" s="30" t="s">
        <v>149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9" ht="14.25" hidden="1" customHeight="1">
      <c r="A65" s="24">
        <v>26</v>
      </c>
      <c r="B65" s="105" t="s">
        <v>46</v>
      </c>
      <c r="C65" s="107" t="s">
        <v>112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f t="shared" ref="I65:I70" si="12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113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f t="shared" si="12"/>
        <v>3108.7079600000002</v>
      </c>
    </row>
    <row r="67" spans="1:9" ht="19.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f t="shared" si="12"/>
        <v>61057.893600000003</v>
      </c>
    </row>
    <row r="68" spans="1:9" ht="17.25" hidden="1" customHeight="1">
      <c r="A68" s="24">
        <v>29</v>
      </c>
      <c r="B68" s="108" t="s">
        <v>114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f t="shared" si="12"/>
        <v>545.40800000000002</v>
      </c>
    </row>
    <row r="69" spans="1:9" ht="16.5" hidden="1" customHeight="1">
      <c r="A69" s="24">
        <v>30</v>
      </c>
      <c r="B69" s="108" t="s">
        <v>115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f t="shared" si="12"/>
        <v>589.31200000000001</v>
      </c>
    </row>
    <row r="70" spans="1:9" ht="18" customHeight="1">
      <c r="A70" s="24">
        <v>21</v>
      </c>
      <c r="B70" s="30" t="s">
        <v>54</v>
      </c>
      <c r="C70" s="106" t="s">
        <v>55</v>
      </c>
      <c r="D70" s="30" t="s">
        <v>183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f t="shared" si="12"/>
        <v>392.52</v>
      </c>
    </row>
    <row r="71" spans="1:9" ht="16.5" customHeight="1">
      <c r="A71" s="24"/>
      <c r="B71" s="121" t="s">
        <v>142</v>
      </c>
      <c r="C71" s="106"/>
      <c r="D71" s="30"/>
      <c r="E71" s="15"/>
      <c r="F71" s="104"/>
      <c r="G71" s="29"/>
      <c r="H71" s="75"/>
      <c r="I71" s="12"/>
    </row>
    <row r="72" spans="1:9" ht="36" customHeight="1">
      <c r="A72" s="24">
        <v>22</v>
      </c>
      <c r="B72" s="30" t="s">
        <v>143</v>
      </c>
      <c r="C72" s="109" t="s">
        <v>144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3">SUM(F72*G72/1000)</f>
        <v>87.03215999999999</v>
      </c>
      <c r="I72" s="12">
        <f>F72/12*G72</f>
        <v>7252.6799999999994</v>
      </c>
    </row>
    <row r="73" spans="1:9" ht="17.2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125</v>
      </c>
      <c r="I73" s="12"/>
    </row>
    <row r="74" spans="1:9" hidden="1">
      <c r="A74" s="24">
        <v>20</v>
      </c>
      <c r="B74" s="30" t="s">
        <v>145</v>
      </c>
      <c r="C74" s="106" t="s">
        <v>30</v>
      </c>
      <c r="D74" s="30" t="s">
        <v>63</v>
      </c>
      <c r="E74" s="15">
        <v>1</v>
      </c>
      <c r="F74" s="88">
        <f t="shared" ref="F74" si="14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146</v>
      </c>
      <c r="C75" s="106" t="s">
        <v>147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5">SUM(F75*G75/1000)</f>
        <v>0.73499999999999999</v>
      </c>
      <c r="I75" s="12">
        <f>G75*2</f>
        <v>1470</v>
      </c>
    </row>
    <row r="76" spans="1:9" hidden="1">
      <c r="A76" s="24">
        <v>12</v>
      </c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5"/>
        <v>0.5262960000000001</v>
      </c>
      <c r="I76" s="12">
        <f>G76*0.3</f>
        <v>197.36099999999999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5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125</v>
      </c>
      <c r="H78" s="75" t="s">
        <v>125</v>
      </c>
      <c r="I78" s="12" t="str">
        <f>G78</f>
        <v xml:space="preserve"> </v>
      </c>
    </row>
    <row r="79" spans="1:9" hidden="1">
      <c r="A79" s="24">
        <v>22</v>
      </c>
      <c r="B79" s="110" t="s">
        <v>118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f>G79*0.03</f>
        <v>108.5727</v>
      </c>
    </row>
    <row r="80" spans="1:9" ht="28.5" hidden="1">
      <c r="A80" s="24"/>
      <c r="B80" s="179" t="s">
        <v>116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117</v>
      </c>
      <c r="C81" s="136"/>
      <c r="D81" s="137"/>
      <c r="E81" s="114"/>
      <c r="F81" s="138">
        <v>1</v>
      </c>
      <c r="G81" s="138">
        <v>30235</v>
      </c>
      <c r="H81" s="139">
        <f>G81*F81/1000</f>
        <v>30.234999999999999</v>
      </c>
      <c r="I81" s="59">
        <f>G81</f>
        <v>30235</v>
      </c>
    </row>
    <row r="82" spans="1:9">
      <c r="A82" s="202" t="s">
        <v>132</v>
      </c>
      <c r="B82" s="203"/>
      <c r="C82" s="203"/>
      <c r="D82" s="203"/>
      <c r="E82" s="203"/>
      <c r="F82" s="203"/>
      <c r="G82" s="203"/>
      <c r="H82" s="203"/>
      <c r="I82" s="204"/>
    </row>
    <row r="83" spans="1:9" ht="16.5" customHeight="1">
      <c r="A83" s="61">
        <v>23</v>
      </c>
      <c r="B83" s="85" t="s">
        <v>119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ht="35.25" customHeight="1">
      <c r="A84" s="24">
        <v>24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>
      <c r="A85" s="24"/>
      <c r="B85" s="31" t="s">
        <v>75</v>
      </c>
      <c r="C85" s="57"/>
      <c r="D85" s="56"/>
      <c r="E85" s="46"/>
      <c r="F85" s="46"/>
      <c r="G85" s="46"/>
      <c r="H85" s="58">
        <f>H84</f>
        <v>165.102</v>
      </c>
      <c r="I85" s="46">
        <f>I84+I83+I72+I70+I63+I61+I58+I49+I48+I47+I46+I45+I44+I43+I42+I31+I29+I28+I25+I21+I20+I18+I17+I16</f>
        <v>81774.009072600005</v>
      </c>
    </row>
    <row r="86" spans="1:9">
      <c r="A86" s="191" t="s">
        <v>57</v>
      </c>
      <c r="B86" s="192"/>
      <c r="C86" s="192"/>
      <c r="D86" s="192"/>
      <c r="E86" s="192"/>
      <c r="F86" s="192"/>
      <c r="G86" s="192"/>
      <c r="H86" s="192"/>
      <c r="I86" s="193"/>
    </row>
    <row r="87" spans="1:9" ht="45">
      <c r="A87" s="24">
        <v>25</v>
      </c>
      <c r="B87" s="77" t="s">
        <v>234</v>
      </c>
      <c r="C87" s="78" t="s">
        <v>231</v>
      </c>
      <c r="D87" s="30" t="s">
        <v>264</v>
      </c>
      <c r="E87" s="15"/>
      <c r="F87" s="29">
        <v>6</v>
      </c>
      <c r="G87" s="29">
        <v>670.51</v>
      </c>
      <c r="H87" s="54">
        <f>G87*F87/1000</f>
        <v>4.0230600000000001</v>
      </c>
      <c r="I87" s="59">
        <f>G87*3</f>
        <v>2011.53</v>
      </c>
    </row>
    <row r="88" spans="1:9" ht="30">
      <c r="A88" s="24">
        <v>26</v>
      </c>
      <c r="B88" s="77" t="s">
        <v>168</v>
      </c>
      <c r="C88" s="78" t="s">
        <v>36</v>
      </c>
      <c r="D88" s="30"/>
      <c r="E88" s="15"/>
      <c r="F88" s="29">
        <v>0.05</v>
      </c>
      <c r="G88" s="29">
        <v>4070.89</v>
      </c>
      <c r="H88" s="54"/>
      <c r="I88" s="59">
        <f>G88*0.01</f>
        <v>40.7089</v>
      </c>
    </row>
    <row r="89" spans="1:9" ht="45">
      <c r="A89" s="24">
        <v>27</v>
      </c>
      <c r="B89" s="77" t="s">
        <v>122</v>
      </c>
      <c r="C89" s="78" t="s">
        <v>123</v>
      </c>
      <c r="D89" s="30" t="s">
        <v>263</v>
      </c>
      <c r="E89" s="15"/>
      <c r="F89" s="29">
        <v>2</v>
      </c>
      <c r="G89" s="29">
        <v>61.58</v>
      </c>
      <c r="H89" s="54"/>
      <c r="I89" s="59">
        <f>G89*1</f>
        <v>61.58</v>
      </c>
    </row>
    <row r="90" spans="1:9">
      <c r="A90" s="24">
        <v>28</v>
      </c>
      <c r="B90" s="77" t="s">
        <v>252</v>
      </c>
      <c r="C90" s="161" t="s">
        <v>127</v>
      </c>
      <c r="D90" s="30" t="s">
        <v>190</v>
      </c>
      <c r="E90" s="15"/>
      <c r="F90" s="29">
        <v>1</v>
      </c>
      <c r="G90" s="29">
        <v>569.25</v>
      </c>
      <c r="H90" s="54"/>
      <c r="I90" s="59">
        <f>G90*1</f>
        <v>569.25</v>
      </c>
    </row>
    <row r="91" spans="1:9">
      <c r="A91" s="24">
        <v>29</v>
      </c>
      <c r="B91" s="77" t="s">
        <v>253</v>
      </c>
      <c r="C91" s="78" t="s">
        <v>231</v>
      </c>
      <c r="D91" s="30"/>
      <c r="E91" s="15"/>
      <c r="F91" s="29">
        <v>2</v>
      </c>
      <c r="G91" s="29">
        <v>331.57</v>
      </c>
      <c r="H91" s="54"/>
      <c r="I91" s="59">
        <f>G91*2</f>
        <v>663.14</v>
      </c>
    </row>
    <row r="92" spans="1:9">
      <c r="A92" s="24">
        <v>30</v>
      </c>
      <c r="B92" s="77" t="s">
        <v>188</v>
      </c>
      <c r="C92" s="78" t="s">
        <v>82</v>
      </c>
      <c r="D92" s="30" t="s">
        <v>262</v>
      </c>
      <c r="E92" s="15"/>
      <c r="F92" s="29">
        <v>1</v>
      </c>
      <c r="G92" s="29">
        <v>534.51</v>
      </c>
      <c r="H92" s="54"/>
      <c r="I92" s="59">
        <f>G92*2</f>
        <v>1069.02</v>
      </c>
    </row>
    <row r="93" spans="1:9">
      <c r="A93" s="24">
        <v>31</v>
      </c>
      <c r="B93" s="77" t="s">
        <v>254</v>
      </c>
      <c r="C93" s="78" t="s">
        <v>255</v>
      </c>
      <c r="D93" s="30" t="s">
        <v>259</v>
      </c>
      <c r="E93" s="15"/>
      <c r="F93" s="29">
        <v>3</v>
      </c>
      <c r="G93" s="29">
        <v>3498.52</v>
      </c>
      <c r="H93" s="54"/>
      <c r="I93" s="59">
        <f>G93*3</f>
        <v>10495.56</v>
      </c>
    </row>
    <row r="94" spans="1:9">
      <c r="A94" s="24">
        <v>32</v>
      </c>
      <c r="B94" s="77" t="s">
        <v>256</v>
      </c>
      <c r="C94" s="78" t="s">
        <v>82</v>
      </c>
      <c r="D94" s="30" t="s">
        <v>260</v>
      </c>
      <c r="E94" s="15"/>
      <c r="F94" s="29">
        <v>3</v>
      </c>
      <c r="G94" s="29">
        <v>837</v>
      </c>
      <c r="H94" s="54"/>
      <c r="I94" s="59">
        <f>G94*3</f>
        <v>2511</v>
      </c>
    </row>
    <row r="95" spans="1:9">
      <c r="A95" s="24">
        <v>33</v>
      </c>
      <c r="B95" s="77" t="s">
        <v>257</v>
      </c>
      <c r="C95" s="78" t="s">
        <v>82</v>
      </c>
      <c r="D95" s="30" t="s">
        <v>261</v>
      </c>
      <c r="E95" s="15"/>
      <c r="F95" s="29">
        <v>1</v>
      </c>
      <c r="G95" s="29">
        <v>890</v>
      </c>
      <c r="H95" s="54"/>
      <c r="I95" s="59">
        <f>G95*1</f>
        <v>890</v>
      </c>
    </row>
    <row r="96" spans="1:9">
      <c r="A96" s="24">
        <v>34</v>
      </c>
      <c r="B96" s="77" t="s">
        <v>258</v>
      </c>
      <c r="C96" s="78" t="s">
        <v>82</v>
      </c>
      <c r="D96" s="30" t="s">
        <v>261</v>
      </c>
      <c r="E96" s="15"/>
      <c r="F96" s="29">
        <v>1</v>
      </c>
      <c r="G96" s="29">
        <v>1100</v>
      </c>
      <c r="H96" s="54"/>
      <c r="I96" s="59">
        <f>G96*1</f>
        <v>1100</v>
      </c>
    </row>
    <row r="97" spans="1:9">
      <c r="A97" s="24">
        <v>35</v>
      </c>
      <c r="B97" s="77" t="s">
        <v>201</v>
      </c>
      <c r="C97" s="78" t="s">
        <v>202</v>
      </c>
      <c r="D97" s="30"/>
      <c r="E97" s="15"/>
      <c r="F97" s="29">
        <v>0.05</v>
      </c>
      <c r="G97" s="29">
        <v>27139.18</v>
      </c>
      <c r="H97" s="54"/>
      <c r="I97" s="59">
        <f>G97*0.01</f>
        <v>271.39179999999999</v>
      </c>
    </row>
    <row r="98" spans="1:9" ht="15.75" customHeight="1">
      <c r="A98" s="179"/>
      <c r="B98" s="60" t="s">
        <v>49</v>
      </c>
      <c r="C98" s="32"/>
      <c r="D98" s="38"/>
      <c r="E98" s="32">
        <v>1</v>
      </c>
      <c r="F98" s="32"/>
      <c r="G98" s="32"/>
      <c r="H98" s="32"/>
      <c r="I98" s="27">
        <f>SUM(I87:I97)</f>
        <v>19683.180700000001</v>
      </c>
    </row>
    <row r="99" spans="1:9">
      <c r="A99" s="24"/>
      <c r="B99" s="37" t="s">
        <v>74</v>
      </c>
      <c r="C99" s="14"/>
      <c r="D99" s="14"/>
      <c r="E99" s="33"/>
      <c r="F99" s="33"/>
      <c r="G99" s="34"/>
      <c r="H99" s="34"/>
      <c r="I99" s="15">
        <v>0</v>
      </c>
    </row>
    <row r="100" spans="1:9">
      <c r="A100" s="39"/>
      <c r="B100" s="36" t="s">
        <v>138</v>
      </c>
      <c r="C100" s="28"/>
      <c r="D100" s="28"/>
      <c r="E100" s="28"/>
      <c r="F100" s="28"/>
      <c r="G100" s="28"/>
      <c r="H100" s="28"/>
      <c r="I100" s="35">
        <f>I85+I98</f>
        <v>101457.1897726</v>
      </c>
    </row>
    <row r="101" spans="1:9" ht="15.75">
      <c r="A101" s="194" t="s">
        <v>265</v>
      </c>
      <c r="B101" s="194"/>
      <c r="C101" s="194"/>
      <c r="D101" s="194"/>
      <c r="E101" s="194"/>
      <c r="F101" s="194"/>
      <c r="G101" s="194"/>
      <c r="H101" s="194"/>
      <c r="I101" s="194"/>
    </row>
    <row r="102" spans="1:9" ht="15.75">
      <c r="A102" s="68"/>
      <c r="B102" s="195" t="s">
        <v>266</v>
      </c>
      <c r="C102" s="195"/>
      <c r="D102" s="195"/>
      <c r="E102" s="195"/>
      <c r="F102" s="195"/>
      <c r="G102" s="195"/>
      <c r="H102" s="43"/>
      <c r="I102" s="3"/>
    </row>
    <row r="103" spans="1:9">
      <c r="A103" s="174"/>
      <c r="B103" s="196" t="s">
        <v>6</v>
      </c>
      <c r="C103" s="196"/>
      <c r="D103" s="196"/>
      <c r="E103" s="196"/>
      <c r="F103" s="196"/>
      <c r="G103" s="196"/>
      <c r="H103" s="19"/>
      <c r="I103" s="5"/>
    </row>
    <row r="104" spans="1:9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>
      <c r="A105" s="197" t="s">
        <v>7</v>
      </c>
      <c r="B105" s="197"/>
      <c r="C105" s="197"/>
      <c r="D105" s="197"/>
      <c r="E105" s="197"/>
      <c r="F105" s="197"/>
      <c r="G105" s="197"/>
      <c r="H105" s="197"/>
      <c r="I105" s="197"/>
    </row>
    <row r="106" spans="1:9" ht="15.75">
      <c r="A106" s="197" t="s">
        <v>8</v>
      </c>
      <c r="B106" s="197"/>
      <c r="C106" s="197"/>
      <c r="D106" s="197"/>
      <c r="E106" s="197"/>
      <c r="F106" s="197"/>
      <c r="G106" s="197"/>
      <c r="H106" s="197"/>
      <c r="I106" s="197"/>
    </row>
    <row r="107" spans="1:9" ht="15.75">
      <c r="A107" s="198" t="s">
        <v>58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0"/>
    </row>
    <row r="109" spans="1:9" ht="15.75">
      <c r="A109" s="199" t="s">
        <v>9</v>
      </c>
      <c r="B109" s="199"/>
      <c r="C109" s="199"/>
      <c r="D109" s="199"/>
      <c r="E109" s="199"/>
      <c r="F109" s="199"/>
      <c r="G109" s="199"/>
      <c r="H109" s="199"/>
      <c r="I109" s="199"/>
    </row>
    <row r="110" spans="1:9" ht="15.75">
      <c r="A110" s="4"/>
    </row>
    <row r="111" spans="1:9" ht="15.75">
      <c r="B111" s="176" t="s">
        <v>10</v>
      </c>
      <c r="C111" s="200" t="s">
        <v>79</v>
      </c>
      <c r="D111" s="200"/>
      <c r="E111" s="200"/>
      <c r="F111" s="41"/>
      <c r="I111" s="177"/>
    </row>
    <row r="112" spans="1:9">
      <c r="A112" s="174"/>
      <c r="C112" s="196" t="s">
        <v>11</v>
      </c>
      <c r="D112" s="196"/>
      <c r="E112" s="196"/>
      <c r="F112" s="19"/>
      <c r="I112" s="175" t="s">
        <v>12</v>
      </c>
    </row>
    <row r="113" spans="1:9" ht="15.75">
      <c r="A113" s="20"/>
      <c r="C113" s="11"/>
      <c r="D113" s="11"/>
      <c r="G113" s="11"/>
      <c r="H113" s="11"/>
    </row>
    <row r="114" spans="1:9" ht="15.75">
      <c r="B114" s="176" t="s">
        <v>13</v>
      </c>
      <c r="C114" s="201"/>
      <c r="D114" s="201"/>
      <c r="E114" s="201"/>
      <c r="F114" s="42"/>
      <c r="I114" s="177"/>
    </row>
    <row r="115" spans="1:9">
      <c r="A115" s="174"/>
      <c r="C115" s="190" t="s">
        <v>11</v>
      </c>
      <c r="D115" s="190"/>
      <c r="E115" s="190"/>
      <c r="F115" s="174"/>
      <c r="I115" s="175" t="s">
        <v>12</v>
      </c>
    </row>
    <row r="116" spans="1:9" ht="15.75">
      <c r="A116" s="4" t="s">
        <v>14</v>
      </c>
    </row>
    <row r="117" spans="1:9">
      <c r="A117" s="187" t="s">
        <v>15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42" customHeight="1">
      <c r="A118" s="188" t="s">
        <v>16</v>
      </c>
      <c r="B118" s="188"/>
      <c r="C118" s="188"/>
      <c r="D118" s="188"/>
      <c r="E118" s="188"/>
      <c r="F118" s="188"/>
      <c r="G118" s="188"/>
      <c r="H118" s="188"/>
      <c r="I118" s="188"/>
    </row>
    <row r="119" spans="1:9" ht="40.5" customHeight="1">
      <c r="A119" s="188" t="s">
        <v>17</v>
      </c>
      <c r="B119" s="188"/>
      <c r="C119" s="188"/>
      <c r="D119" s="188"/>
      <c r="E119" s="188"/>
      <c r="F119" s="188"/>
      <c r="G119" s="188"/>
      <c r="H119" s="188"/>
      <c r="I119" s="188"/>
    </row>
    <row r="120" spans="1:9" ht="42" customHeight="1">
      <c r="A120" s="188" t="s">
        <v>21</v>
      </c>
      <c r="B120" s="188"/>
      <c r="C120" s="188"/>
      <c r="D120" s="188"/>
      <c r="E120" s="188"/>
      <c r="F120" s="188"/>
      <c r="G120" s="188"/>
      <c r="H120" s="188"/>
      <c r="I120" s="188"/>
    </row>
    <row r="121" spans="1:9" ht="15.75">
      <c r="A121" s="188" t="s">
        <v>20</v>
      </c>
      <c r="B121" s="188"/>
      <c r="C121" s="188"/>
      <c r="D121" s="188"/>
      <c r="E121" s="188"/>
      <c r="F121" s="188"/>
      <c r="G121" s="188"/>
      <c r="H121" s="188"/>
      <c r="I121" s="188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6:I26"/>
    <mergeCell ref="A41:I41"/>
    <mergeCell ref="A52:I52"/>
    <mergeCell ref="A82:I82"/>
    <mergeCell ref="A86:I86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2021-02-16T08:03:24Z</cp:lastPrinted>
  <dcterms:created xsi:type="dcterms:W3CDTF">2016-03-25T08:33:47Z</dcterms:created>
  <dcterms:modified xsi:type="dcterms:W3CDTF">2021-02-16T08:04:59Z</dcterms:modified>
</cp:coreProperties>
</file>