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20" windowWidth="15480" windowHeight="8010"/>
  </bookViews>
  <sheets>
    <sheet name="01.18" sheetId="37" r:id="rId1"/>
    <sheet name="02.18" sheetId="38" r:id="rId2"/>
    <sheet name="03.18" sheetId="27" r:id="rId3"/>
    <sheet name="04.18" sheetId="28" r:id="rId4"/>
    <sheet name="05.18" sheetId="29" r:id="rId5"/>
    <sheet name="06.18" sheetId="30" r:id="rId6"/>
    <sheet name="07.18" sheetId="31" r:id="rId7"/>
    <sheet name="08.18" sheetId="32" r:id="rId8"/>
    <sheet name="09.18" sheetId="33" r:id="rId9"/>
    <sheet name="10.18" sheetId="34" r:id="rId10"/>
    <sheet name="11.18" sheetId="35" r:id="rId11"/>
    <sheet name="12.18" sheetId="36" r:id="rId12"/>
  </sheets>
  <definedNames>
    <definedName name="_xlnm._FilterDatabase" localSheetId="0" hidden="1">'01.18'!$I$15:$I$94</definedName>
    <definedName name="_xlnm._FilterDatabase" localSheetId="1" hidden="1">'02.18'!$I$15:$I$103</definedName>
    <definedName name="_xlnm._FilterDatabase" localSheetId="2" hidden="1">'03.18'!$I$15:$I$96</definedName>
    <definedName name="_xlnm._FilterDatabase" localSheetId="3" hidden="1">'04.18'!$I$15:$I$97</definedName>
    <definedName name="_xlnm._FilterDatabase" localSheetId="4" hidden="1">'05.18'!$I$15:$I$93</definedName>
    <definedName name="_xlnm._FilterDatabase" localSheetId="5" hidden="1">'06.18'!$I$15:$I$99</definedName>
    <definedName name="_xlnm._FilterDatabase" localSheetId="6" hidden="1">'07.18'!$I$15:$I$92</definedName>
    <definedName name="_xlnm._FilterDatabase" localSheetId="7" hidden="1">'08.18'!$I$15:$I$100</definedName>
    <definedName name="_xlnm._FilterDatabase" localSheetId="8" hidden="1">'09.18'!$I$15:$I$108</definedName>
    <definedName name="_xlnm._FilterDatabase" localSheetId="9" hidden="1">'10.18'!$I$15:$I$96</definedName>
    <definedName name="_xlnm._FilterDatabase" localSheetId="10" hidden="1">'11.18'!$I$15:$I$101</definedName>
    <definedName name="_xlnm._FilterDatabase" localSheetId="11" hidden="1">'12.18'!$I$15:$I$98</definedName>
    <definedName name="_xlnm.Print_Area" localSheetId="0">'01.18'!$A$1:$I$111</definedName>
    <definedName name="_xlnm.Print_Area" localSheetId="1">'02.18'!$A$1:$I$120</definedName>
    <definedName name="_xlnm.Print_Area" localSheetId="2">'03.18'!$A$1:$I$113</definedName>
    <definedName name="_xlnm.Print_Area" localSheetId="3">'04.18'!$A$1:$I$114</definedName>
    <definedName name="_xlnm.Print_Area" localSheetId="4">'05.18'!$A$1:$I$110</definedName>
    <definedName name="_xlnm.Print_Area" localSheetId="5">'06.18'!$A$1:$I$116</definedName>
    <definedName name="_xlnm.Print_Area" localSheetId="6">'07.18'!$A$1:$I$109</definedName>
    <definedName name="_xlnm.Print_Area" localSheetId="7">'08.18'!$A$1:$I$117</definedName>
    <definedName name="_xlnm.Print_Area" localSheetId="8">'09.18'!$A$1:$I$125</definedName>
    <definedName name="_xlnm.Print_Area" localSheetId="9">'10.18'!$A$1:$I$113</definedName>
    <definedName name="_xlnm.Print_Area" localSheetId="10">'11.18'!$A$1:$I$118</definedName>
    <definedName name="_xlnm.Print_Area" localSheetId="11">'12.18'!$A$1:$I$115</definedName>
  </definedNames>
  <calcPr calcId="124519"/>
</workbook>
</file>

<file path=xl/calcChain.xml><?xml version="1.0" encoding="utf-8"?>
<calcChain xmlns="http://schemas.openxmlformats.org/spreadsheetml/2006/main">
  <c r="I84" i="37"/>
  <c r="I87"/>
  <c r="I86"/>
  <c r="F27"/>
  <c r="H27" s="1"/>
  <c r="I27" l="1"/>
  <c r="I43" i="36" l="1"/>
  <c r="I42"/>
  <c r="I92"/>
  <c r="I91"/>
  <c r="I90"/>
  <c r="I89"/>
  <c r="I88"/>
  <c r="I87"/>
  <c r="I86"/>
  <c r="I88" i="37" l="1"/>
  <c r="I94" i="35"/>
  <c r="I95" s="1"/>
  <c r="I97" l="1"/>
  <c r="I93" l="1"/>
  <c r="F71"/>
  <c r="I92"/>
  <c r="I91"/>
  <c r="I90"/>
  <c r="I89"/>
  <c r="I88"/>
  <c r="I87"/>
  <c r="I86"/>
  <c r="I43"/>
  <c r="I42"/>
  <c r="I84" i="34"/>
  <c r="I90"/>
  <c r="I89"/>
  <c r="I75"/>
  <c r="I78"/>
  <c r="I88"/>
  <c r="I87"/>
  <c r="I86"/>
  <c r="I102" i="33" l="1"/>
  <c r="I101"/>
  <c r="I100"/>
  <c r="I99"/>
  <c r="I98"/>
  <c r="I90"/>
  <c r="I97" l="1"/>
  <c r="I84"/>
  <c r="I76"/>
  <c r="I75"/>
  <c r="I94"/>
  <c r="I93"/>
  <c r="I92"/>
  <c r="I91"/>
  <c r="I89"/>
  <c r="I88"/>
  <c r="I87"/>
  <c r="I86"/>
  <c r="I94" i="32"/>
  <c r="I93"/>
  <c r="I84"/>
  <c r="I92"/>
  <c r="I91"/>
  <c r="I90"/>
  <c r="I89"/>
  <c r="I88"/>
  <c r="I87"/>
  <c r="I86"/>
  <c r="I85" i="28" l="1"/>
  <c r="I84" i="27"/>
  <c r="I57" i="38"/>
  <c r="I89" i="28" l="1"/>
  <c r="I93" i="30"/>
  <c r="I92"/>
  <c r="I91"/>
  <c r="I90"/>
  <c r="I89"/>
  <c r="I88"/>
  <c r="I87"/>
  <c r="I86"/>
  <c r="I87" i="27"/>
  <c r="I90" s="1"/>
  <c r="I88"/>
  <c r="I84" i="29" l="1"/>
  <c r="I86" l="1"/>
  <c r="I61"/>
  <c r="I87" i="28"/>
  <c r="I90"/>
  <c r="I91"/>
  <c r="I88"/>
  <c r="I61"/>
  <c r="I43"/>
  <c r="F61" i="27" l="1"/>
  <c r="H61" s="1"/>
  <c r="H89"/>
  <c r="I86"/>
  <c r="H87"/>
  <c r="H86"/>
  <c r="I43" l="1"/>
  <c r="I91" i="38"/>
  <c r="H91"/>
  <c r="I97"/>
  <c r="I43"/>
  <c r="I42"/>
  <c r="I43" i="37"/>
  <c r="I96" i="38" l="1"/>
  <c r="I95"/>
  <c r="I94"/>
  <c r="I93"/>
  <c r="I92"/>
  <c r="I90"/>
  <c r="I89"/>
  <c r="I88"/>
  <c r="I87"/>
  <c r="I86"/>
  <c r="H96"/>
  <c r="F95"/>
  <c r="H95" s="1"/>
  <c r="F94"/>
  <c r="H94" s="1"/>
  <c r="H93"/>
  <c r="H92"/>
  <c r="H90"/>
  <c r="H89"/>
  <c r="H88"/>
  <c r="H87"/>
  <c r="H86"/>
  <c r="I78"/>
  <c r="I75"/>
  <c r="I58"/>
  <c r="F83"/>
  <c r="H83" s="1"/>
  <c r="H84" s="1"/>
  <c r="H82"/>
  <c r="F82"/>
  <c r="I82" s="1"/>
  <c r="I80"/>
  <c r="H80"/>
  <c r="H78"/>
  <c r="F76"/>
  <c r="H76" s="1"/>
  <c r="H75"/>
  <c r="F75"/>
  <c r="H74"/>
  <c r="F74"/>
  <c r="H73"/>
  <c r="F73"/>
  <c r="F71"/>
  <c r="H71" s="1"/>
  <c r="F70"/>
  <c r="H70" s="1"/>
  <c r="F69"/>
  <c r="H69" s="1"/>
  <c r="E69"/>
  <c r="H68"/>
  <c r="F68"/>
  <c r="H67"/>
  <c r="F67"/>
  <c r="H66"/>
  <c r="F66"/>
  <c r="H65"/>
  <c r="F65"/>
  <c r="H64"/>
  <c r="F64"/>
  <c r="H63"/>
  <c r="F63"/>
  <c r="F61"/>
  <c r="H61" s="1"/>
  <c r="F60"/>
  <c r="H60" s="1"/>
  <c r="H58"/>
  <c r="F57"/>
  <c r="I54"/>
  <c r="F54"/>
  <c r="H54" s="1"/>
  <c r="I53"/>
  <c r="H53"/>
  <c r="F53"/>
  <c r="I52"/>
  <c r="H52"/>
  <c r="F51"/>
  <c r="H51" s="1"/>
  <c r="E50"/>
  <c r="F50" s="1"/>
  <c r="H49"/>
  <c r="F49"/>
  <c r="I49" s="1"/>
  <c r="F48"/>
  <c r="H48" s="1"/>
  <c r="H47"/>
  <c r="F47"/>
  <c r="I47" s="1"/>
  <c r="F46"/>
  <c r="H46" s="1"/>
  <c r="H45"/>
  <c r="F45"/>
  <c r="I45" s="1"/>
  <c r="H43"/>
  <c r="F42"/>
  <c r="H42" s="1"/>
  <c r="H41"/>
  <c r="F41"/>
  <c r="I41" s="1"/>
  <c r="F40"/>
  <c r="H40" s="1"/>
  <c r="I39"/>
  <c r="H39"/>
  <c r="H38"/>
  <c r="F38"/>
  <c r="I38" s="1"/>
  <c r="I37"/>
  <c r="H37"/>
  <c r="H35"/>
  <c r="H34"/>
  <c r="H33"/>
  <c r="F33"/>
  <c r="E33"/>
  <c r="F32"/>
  <c r="H32" s="1"/>
  <c r="F31"/>
  <c r="H31" s="1"/>
  <c r="F30"/>
  <c r="H30" s="1"/>
  <c r="H27"/>
  <c r="F27"/>
  <c r="I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H87" i="37"/>
  <c r="H86"/>
  <c r="F61"/>
  <c r="H61" s="1"/>
  <c r="H57" i="38" l="1"/>
  <c r="H79" s="1"/>
  <c r="I50"/>
  <c r="H50"/>
  <c r="I18"/>
  <c r="H18"/>
  <c r="I16"/>
  <c r="I26"/>
  <c r="I40"/>
  <c r="I84" s="1"/>
  <c r="I46"/>
  <c r="I48"/>
  <c r="I51"/>
  <c r="I61"/>
  <c r="I71"/>
  <c r="I83"/>
  <c r="I99" l="1"/>
  <c r="F83" i="37" l="1"/>
  <c r="I83" s="1"/>
  <c r="F82"/>
  <c r="H82" s="1"/>
  <c r="I80"/>
  <c r="H80"/>
  <c r="H78"/>
  <c r="F76"/>
  <c r="H76" s="1"/>
  <c r="F75"/>
  <c r="H75" s="1"/>
  <c r="F74"/>
  <c r="H74" s="1"/>
  <c r="F73"/>
  <c r="H73" s="1"/>
  <c r="F71"/>
  <c r="I71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I39"/>
  <c r="H39"/>
  <c r="F38"/>
  <c r="H38" s="1"/>
  <c r="I37"/>
  <c r="H37"/>
  <c r="H35"/>
  <c r="H34"/>
  <c r="F33"/>
  <c r="H33" s="1"/>
  <c r="E33"/>
  <c r="F32"/>
  <c r="H32" s="1"/>
  <c r="F31"/>
  <c r="H31" s="1"/>
  <c r="F30"/>
  <c r="H30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86" i="36"/>
  <c r="F83"/>
  <c r="H83" s="1"/>
  <c r="H84" s="1"/>
  <c r="F82"/>
  <c r="I82" s="1"/>
  <c r="I80"/>
  <c r="H80"/>
  <c r="H78"/>
  <c r="F76"/>
  <c r="H76" s="1"/>
  <c r="I75"/>
  <c r="F75"/>
  <c r="H75" s="1"/>
  <c r="H74"/>
  <c r="F74"/>
  <c r="H73"/>
  <c r="F73"/>
  <c r="F71"/>
  <c r="I71" s="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7" i="35"/>
  <c r="H86"/>
  <c r="I75"/>
  <c r="F83"/>
  <c r="I83" s="1"/>
  <c r="F82"/>
  <c r="H82" s="1"/>
  <c r="I80"/>
  <c r="H80"/>
  <c r="H78"/>
  <c r="F76"/>
  <c r="H76" s="1"/>
  <c r="F75"/>
  <c r="H75" s="1"/>
  <c r="F74"/>
  <c r="H74" s="1"/>
  <c r="F73"/>
  <c r="H73" s="1"/>
  <c r="I71"/>
  <c r="F70"/>
  <c r="I70" s="1"/>
  <c r="E69"/>
  <c r="F69" s="1"/>
  <c r="I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8" i="34"/>
  <c r="H87"/>
  <c r="F86"/>
  <c r="H86" s="1"/>
  <c r="H91" i="33"/>
  <c r="H89"/>
  <c r="H16" i="37" l="1"/>
  <c r="H50"/>
  <c r="I50"/>
  <c r="H42"/>
  <c r="H48"/>
  <c r="H71"/>
  <c r="H83"/>
  <c r="H84" s="1"/>
  <c r="H26"/>
  <c r="H40"/>
  <c r="H46"/>
  <c r="H51"/>
  <c r="H79"/>
  <c r="I17"/>
  <c r="I18"/>
  <c r="I38"/>
  <c r="I41"/>
  <c r="I45"/>
  <c r="I47"/>
  <c r="I49"/>
  <c r="I57"/>
  <c r="I82"/>
  <c r="H70" i="36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H45"/>
  <c r="I46"/>
  <c r="H47"/>
  <c r="I48"/>
  <c r="H49"/>
  <c r="I51"/>
  <c r="H57"/>
  <c r="I61"/>
  <c r="I84" s="1"/>
  <c r="I65"/>
  <c r="H66"/>
  <c r="I67"/>
  <c r="H68"/>
  <c r="H69"/>
  <c r="H71"/>
  <c r="H82"/>
  <c r="I83"/>
  <c r="H70" i="35"/>
  <c r="H57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H45"/>
  <c r="I46"/>
  <c r="H47"/>
  <c r="I48"/>
  <c r="H49"/>
  <c r="I51"/>
  <c r="I61"/>
  <c r="I84" s="1"/>
  <c r="I65"/>
  <c r="H66"/>
  <c r="I67"/>
  <c r="H68"/>
  <c r="H69"/>
  <c r="H71"/>
  <c r="I82"/>
  <c r="H83"/>
  <c r="H84" s="1"/>
  <c r="I90" i="37" l="1"/>
  <c r="I94" i="36"/>
  <c r="H79"/>
  <c r="H79" i="35"/>
  <c r="F83" i="34" l="1"/>
  <c r="I83" s="1"/>
  <c r="F82"/>
  <c r="H82" s="1"/>
  <c r="I80"/>
  <c r="H80"/>
  <c r="H78"/>
  <c r="F76"/>
  <c r="H76" s="1"/>
  <c r="F75"/>
  <c r="H75" s="1"/>
  <c r="F74"/>
  <c r="H74" s="1"/>
  <c r="F73"/>
  <c r="H73" s="1"/>
  <c r="F71"/>
  <c r="I71" s="1"/>
  <c r="F70"/>
  <c r="H70" s="1"/>
  <c r="E69"/>
  <c r="F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90" i="33"/>
  <c r="H88"/>
  <c r="H87"/>
  <c r="H86"/>
  <c r="I70"/>
  <c r="F83"/>
  <c r="H83" s="1"/>
  <c r="H84" s="1"/>
  <c r="F82"/>
  <c r="I82" s="1"/>
  <c r="I80"/>
  <c r="H80"/>
  <c r="H78"/>
  <c r="F76"/>
  <c r="H76" s="1"/>
  <c r="F75"/>
  <c r="H75" s="1"/>
  <c r="F74"/>
  <c r="H74" s="1"/>
  <c r="F73"/>
  <c r="H73" s="1"/>
  <c r="F71"/>
  <c r="H71" s="1"/>
  <c r="F70"/>
  <c r="H70" s="1"/>
  <c r="E69"/>
  <c r="F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6" i="32"/>
  <c r="F83"/>
  <c r="H83" s="1"/>
  <c r="H84" s="1"/>
  <c r="F82"/>
  <c r="I82" s="1"/>
  <c r="I80"/>
  <c r="H80"/>
  <c r="H78"/>
  <c r="F76"/>
  <c r="H76" s="1"/>
  <c r="F75"/>
  <c r="H75" s="1"/>
  <c r="F74"/>
  <c r="H74" s="1"/>
  <c r="F73"/>
  <c r="H73" s="1"/>
  <c r="F71"/>
  <c r="H71" s="1"/>
  <c r="F70"/>
  <c r="H70" s="1"/>
  <c r="E69"/>
  <c r="F69" s="1"/>
  <c r="F68"/>
  <c r="I68" s="1"/>
  <c r="F67"/>
  <c r="H67" s="1"/>
  <c r="F66"/>
  <c r="I66" s="1"/>
  <c r="F65"/>
  <c r="H65" s="1"/>
  <c r="F64"/>
  <c r="H64" s="1"/>
  <c r="I63"/>
  <c r="F63"/>
  <c r="H63" s="1"/>
  <c r="H6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F33"/>
  <c r="H33" s="1"/>
  <c r="E33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H16" s="1"/>
  <c r="F83" i="31"/>
  <c r="I83" s="1"/>
  <c r="F82"/>
  <c r="H82" s="1"/>
  <c r="I80"/>
  <c r="H80"/>
  <c r="H78"/>
  <c r="F76"/>
  <c r="H76" s="1"/>
  <c r="F75"/>
  <c r="H75" s="1"/>
  <c r="H74"/>
  <c r="F74"/>
  <c r="H73"/>
  <c r="F73"/>
  <c r="F71"/>
  <c r="I71" s="1"/>
  <c r="F70"/>
  <c r="H70" s="1"/>
  <c r="E69"/>
  <c r="F69" s="1"/>
  <c r="F68"/>
  <c r="H68" s="1"/>
  <c r="F67"/>
  <c r="I67" s="1"/>
  <c r="F66"/>
  <c r="H66" s="1"/>
  <c r="F65"/>
  <c r="I65" s="1"/>
  <c r="F64"/>
  <c r="H64" s="1"/>
  <c r="I63"/>
  <c r="F63"/>
  <c r="H63" s="1"/>
  <c r="I61"/>
  <c r="F60"/>
  <c r="H60" s="1"/>
  <c r="I58"/>
  <c r="H58"/>
  <c r="F57"/>
  <c r="H57" s="1"/>
  <c r="I54"/>
  <c r="H54"/>
  <c r="F54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91" i="30"/>
  <c r="F86"/>
  <c r="H86" s="1"/>
  <c r="F83"/>
  <c r="I83" s="1"/>
  <c r="H82"/>
  <c r="F82"/>
  <c r="I82" s="1"/>
  <c r="I80"/>
  <c r="H80"/>
  <c r="H78"/>
  <c r="F76"/>
  <c r="H76" s="1"/>
  <c r="F75"/>
  <c r="H75" s="1"/>
  <c r="F74"/>
  <c r="H74" s="1"/>
  <c r="F73"/>
  <c r="H73" s="1"/>
  <c r="F71"/>
  <c r="I71" s="1"/>
  <c r="F70"/>
  <c r="H70" s="1"/>
  <c r="E69"/>
  <c r="F69" s="1"/>
  <c r="F68"/>
  <c r="I68" s="1"/>
  <c r="F67"/>
  <c r="I67" s="1"/>
  <c r="F66"/>
  <c r="I66" s="1"/>
  <c r="F65"/>
  <c r="I65" s="1"/>
  <c r="F64"/>
  <c r="H64" s="1"/>
  <c r="I63"/>
  <c r="F63"/>
  <c r="H63" s="1"/>
  <c r="I61"/>
  <c r="F60"/>
  <c r="H60" s="1"/>
  <c r="I58"/>
  <c r="H58"/>
  <c r="F57"/>
  <c r="I57" s="1"/>
  <c r="I54"/>
  <c r="F54"/>
  <c r="H54" s="1"/>
  <c r="I53"/>
  <c r="H53"/>
  <c r="F53"/>
  <c r="I52"/>
  <c r="H52"/>
  <c r="F51"/>
  <c r="I51" s="1"/>
  <c r="E50"/>
  <c r="F50" s="1"/>
  <c r="H49"/>
  <c r="F49"/>
  <c r="I49" s="1"/>
  <c r="F48"/>
  <c r="I48" s="1"/>
  <c r="F47"/>
  <c r="I47" s="1"/>
  <c r="F46"/>
  <c r="I46" s="1"/>
  <c r="F45"/>
  <c r="I45" s="1"/>
  <c r="I43"/>
  <c r="H43"/>
  <c r="F42"/>
  <c r="I42" s="1"/>
  <c r="F41"/>
  <c r="I41" s="1"/>
  <c r="F40"/>
  <c r="I40" s="1"/>
  <c r="I39"/>
  <c r="H39"/>
  <c r="H38"/>
  <c r="F38"/>
  <c r="I38" s="1"/>
  <c r="I37"/>
  <c r="H37"/>
  <c r="H35"/>
  <c r="H34"/>
  <c r="F33"/>
  <c r="I33" s="1"/>
  <c r="E33"/>
  <c r="F32"/>
  <c r="I32" s="1"/>
  <c r="F31"/>
  <c r="I31" s="1"/>
  <c r="F30"/>
  <c r="I30" s="1"/>
  <c r="H27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I84" s="1"/>
  <c r="F86" i="29"/>
  <c r="H86" s="1"/>
  <c r="H17" i="32" l="1"/>
  <c r="H38"/>
  <c r="I87" i="29"/>
  <c r="I69" i="34"/>
  <c r="H69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1"/>
  <c r="H57"/>
  <c r="I61"/>
  <c r="I65"/>
  <c r="H66"/>
  <c r="I67"/>
  <c r="H68"/>
  <c r="I70"/>
  <c r="H71"/>
  <c r="I82"/>
  <c r="H83"/>
  <c r="H84" s="1"/>
  <c r="H66" i="33"/>
  <c r="H68"/>
  <c r="I69"/>
  <c r="H69"/>
  <c r="H18"/>
  <c r="I18"/>
  <c r="I50"/>
  <c r="H50"/>
  <c r="H16"/>
  <c r="I17"/>
  <c r="H19"/>
  <c r="I20"/>
  <c r="H21"/>
  <c r="I22"/>
  <c r="H23"/>
  <c r="I24"/>
  <c r="H25"/>
  <c r="I26"/>
  <c r="H27"/>
  <c r="I30"/>
  <c r="H31"/>
  <c r="I32"/>
  <c r="I33"/>
  <c r="H38"/>
  <c r="I40"/>
  <c r="H41"/>
  <c r="I42"/>
  <c r="H45"/>
  <c r="I46"/>
  <c r="H47"/>
  <c r="I48"/>
  <c r="H49"/>
  <c r="I51"/>
  <c r="H57"/>
  <c r="H79" s="1"/>
  <c r="I61"/>
  <c r="I65"/>
  <c r="I67"/>
  <c r="I71"/>
  <c r="H82"/>
  <c r="I83"/>
  <c r="I50" i="32"/>
  <c r="H50"/>
  <c r="I69"/>
  <c r="H69"/>
  <c r="H18"/>
  <c r="I18"/>
  <c r="I16"/>
  <c r="H19"/>
  <c r="I20"/>
  <c r="H21"/>
  <c r="I22"/>
  <c r="H23"/>
  <c r="I24"/>
  <c r="H25"/>
  <c r="I26"/>
  <c r="H27"/>
  <c r="I30"/>
  <c r="H31"/>
  <c r="I32"/>
  <c r="I33"/>
  <c r="I40"/>
  <c r="H41"/>
  <c r="I42"/>
  <c r="H45"/>
  <c r="I46"/>
  <c r="H47"/>
  <c r="I48"/>
  <c r="H49"/>
  <c r="I51"/>
  <c r="H57"/>
  <c r="I61"/>
  <c r="I65"/>
  <c r="H66"/>
  <c r="I67"/>
  <c r="H68"/>
  <c r="I71"/>
  <c r="H82"/>
  <c r="I83"/>
  <c r="H33" i="31"/>
  <c r="H50"/>
  <c r="I50"/>
  <c r="I18"/>
  <c r="H18"/>
  <c r="H69"/>
  <c r="I69"/>
  <c r="I16"/>
  <c r="H17"/>
  <c r="I19"/>
  <c r="H20"/>
  <c r="I21"/>
  <c r="H22"/>
  <c r="I23"/>
  <c r="H24"/>
  <c r="I25"/>
  <c r="H26"/>
  <c r="I27"/>
  <c r="H30"/>
  <c r="I31"/>
  <c r="H32"/>
  <c r="I38"/>
  <c r="H40"/>
  <c r="I41"/>
  <c r="H42"/>
  <c r="I45"/>
  <c r="H46"/>
  <c r="I47"/>
  <c r="H48"/>
  <c r="I49"/>
  <c r="H51"/>
  <c r="I57"/>
  <c r="H61"/>
  <c r="H65"/>
  <c r="I66"/>
  <c r="H67"/>
  <c r="I68"/>
  <c r="H71"/>
  <c r="I82"/>
  <c r="H83"/>
  <c r="H84" s="1"/>
  <c r="H16" i="30"/>
  <c r="H23"/>
  <c r="H31"/>
  <c r="H41"/>
  <c r="H66"/>
  <c r="H19"/>
  <c r="H45"/>
  <c r="H57"/>
  <c r="H68"/>
  <c r="H47"/>
  <c r="H21"/>
  <c r="H25"/>
  <c r="H50"/>
  <c r="I50"/>
  <c r="H69"/>
  <c r="I69"/>
  <c r="I95" s="1"/>
  <c r="H17"/>
  <c r="H18"/>
  <c r="H20"/>
  <c r="H22"/>
  <c r="H24"/>
  <c r="H26"/>
  <c r="H30"/>
  <c r="H32"/>
  <c r="H33"/>
  <c r="H40"/>
  <c r="H42"/>
  <c r="H46"/>
  <c r="H48"/>
  <c r="H51"/>
  <c r="H61"/>
  <c r="H65"/>
  <c r="H67"/>
  <c r="H71"/>
  <c r="H83"/>
  <c r="H84" s="1"/>
  <c r="I104" i="33" l="1"/>
  <c r="I92" i="34"/>
  <c r="H79"/>
  <c r="I96" i="32"/>
  <c r="H79"/>
  <c r="H79" i="31"/>
  <c r="I84"/>
  <c r="I88" s="1"/>
  <c r="H79" i="30"/>
  <c r="F83" i="29" l="1"/>
  <c r="H83" s="1"/>
  <c r="H84" s="1"/>
  <c r="F82"/>
  <c r="I82" s="1"/>
  <c r="I80"/>
  <c r="H80"/>
  <c r="H78"/>
  <c r="F76"/>
  <c r="H76" s="1"/>
  <c r="F75"/>
  <c r="H75" s="1"/>
  <c r="F74"/>
  <c r="H74" s="1"/>
  <c r="H73"/>
  <c r="F73"/>
  <c r="F71"/>
  <c r="H71" s="1"/>
  <c r="F70"/>
  <c r="H70" s="1"/>
  <c r="F69"/>
  <c r="E69"/>
  <c r="H68"/>
  <c r="F68"/>
  <c r="I68" s="1"/>
  <c r="H67"/>
  <c r="F67"/>
  <c r="I67" s="1"/>
  <c r="H66"/>
  <c r="F66"/>
  <c r="I66" s="1"/>
  <c r="H65"/>
  <c r="F65"/>
  <c r="I65" s="1"/>
  <c r="H64"/>
  <c r="F64"/>
  <c r="I63"/>
  <c r="F63"/>
  <c r="H63" s="1"/>
  <c r="F6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I39"/>
  <c r="H39"/>
  <c r="F38"/>
  <c r="H38" s="1"/>
  <c r="I37"/>
  <c r="H37"/>
  <c r="H35"/>
  <c r="H34"/>
  <c r="F33"/>
  <c r="E33"/>
  <c r="F32"/>
  <c r="I32" s="1"/>
  <c r="F31"/>
  <c r="I31" s="1"/>
  <c r="F30"/>
  <c r="I30" s="1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H18" s="1"/>
  <c r="F17"/>
  <c r="H17" s="1"/>
  <c r="F16"/>
  <c r="I16" s="1"/>
  <c r="I63" i="28"/>
  <c r="F84"/>
  <c r="I84" s="1"/>
  <c r="F83"/>
  <c r="H83" s="1"/>
  <c r="I81"/>
  <c r="H81"/>
  <c r="H79"/>
  <c r="F77"/>
  <c r="H77" s="1"/>
  <c r="F76"/>
  <c r="H76" s="1"/>
  <c r="F75"/>
  <c r="H75" s="1"/>
  <c r="F74"/>
  <c r="H74" s="1"/>
  <c r="F72"/>
  <c r="I72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1"/>
  <c r="F60"/>
  <c r="H60" s="1"/>
  <c r="I58"/>
  <c r="H58"/>
  <c r="F57"/>
  <c r="I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I39"/>
  <c r="H39"/>
  <c r="F38"/>
  <c r="I38" s="1"/>
  <c r="I37"/>
  <c r="H37"/>
  <c r="H35"/>
  <c r="H34"/>
  <c r="F33"/>
  <c r="H33" s="1"/>
  <c r="E33"/>
  <c r="F32"/>
  <c r="H32" s="1"/>
  <c r="F31"/>
  <c r="H31" s="1"/>
  <c r="F30"/>
  <c r="H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9" i="27"/>
  <c r="F83"/>
  <c r="H83" s="1"/>
  <c r="F82"/>
  <c r="H82" s="1"/>
  <c r="I80"/>
  <c r="H80"/>
  <c r="H78"/>
  <c r="F76"/>
  <c r="H76" s="1"/>
  <c r="F75"/>
  <c r="H75" s="1"/>
  <c r="F74"/>
  <c r="H74" s="1"/>
  <c r="F73"/>
  <c r="H73" s="1"/>
  <c r="F71"/>
  <c r="H71" s="1"/>
  <c r="F70"/>
  <c r="H70" s="1"/>
  <c r="E69"/>
  <c r="F69" s="1"/>
  <c r="H69" s="1"/>
  <c r="F68"/>
  <c r="H68" s="1"/>
  <c r="F67"/>
  <c r="H67" s="1"/>
  <c r="F66"/>
  <c r="H66" s="1"/>
  <c r="F65"/>
  <c r="H65" s="1"/>
  <c r="F64"/>
  <c r="H64" s="1"/>
  <c r="F63"/>
  <c r="H63" s="1"/>
  <c r="F60"/>
  <c r="H60" s="1"/>
  <c r="I58"/>
  <c r="H58"/>
  <c r="F57"/>
  <c r="H57" s="1"/>
  <c r="I53"/>
  <c r="I52"/>
  <c r="F54"/>
  <c r="H54" s="1"/>
  <c r="F53"/>
  <c r="H53" s="1"/>
  <c r="H52"/>
  <c r="F51"/>
  <c r="H51" s="1"/>
  <c r="E50"/>
  <c r="F50" s="1"/>
  <c r="H50" s="1"/>
  <c r="F49"/>
  <c r="H49" s="1"/>
  <c r="F48"/>
  <c r="H48" s="1"/>
  <c r="F47"/>
  <c r="H47" s="1"/>
  <c r="F46"/>
  <c r="H46" s="1"/>
  <c r="F45"/>
  <c r="H45" s="1"/>
  <c r="H43"/>
  <c r="F42"/>
  <c r="F41"/>
  <c r="H41" s="1"/>
  <c r="F40"/>
  <c r="H40" s="1"/>
  <c r="H39"/>
  <c r="F38"/>
  <c r="H38" s="1"/>
  <c r="H37"/>
  <c r="H34"/>
  <c r="H35"/>
  <c r="F33"/>
  <c r="H33" s="1"/>
  <c r="E33"/>
  <c r="F32"/>
  <c r="H32" s="1"/>
  <c r="F31"/>
  <c r="H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17"/>
  <c r="H42" i="29" l="1"/>
  <c r="H33"/>
  <c r="I33"/>
  <c r="H19"/>
  <c r="H20"/>
  <c r="H21"/>
  <c r="H22"/>
  <c r="H23"/>
  <c r="H24"/>
  <c r="H25"/>
  <c r="H30"/>
  <c r="H31"/>
  <c r="H32"/>
  <c r="H69"/>
  <c r="I69"/>
  <c r="H42" i="27"/>
  <c r="I42"/>
  <c r="H40" i="29"/>
  <c r="H26"/>
  <c r="H16"/>
  <c r="H50"/>
  <c r="I50"/>
  <c r="I17"/>
  <c r="I18"/>
  <c r="I27"/>
  <c r="I38"/>
  <c r="I41"/>
  <c r="I45"/>
  <c r="H46"/>
  <c r="I47"/>
  <c r="H48"/>
  <c r="I49"/>
  <c r="H51"/>
  <c r="I57"/>
  <c r="H61"/>
  <c r="H79" s="1"/>
  <c r="I71"/>
  <c r="H82"/>
  <c r="I83"/>
  <c r="H38" i="28"/>
  <c r="H57"/>
  <c r="H50"/>
  <c r="I50"/>
  <c r="H18"/>
  <c r="I18"/>
  <c r="H16"/>
  <c r="I17"/>
  <c r="H26"/>
  <c r="I27"/>
  <c r="H40"/>
  <c r="I41"/>
  <c r="H42"/>
  <c r="I45"/>
  <c r="H46"/>
  <c r="I47"/>
  <c r="H48"/>
  <c r="I49"/>
  <c r="H51"/>
  <c r="H61"/>
  <c r="H72"/>
  <c r="I83"/>
  <c r="H84"/>
  <c r="H85" s="1"/>
  <c r="I61" i="27"/>
  <c r="I71"/>
  <c r="I51"/>
  <c r="I50"/>
  <c r="I49"/>
  <c r="I47"/>
  <c r="I45"/>
  <c r="I48"/>
  <c r="I46"/>
  <c r="I40"/>
  <c r="I16"/>
  <c r="I18"/>
  <c r="I89" i="29" l="1"/>
  <c r="I93" i="28"/>
  <c r="H80"/>
  <c r="I57" i="27" l="1"/>
  <c r="I54"/>
  <c r="I38"/>
  <c r="I37"/>
  <c r="I26"/>
  <c r="H79" l="1"/>
  <c r="H84"/>
  <c r="I83"/>
  <c r="I27"/>
  <c r="I39"/>
  <c r="I41"/>
  <c r="I82"/>
  <c r="I92" l="1"/>
</calcChain>
</file>

<file path=xl/sharedStrings.xml><?xml version="1.0" encoding="utf-8"?>
<sst xmlns="http://schemas.openxmlformats.org/spreadsheetml/2006/main" count="2662" uniqueCount="259">
  <si>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</si>
  <si>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</si>
  <si>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</si>
  <si>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</si>
  <si>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</si>
  <si>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</si>
  <si>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</si>
  <si>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</si>
  <si>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</si>
  <si>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</si>
  <si>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</si>
  <si>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</si>
  <si>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</si>
  <si>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</si>
  <si>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</si>
  <si>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</si>
  <si>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</si>
  <si>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</si>
  <si>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</si>
  <si>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</si>
  <si>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</si>
  <si>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</si>
  <si>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</si>
  <si>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</si>
  <si>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</si>
  <si>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</si>
  <si>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</si>
  <si>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</si>
  <si>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</si>
  <si>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</si>
  <si>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</si>
  <si>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</si>
  <si>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</si>
  <si>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</si>
  <si>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</si>
  <si>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</si>
  <si>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</si>
  <si>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</si>
  <si>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</si>
  <si>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</si>
  <si>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</si>
  <si>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</si>
  <si>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</si>
  <si>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</si>
  <si>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</si>
  <si>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</si>
  <si>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</si>
  <si>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</si>
  <si>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</si>
  <si>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</si>
  <si>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</si>
  <si>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</si>
  <si>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</si>
  <si>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</si>
  <si>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</si>
  <si>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</si>
  <si>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</si>
  <si>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</si>
  <si>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</si>
  <si>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</si>
  <si>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</si>
  <si>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</si>
  <si>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</si>
  <si>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</si>
  <si>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</si>
  <si>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</si>
  <si>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</si>
  <si>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</si>
  <si>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</si>
  <si>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</si>
  <si>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</si>
  <si>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</si>
  <si>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</si>
  <si>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</si>
  <si>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</si>
  <si>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</si>
  <si>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</si>
  <si>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</si>
  <si>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</si>
  <si>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</si>
  <si>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</si>
  <si>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</si>
  <si>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</si>
  <si>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</si>
  <si>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генеральный директор Куканов Ю.Л.</t>
  </si>
  <si>
    <t>3м</t>
  </si>
  <si>
    <t>шт</t>
  </si>
  <si>
    <t>10 м2</t>
  </si>
  <si>
    <t>10м2</t>
  </si>
  <si>
    <t xml:space="preserve">приемки оказанных услуг и выполненных работ по содержанию и текущему ремонту
общего имущества в многоквартирном доме №3 по ул.Космонавтов пгт.Ярега
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</si>
  <si>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</si>
  <si>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</si>
  <si>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</si>
  <si>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</si>
  <si>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</si>
  <si>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</si>
  <si>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</si>
  <si>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</si>
  <si>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</si>
  <si>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</si>
  <si>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Техническое обслуживание наружных газопроводов</t>
  </si>
  <si>
    <t>ТО внутридомового газ.оборудования</t>
  </si>
  <si>
    <t>100м3</t>
  </si>
  <si>
    <t>1000м3</t>
  </si>
  <si>
    <t>Вода для промывки СО</t>
  </si>
  <si>
    <t>Сброс воды после промывки СО в канализацию</t>
  </si>
  <si>
    <t>Прочистка каналов</t>
  </si>
  <si>
    <t xml:space="preserve"> </t>
  </si>
  <si>
    <t>Работа автовышки</t>
  </si>
  <si>
    <t>маш/час</t>
  </si>
  <si>
    <t>156 раз в год</t>
  </si>
  <si>
    <t>104 раза в год</t>
  </si>
  <si>
    <t xml:space="preserve">24 раза в год 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</si>
  <si>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</si>
  <si>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</si>
  <si>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</si>
  <si>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</si>
  <si>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</si>
  <si>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</si>
  <si>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</si>
  <si>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</si>
  <si>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</si>
  <si>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</si>
  <si>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</si>
  <si>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</si>
  <si>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 от мусора</t>
  </si>
  <si>
    <t>Аварийно-диспетчерское обслуживание</t>
  </si>
  <si>
    <t>1 шт</t>
  </si>
  <si>
    <t>100шт</t>
  </si>
  <si>
    <t>III. Плановые осмотры</t>
  </si>
  <si>
    <t>IV. Содержание общего имущества</t>
  </si>
  <si>
    <t>V. Прочие услуги</t>
  </si>
  <si>
    <t>АКТ №1</t>
  </si>
  <si>
    <t>АКТ №2</t>
  </si>
  <si>
    <t>АКТ №3</t>
  </si>
  <si>
    <t>АКТ №4</t>
  </si>
  <si>
    <t>IV. Прочие услуги</t>
  </si>
  <si>
    <t>Обязательные работы по содержанию общего имущества собственников помещений в многоквартирном доме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</si>
  <si>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</si>
  <si>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</si>
  <si>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</si>
  <si>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</si>
  <si>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</si>
  <si>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</si>
  <si>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</si>
  <si>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</si>
  <si>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</si>
  <si>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Сдвигание снега в дни снегопада</t>
  </si>
  <si>
    <t>35 раз за сезон</t>
  </si>
  <si>
    <t>20 раз за сезон</t>
  </si>
  <si>
    <t>Дератизация</t>
  </si>
  <si>
    <t>м2</t>
  </si>
  <si>
    <t>12 раз в год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</si>
  <si>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</si>
  <si>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</si>
  <si>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</si>
  <si>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</si>
  <si>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АКТ №5</t>
  </si>
  <si>
    <t>Подключение и отключение сварочного аппарата</t>
  </si>
  <si>
    <t>АКТ №6</t>
  </si>
  <si>
    <t>Внеплановый осмотр электросетей, армазуры и электрооборудования на лестничных клетках</t>
  </si>
  <si>
    <t>АКТ №7</t>
  </si>
  <si>
    <t>Смена арматуры - вентилей и клапанов обратных муфтовых диаметром до 20 мм</t>
  </si>
  <si>
    <t>АКТ №8</t>
  </si>
  <si>
    <t>АКТ №9</t>
  </si>
  <si>
    <t>Смена трубопроводов на полипропиленовые трубы PN25 диаметром 25мм</t>
  </si>
  <si>
    <t>АКТ №10</t>
  </si>
  <si>
    <t>II. Уборка земельного участка</t>
  </si>
  <si>
    <t>Внеплановая проверка дымоходов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</si>
  <si>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</si>
  <si>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</si>
  <si>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д.3</t>
    </r>
  </si>
  <si>
    <t>за период с 01.02.2018 г. по 28.02.2018 г.</t>
  </si>
  <si>
    <t>Очистка канализационной сети внутренней</t>
  </si>
  <si>
    <t>1м</t>
  </si>
  <si>
    <t>Смена вентилей ПП диаметром до 20 мм</t>
  </si>
  <si>
    <t>Смена радиаторов отопительных чугунных (7-секционных)</t>
  </si>
  <si>
    <t>Работа гона</t>
  </si>
  <si>
    <t>Разборка короба для работ ВДИС</t>
  </si>
  <si>
    <t>Восстановление короба после работ ВДИС</t>
  </si>
  <si>
    <t>Устройство (смена) покрытий из линолеума насухо</t>
  </si>
  <si>
    <t>Прогрев XВC</t>
  </si>
  <si>
    <t>за период с 01.03.2018 г. по 31.03.2018 г.</t>
  </si>
  <si>
    <t>Пристрожка полотна по кромкам</t>
  </si>
  <si>
    <t>1 полотно</t>
  </si>
  <si>
    <t>за период с 01.04.2018 г. по 30.04.2018 г.</t>
  </si>
  <si>
    <t>10шт</t>
  </si>
  <si>
    <t>Демонтаж осветительных приборов</t>
  </si>
  <si>
    <t>за период с 01.05.2018 г. по 31.05.2018 г.</t>
  </si>
  <si>
    <t>2. Всего за период с 01.05.2018 г. по 31.05.2018 г. выполнено работ (оказано услуг) на общую сумму: 165 720,07 руб.</t>
  </si>
  <si>
    <t>(сто шестьдесят пять тысяч семьсот двадцать рублей 7 копеек)</t>
  </si>
  <si>
    <t>Ремонт и регулировка доводчика ( со стоимостью доводчика)</t>
  </si>
  <si>
    <t>за период с 01.06.2018 г. по 30.06.2018 г.</t>
  </si>
  <si>
    <t>Установка хомута диаметром до 50 мм</t>
  </si>
  <si>
    <t>место</t>
  </si>
  <si>
    <t>Заделка подвальных окон фанерой</t>
  </si>
  <si>
    <t>Доска обр. 30 мм 1,5 м</t>
  </si>
  <si>
    <t>Демонтаж деревянных полов</t>
  </si>
  <si>
    <t xml:space="preserve">Смена кирпичных ленточных фундаментов с добавлением нового кирпича </t>
  </si>
  <si>
    <t>Смена дощатых полов с добавлением новых досок до 25%</t>
  </si>
  <si>
    <t>2. Всего за период с 01.06.2018 г. по 30.06.2018 г. выполнено работ (оказано услуг) на общую сумму: 42469,59 руб.</t>
  </si>
  <si>
    <t>(сорок две тысячи четыреста шестьдесят девять рублей 59 копеек)</t>
  </si>
  <si>
    <t>ООО «Движение»</t>
  </si>
  <si>
    <t>за период с 01.07.2018 г. по 31.07.2018 г.</t>
  </si>
  <si>
    <r>
      <t xml:space="preserve">    Собственники   помещений   в многоквартирном доме, расположенном по адресу:  пгт.Ярега, ул.Космонавтов, д.3,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07.02.2017г.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</si>
  <si>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2. Всего за период с 01.07.2018 г. по 31.07.2018 г. выполнено работ (оказано услуг) на общую сумму: 40336,21 руб.</t>
  </si>
  <si>
    <t>(сорок тысяч триста тридцать шесть рублей 21 копейка)</t>
  </si>
  <si>
    <t>Дезинфекция подвала</t>
  </si>
  <si>
    <t>Ремонт цоколя</t>
  </si>
  <si>
    <t>2. Всего за период с 01.02.2018 г. по 28.02.2018 г. выполнено работ (оказано услуг) на общую сумму: 108409,14 руб.</t>
  </si>
  <si>
    <t>(сто восемь тысяч четыреста девять рублей 14 копеек)</t>
  </si>
  <si>
    <t>2. Всего за период с 01.03.2017 г. по 31.03.2017 г. выполнено работ (оказано услуг) на общую сумму: 48737,55 руб.</t>
  </si>
  <si>
    <t>(сорок восемь тысяч семьсот тридцать семь рублей 55 копеек)</t>
  </si>
  <si>
    <t>2. Всего за период с 01.04.2018 г. по 30.04.2018 г. выполнено работ (оказано услуг) на общую сумму: 55891,76 руб.</t>
  </si>
  <si>
    <t>(пятьдесят пять тысяч восемьсот девяносто один рубль 76  копеек)</t>
  </si>
  <si>
    <t>за период с 01.08.2018 г. по 31.08.2018 г.</t>
  </si>
  <si>
    <t>Внеплановый осмотр водопроводов, канализации, отопления в квартирах</t>
  </si>
  <si>
    <t>100 кв.</t>
  </si>
  <si>
    <t xml:space="preserve">Муфта разъемная 25*3/4 НР </t>
  </si>
  <si>
    <t>Пробка Д=20 мм правая</t>
  </si>
  <si>
    <t>Смена дверных приборов /замки навесные)</t>
  </si>
  <si>
    <t>2. Всего за период с 01.08.2018 г. по 31.08.2018 г. выполнено работ (оказано услуг) на общую сумму: 53271,58 руб.</t>
  </si>
  <si>
    <t>(пятьдесят три тысячи двести семьдесят один рубль 58 копеек)</t>
  </si>
  <si>
    <t>за период с 01.09.2018 г. по 30.09.2018 г.</t>
  </si>
  <si>
    <t xml:space="preserve">Муфта разъемная 25*3/4 ВР </t>
  </si>
  <si>
    <t>Муфта разъемная 32*1НР</t>
  </si>
  <si>
    <t>Муфта разъемная 32*1 ВР</t>
  </si>
  <si>
    <t>Колено 25-90</t>
  </si>
  <si>
    <t>Муфта переходная 32*25</t>
  </si>
  <si>
    <t>Резьба 20</t>
  </si>
  <si>
    <t>Смена трубопроводов на полипропиленовые трубы PN20 диаметром 25мм</t>
  </si>
  <si>
    <t>Биосорбент</t>
  </si>
  <si>
    <t>кг</t>
  </si>
  <si>
    <t>Смена трубопроводов на полипропиленовые трубы PN25 диаметром 25мм (кв.19)</t>
  </si>
  <si>
    <t>2. Всего за период с 01.09.2018 г. по 30.09.2018 г. выполнено работ (оказано услуг) на общую сумму: 81333,05 руб.</t>
  </si>
  <si>
    <t>(восемьдесят одна тысяча триста тридцать три рубля 05 копеек)</t>
  </si>
  <si>
    <t>за период с 01.10.2018 г. по 31.10.2018 г.</t>
  </si>
  <si>
    <t>100 шт</t>
  </si>
  <si>
    <t>белизна</t>
  </si>
  <si>
    <t>2. Всего за период с 01.10.2018 г. по 31.10.2018 г. выполнено работ (оказано услуг) на общую сумму: 47297,45 руб.</t>
  </si>
  <si>
    <t>(сорок семь тысяч двести девяносто семь рублей 45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</si>
  <si>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</si>
  <si>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</si>
  <si>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Работа ротенбергера</t>
  </si>
  <si>
    <t>час</t>
  </si>
  <si>
    <t>Внеплановый осмотр системы центрального отопления в чердачных и подвальных помещениях</t>
  </si>
  <si>
    <t>2. Всего за период с 01.11.2018 г. по 30.11.2018 г. выполнено работ (оказано услуг) на общую сумму: 47139,06 руб.</t>
  </si>
  <si>
    <t>(сорок семь тысяч сто тридцать девять рублей 06 копеек)</t>
  </si>
  <si>
    <t>за период с 01.12.2018 г. по 31.12.2018 г.</t>
  </si>
  <si>
    <t>Внеплановый осмотр системы центрального отопления и канализации в чердачных и подвальных помещениях</t>
  </si>
  <si>
    <t>Герметизация стыков фановых труб</t>
  </si>
  <si>
    <t>1 место</t>
  </si>
  <si>
    <t>Утепление трубопроводов в каналах и коробах минеральной ватой (УРСА)</t>
  </si>
  <si>
    <t>I МЗ</t>
  </si>
  <si>
    <t>2. Всего за период с 01.12.2018 г. по 31.12.2018 г. выполнено работ (оказано услуг) на общую сумму: 56464,50 руб.</t>
  </si>
  <si>
    <t>(пятьдесят шесть тысяч четыреста шестьдесят четыре рубля 50 копеек)</t>
  </si>
  <si>
    <t>за период с 01.01.2018 г. по 31.01.2018 г.</t>
  </si>
  <si>
    <t>2. Всего за период с 01.01.2018 г. по 31.01.2018 г. выполнено работ (оказано услуг) на общую сумму: 70750,60 руб.</t>
  </si>
  <si>
    <t>(семьдесят тысяч семьсот пятьдесят рублей 60 копеек)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</si>
</sst>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Cambria"/>
      <family val="1"/>
      <charset val="204"/>
    </font>
    <font>
      <sz val="1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8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0" fontId="20" fillId="0" borderId="19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center" vertical="center" wrapText="1"/>
    </xf>
    <xf numFmtId="4" fontId="11" fillId="0" borderId="2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2" fontId="11" fillId="2" borderId="3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wrapText="1"/>
    </xf>
    <xf numFmtId="2" fontId="11" fillId="3" borderId="3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NumberFormat="1" applyFont="1" applyFill="1" applyBorder="1" applyAlignment="1" applyProtection="1">
      <alignment horizontal="left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1" fillId="0" borderId="16" xfId="0" applyFont="1" applyFill="1" applyBorder="1" applyAlignment="1">
      <alignment horizontal="left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1"/>
  <sheetViews>
    <sheetView tabSelected="1" topLeftCell="A49" workbookViewId="0">
      <selection activeCell="B92" sqref="B92:G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79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132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256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40"/>
      <c r="C6" s="140"/>
      <c r="D6" s="140"/>
      <c r="E6" s="140"/>
      <c r="F6" s="140"/>
      <c r="G6" s="140"/>
      <c r="H6" s="140"/>
      <c r="I6" s="33">
        <v>43131</v>
      </c>
    </row>
    <row r="7" spans="1:15" ht="15.75">
      <c r="B7" s="137"/>
      <c r="C7" s="137"/>
      <c r="D7" s="13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146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1">SUM(E22/100)</f>
        <v>3.57</v>
      </c>
      <c r="G22" s="80">
        <v>353.14</v>
      </c>
      <c r="H22" s="81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1"/>
        <v>0.38640000000000002</v>
      </c>
      <c r="G23" s="80">
        <v>58.08</v>
      </c>
      <c r="H23" s="81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1"/>
        <v>0.15</v>
      </c>
      <c r="G24" s="80">
        <v>511.12</v>
      </c>
      <c r="H24" s="81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1"/>
        <v>6.3799999999999996E-2</v>
      </c>
      <c r="G25" s="80">
        <v>683.05</v>
      </c>
      <c r="H25" s="81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5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" si="2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75">
        <v>5</v>
      </c>
      <c r="B27" s="213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ref="H27" si="3">SUM(F27*G27/1000)</f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167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hidden="1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hidden="1" customHeight="1">
      <c r="A30" s="118"/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4">SUM(F30*G30/1000)</f>
        <v>1.6222722879999998</v>
      </c>
      <c r="I30" s="115">
        <v>0</v>
      </c>
      <c r="J30" s="25"/>
      <c r="K30" s="10"/>
      <c r="L30" s="10"/>
      <c r="M30" s="10"/>
    </row>
    <row r="31" spans="1:13" ht="31.5" hidden="1" customHeight="1">
      <c r="A31" s="30"/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4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5"/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4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5"/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4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5">SUM(F37*G37/1000)</f>
        <v>6.0090000000000003</v>
      </c>
      <c r="I37" s="115">
        <f t="shared" ref="I37:I41" si="6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6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6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5"/>
        <v>4.1427101100000003</v>
      </c>
      <c r="I40" s="16">
        <f t="shared" si="6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5"/>
        <v>15.47729386</v>
      </c>
      <c r="I41" s="16">
        <f t="shared" si="6"/>
        <v>2579.5489766666669</v>
      </c>
      <c r="J41" s="25"/>
      <c r="K41" s="10"/>
      <c r="L41" s="10"/>
      <c r="M41" s="10"/>
    </row>
    <row r="42" spans="1:13" ht="15.75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5"/>
        <v>0.65333449999999993</v>
      </c>
      <c r="I42" s="16">
        <f>F42/7.5*G42</f>
        <v>87.111266666666651</v>
      </c>
      <c r="J42" s="25"/>
      <c r="K42" s="10"/>
      <c r="L42" s="10"/>
      <c r="M42" s="10"/>
    </row>
    <row r="43" spans="1:13" ht="15.75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5"/>
        <v>0.389932</v>
      </c>
      <c r="I43" s="16">
        <f>F43/7.5*G43</f>
        <v>51.990933333333338</v>
      </c>
      <c r="J43" s="25"/>
      <c r="K43" s="10"/>
    </row>
    <row r="44" spans="1:13" ht="15.75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/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7">SUM(F45*G45/1000)</f>
        <v>3.0159784199999997</v>
      </c>
      <c r="I45" s="16">
        <f t="shared" ref="I45:I47" si="8">F45/2*G45</f>
        <v>1507.98921</v>
      </c>
      <c r="J45" s="26"/>
    </row>
    <row r="46" spans="1:13" ht="15.75" hidden="1" customHeight="1">
      <c r="A46" s="74"/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7"/>
        <v>4.5114615755999994</v>
      </c>
      <c r="I46" s="16">
        <f t="shared" si="8"/>
        <v>2255.7307877999997</v>
      </c>
      <c r="J46" s="26"/>
    </row>
    <row r="47" spans="1:13" ht="15.75" hidden="1" customHeight="1">
      <c r="A47" s="73"/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7"/>
        <v>3.2221747648000005</v>
      </c>
      <c r="I47" s="16">
        <f t="shared" si="8"/>
        <v>1611.0873824000003</v>
      </c>
      <c r="J47" s="26"/>
    </row>
    <row r="48" spans="1:13" ht="15.75" hidden="1" customHeight="1">
      <c r="A48" s="30"/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7"/>
        <v>0.16393723199999999</v>
      </c>
      <c r="I48" s="16">
        <f>F48/2*G48</f>
        <v>81.968615999999997</v>
      </c>
      <c r="J48" s="26"/>
    </row>
    <row r="49" spans="1:14" ht="15.75" customHeight="1">
      <c r="A49" s="30">
        <v>12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7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7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7"/>
        <v>1.2986624000000002</v>
      </c>
      <c r="I51" s="16">
        <f t="shared" ref="I51:I52" si="9">F51/2*G51</f>
        <v>649.33120000000008</v>
      </c>
      <c r="J51" s="26"/>
      <c r="L51" s="22"/>
      <c r="M51" s="23"/>
      <c r="N51" s="24"/>
    </row>
    <row r="52" spans="1:14" ht="15.75" hidden="1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7"/>
        <v>0.14825839999999998</v>
      </c>
      <c r="I52" s="16">
        <f t="shared" si="9"/>
        <v>74.129199999999997</v>
      </c>
      <c r="J52" s="26"/>
      <c r="L52" s="22"/>
      <c r="M52" s="23"/>
      <c r="N52" s="24"/>
    </row>
    <row r="53" spans="1:14" ht="16.5" customHeight="1">
      <c r="A53" s="59">
        <v>13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7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8" customHeight="1">
      <c r="A54" s="59">
        <v>14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7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130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15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0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" si="11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15</v>
      </c>
      <c r="B61" s="63" t="s">
        <v>150</v>
      </c>
      <c r="C61" s="56" t="s">
        <v>151</v>
      </c>
      <c r="D61" s="63" t="s">
        <v>152</v>
      </c>
      <c r="E61" s="122">
        <v>48</v>
      </c>
      <c r="F61" s="35">
        <f>SUM(E61)*12</f>
        <v>576</v>
      </c>
      <c r="G61" s="39">
        <v>1.2</v>
      </c>
      <c r="H61" s="121">
        <f t="shared" ref="H61" si="12">SUM(F61*G61/1000)</f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/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3">SUM(F63*G63/1000)</f>
        <v>1.4584000000000001</v>
      </c>
      <c r="I63" s="16">
        <v>0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3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/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3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9"/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3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9"/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3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9"/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3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9"/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4">E69</f>
        <v>9.6</v>
      </c>
      <c r="G69" s="16">
        <v>46.04</v>
      </c>
      <c r="H69" s="93">
        <f t="shared" si="13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41" t="s">
        <v>56</v>
      </c>
      <c r="D70" s="142" t="s">
        <v>51</v>
      </c>
      <c r="E70" s="143">
        <v>3</v>
      </c>
      <c r="F70" s="92">
        <f t="shared" si="14"/>
        <v>3</v>
      </c>
      <c r="G70" s="96">
        <v>65.42</v>
      </c>
      <c r="H70" s="93">
        <f t="shared" si="13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>
        <v>16</v>
      </c>
      <c r="B71" s="17" t="s">
        <v>153</v>
      </c>
      <c r="C71" s="30" t="s">
        <v>154</v>
      </c>
      <c r="D71" s="17" t="s">
        <v>62</v>
      </c>
      <c r="E71" s="21">
        <v>2566.6</v>
      </c>
      <c r="F71" s="16">
        <f>SUM(E71)*12</f>
        <v>30799.199999999997</v>
      </c>
      <c r="G71" s="16">
        <v>2.2799999999999998</v>
      </c>
      <c r="H71" s="93">
        <f t="shared" si="13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5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74"/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6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5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7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90" t="s">
        <v>131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22" ht="15.75" customHeight="1">
      <c r="A82" s="59">
        <v>17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59">
        <v>18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I83+I82+I71+I61+I49+I43+I42+I41+I40+I38+I37+I27+I26+I18+I17+I16+I54+I53</f>
        <v>70453.282699000003</v>
      </c>
      <c r="J84" s="26"/>
      <c r="L84" s="22"/>
      <c r="M84" s="23"/>
      <c r="N84" s="24"/>
    </row>
    <row r="85" spans="1:22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22" ht="31.5" customHeight="1">
      <c r="A86" s="59">
        <v>19</v>
      </c>
      <c r="B86" s="58" t="s">
        <v>74</v>
      </c>
      <c r="C86" s="68" t="s">
        <v>86</v>
      </c>
      <c r="D86" s="17"/>
      <c r="E86" s="21"/>
      <c r="F86" s="16">
        <v>3</v>
      </c>
      <c r="G86" s="39">
        <v>86.69</v>
      </c>
      <c r="H86" s="93">
        <f>G86*F86/1000</f>
        <v>0.26006999999999997</v>
      </c>
      <c r="I86" s="16">
        <f>G86*3</f>
        <v>260.07</v>
      </c>
      <c r="J86" s="26"/>
      <c r="L86" s="22"/>
      <c r="M86" s="23"/>
      <c r="N86" s="24"/>
    </row>
    <row r="87" spans="1:22" ht="33" customHeight="1">
      <c r="A87" s="59">
        <v>20</v>
      </c>
      <c r="B87" s="58" t="s">
        <v>160</v>
      </c>
      <c r="C87" s="68" t="s">
        <v>36</v>
      </c>
      <c r="D87" s="17"/>
      <c r="E87" s="21"/>
      <c r="F87" s="16">
        <v>0.01</v>
      </c>
      <c r="G87" s="39">
        <v>3724.37</v>
      </c>
      <c r="H87" s="93">
        <f>G87*F87/1000</f>
        <v>3.7243699999999998E-2</v>
      </c>
      <c r="I87" s="16">
        <f>G87*0.01</f>
        <v>37.243699999999997</v>
      </c>
      <c r="J87" s="26"/>
      <c r="L87" s="22"/>
      <c r="M87" s="23"/>
      <c r="N87" s="24"/>
    </row>
    <row r="88" spans="1:22" ht="15.75" customHeight="1">
      <c r="A88" s="30"/>
      <c r="B88" s="50" t="s">
        <v>49</v>
      </c>
      <c r="C88" s="46"/>
      <c r="D88" s="57"/>
      <c r="E88" s="46">
        <v>1</v>
      </c>
      <c r="F88" s="46"/>
      <c r="G88" s="34"/>
      <c r="H88" s="46"/>
      <c r="I88" s="34">
        <f>SUM(I86:I87)</f>
        <v>297.31369999999998</v>
      </c>
      <c r="J88" s="26"/>
      <c r="L88" s="22"/>
      <c r="M88" s="23"/>
      <c r="N88" s="24"/>
    </row>
    <row r="89" spans="1:22" ht="15.75" customHeight="1">
      <c r="A89" s="30"/>
      <c r="B89" s="52" t="s">
        <v>73</v>
      </c>
      <c r="C89" s="18"/>
      <c r="D89" s="18"/>
      <c r="E89" s="47"/>
      <c r="F89" s="48"/>
      <c r="G89" s="20"/>
      <c r="H89" s="76"/>
      <c r="I89" s="21">
        <v>0</v>
      </c>
      <c r="J89" s="26"/>
      <c r="L89" s="22"/>
      <c r="M89" s="23"/>
      <c r="N89" s="24"/>
    </row>
    <row r="90" spans="1:22" ht="15.75" customHeight="1">
      <c r="A90" s="77"/>
      <c r="B90" s="51" t="s">
        <v>145</v>
      </c>
      <c r="C90" s="37"/>
      <c r="D90" s="37"/>
      <c r="E90" s="37"/>
      <c r="F90" s="37"/>
      <c r="G90" s="49"/>
      <c r="H90" s="38"/>
      <c r="I90" s="34">
        <f>I84+I88</f>
        <v>70750.596399000002</v>
      </c>
      <c r="J90" s="26"/>
      <c r="L90" s="22"/>
      <c r="M90" s="23"/>
      <c r="N90" s="24"/>
    </row>
    <row r="91" spans="1:22" ht="15.75" customHeight="1">
      <c r="A91" s="186" t="s">
        <v>257</v>
      </c>
      <c r="B91" s="186"/>
      <c r="C91" s="186"/>
      <c r="D91" s="186"/>
      <c r="E91" s="186"/>
      <c r="F91" s="186"/>
      <c r="G91" s="186"/>
      <c r="H91" s="186"/>
      <c r="I91" s="186"/>
      <c r="J91" s="26"/>
      <c r="L91" s="22"/>
      <c r="M91" s="23"/>
      <c r="N91" s="24"/>
    </row>
    <row r="92" spans="1:22" ht="15.75" customHeight="1">
      <c r="A92" s="12"/>
      <c r="B92" s="200" t="s">
        <v>258</v>
      </c>
      <c r="C92" s="200"/>
      <c r="D92" s="200"/>
      <c r="E92" s="200"/>
      <c r="F92" s="200"/>
      <c r="G92" s="200"/>
      <c r="H92" s="135"/>
      <c r="I92" s="4"/>
      <c r="J92" s="26"/>
      <c r="L92" s="22"/>
    </row>
    <row r="93" spans="1:22" ht="15.75" customHeight="1">
      <c r="A93" s="69"/>
      <c r="B93" s="201" t="s">
        <v>6</v>
      </c>
      <c r="C93" s="201"/>
      <c r="D93" s="201"/>
      <c r="E93" s="201"/>
      <c r="F93" s="201"/>
      <c r="G93" s="201"/>
      <c r="H93" s="27"/>
      <c r="I93" s="54"/>
    </row>
    <row r="94" spans="1:22" ht="15.75" customHeight="1">
      <c r="A94" s="55"/>
      <c r="B94" s="55"/>
      <c r="C94" s="55"/>
      <c r="D94" s="55"/>
      <c r="E94" s="55"/>
      <c r="F94" s="55"/>
      <c r="G94" s="55"/>
      <c r="H94" s="55"/>
      <c r="I94" s="55"/>
    </row>
    <row r="95" spans="1:22" ht="15.75" customHeight="1">
      <c r="A95" s="202" t="s">
        <v>7</v>
      </c>
      <c r="B95" s="202"/>
      <c r="C95" s="202"/>
      <c r="D95" s="202"/>
      <c r="E95" s="202"/>
      <c r="F95" s="202"/>
      <c r="G95" s="202"/>
      <c r="H95" s="202"/>
      <c r="I95" s="202"/>
    </row>
    <row r="96" spans="1:22" ht="15.75" customHeight="1">
      <c r="A96" s="202" t="s">
        <v>8</v>
      </c>
      <c r="B96" s="202"/>
      <c r="C96" s="202"/>
      <c r="D96" s="202"/>
      <c r="E96" s="202"/>
      <c r="F96" s="202"/>
      <c r="G96" s="202"/>
      <c r="H96" s="202"/>
      <c r="I96" s="202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86" t="s">
        <v>9</v>
      </c>
      <c r="B97" s="186"/>
      <c r="C97" s="186"/>
      <c r="D97" s="186"/>
      <c r="E97" s="186"/>
      <c r="F97" s="186"/>
      <c r="G97" s="186"/>
      <c r="H97" s="186"/>
      <c r="I97" s="186"/>
      <c r="J97" s="28"/>
      <c r="K97" s="28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14"/>
      <c r="B98" s="53"/>
      <c r="C98" s="53"/>
      <c r="D98" s="53"/>
      <c r="E98" s="53"/>
      <c r="F98" s="53"/>
      <c r="G98" s="53"/>
      <c r="H98" s="53"/>
      <c r="I98" s="53"/>
      <c r="J98" s="6"/>
      <c r="K98" s="6"/>
      <c r="L98" s="6"/>
      <c r="M98" s="6"/>
      <c r="N98" s="6"/>
      <c r="O98" s="6"/>
      <c r="P98" s="6"/>
      <c r="Q98" s="6"/>
      <c r="R98" s="204"/>
      <c r="S98" s="204"/>
      <c r="T98" s="204"/>
      <c r="U98" s="204"/>
    </row>
    <row r="99" spans="1:21" ht="15.75" customHeight="1">
      <c r="A99" s="205" t="s">
        <v>10</v>
      </c>
      <c r="B99" s="205"/>
      <c r="C99" s="205"/>
      <c r="D99" s="205"/>
      <c r="E99" s="205"/>
      <c r="F99" s="205"/>
      <c r="G99" s="205"/>
      <c r="H99" s="205"/>
      <c r="I99" s="205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5.75" customHeight="1">
      <c r="A100" s="5"/>
      <c r="B100" s="53"/>
      <c r="C100" s="53"/>
      <c r="D100" s="53"/>
      <c r="E100" s="53"/>
      <c r="F100" s="53"/>
      <c r="G100" s="53"/>
      <c r="H100" s="53"/>
      <c r="I100" s="53"/>
    </row>
    <row r="101" spans="1:21" ht="15.75" customHeight="1">
      <c r="A101" s="186" t="s">
        <v>11</v>
      </c>
      <c r="B101" s="186"/>
      <c r="C101" s="206" t="s">
        <v>84</v>
      </c>
      <c r="D101" s="206"/>
      <c r="E101" s="206"/>
      <c r="F101" s="71"/>
      <c r="I101" s="138"/>
    </row>
    <row r="102" spans="1:21" ht="15.75" customHeight="1">
      <c r="A102" s="69"/>
      <c r="B102" s="53"/>
      <c r="C102" s="201" t="s">
        <v>12</v>
      </c>
      <c r="D102" s="201"/>
      <c r="E102" s="201"/>
      <c r="F102" s="27"/>
      <c r="I102" s="136" t="s">
        <v>13</v>
      </c>
    </row>
    <row r="103" spans="1:21" ht="15.75" customHeight="1">
      <c r="A103" s="28"/>
      <c r="B103" s="53"/>
      <c r="C103" s="15"/>
      <c r="D103" s="15"/>
      <c r="G103" s="15"/>
      <c r="H103" s="15"/>
    </row>
    <row r="104" spans="1:21" ht="15.75" customHeight="1">
      <c r="A104" s="186" t="s">
        <v>14</v>
      </c>
      <c r="B104" s="186"/>
      <c r="C104" s="207"/>
      <c r="D104" s="207"/>
      <c r="E104" s="207"/>
      <c r="F104" s="72"/>
      <c r="I104" s="138"/>
    </row>
    <row r="105" spans="1:21" ht="15.75" customHeight="1">
      <c r="A105" s="139"/>
      <c r="C105" s="204" t="s">
        <v>12</v>
      </c>
      <c r="D105" s="204"/>
      <c r="E105" s="204"/>
      <c r="F105" s="139"/>
      <c r="I105" s="136" t="s">
        <v>13</v>
      </c>
    </row>
    <row r="106" spans="1:21" ht="15.75" customHeight="1">
      <c r="A106" s="5" t="s">
        <v>15</v>
      </c>
    </row>
    <row r="107" spans="1:21">
      <c r="A107" s="208" t="s">
        <v>16</v>
      </c>
      <c r="B107" s="208"/>
      <c r="C107" s="208"/>
      <c r="D107" s="208"/>
      <c r="E107" s="208"/>
      <c r="F107" s="208"/>
      <c r="G107" s="208"/>
      <c r="H107" s="208"/>
      <c r="I107" s="208"/>
    </row>
    <row r="108" spans="1:21" ht="45" customHeight="1">
      <c r="A108" s="203" t="s">
        <v>17</v>
      </c>
      <c r="B108" s="203"/>
      <c r="C108" s="203"/>
      <c r="D108" s="203"/>
      <c r="E108" s="203"/>
      <c r="F108" s="203"/>
      <c r="G108" s="203"/>
      <c r="H108" s="203"/>
      <c r="I108" s="203"/>
    </row>
    <row r="109" spans="1:21" ht="30" customHeight="1">
      <c r="A109" s="203" t="s">
        <v>18</v>
      </c>
      <c r="B109" s="203"/>
      <c r="C109" s="203"/>
      <c r="D109" s="203"/>
      <c r="E109" s="203"/>
      <c r="F109" s="203"/>
      <c r="G109" s="203"/>
      <c r="H109" s="203"/>
      <c r="I109" s="203"/>
    </row>
    <row r="110" spans="1:21" ht="30" customHeight="1">
      <c r="A110" s="203" t="s">
        <v>22</v>
      </c>
      <c r="B110" s="203"/>
      <c r="C110" s="203"/>
      <c r="D110" s="203"/>
      <c r="E110" s="203"/>
      <c r="F110" s="203"/>
      <c r="G110" s="203"/>
      <c r="H110" s="203"/>
      <c r="I110" s="203"/>
    </row>
    <row r="111" spans="1:21" ht="15" customHeight="1">
      <c r="A111" s="203" t="s">
        <v>21</v>
      </c>
      <c r="B111" s="203"/>
      <c r="C111" s="203"/>
      <c r="D111" s="203"/>
      <c r="E111" s="203"/>
      <c r="F111" s="203"/>
      <c r="G111" s="203"/>
      <c r="H111" s="203"/>
      <c r="I111" s="203"/>
    </row>
  </sheetData>
  <autoFilter ref="I15:I94"/>
  <mergeCells count="31">
    <mergeCell ref="A111:I111"/>
    <mergeCell ref="R98:U98"/>
    <mergeCell ref="A99:I99"/>
    <mergeCell ref="A101:B101"/>
    <mergeCell ref="C101:E101"/>
    <mergeCell ref="C102:E102"/>
    <mergeCell ref="A104:B104"/>
    <mergeCell ref="C104:E104"/>
    <mergeCell ref="C105:E105"/>
    <mergeCell ref="A107:I107"/>
    <mergeCell ref="A108:I108"/>
    <mergeCell ref="A109:I109"/>
    <mergeCell ref="A110:I110"/>
    <mergeCell ref="A97:I97"/>
    <mergeCell ref="A15:I15"/>
    <mergeCell ref="A28:I28"/>
    <mergeCell ref="A44:I44"/>
    <mergeCell ref="A55:I55"/>
    <mergeCell ref="A81:I81"/>
    <mergeCell ref="A85:I85"/>
    <mergeCell ref="A91:I91"/>
    <mergeCell ref="B92:G92"/>
    <mergeCell ref="B93:G93"/>
    <mergeCell ref="A95:I95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78" workbookViewId="0">
      <selection activeCell="J90" sqref="J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0.57031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202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166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236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12"/>
      <c r="C6" s="112"/>
      <c r="D6" s="112"/>
      <c r="E6" s="112"/>
      <c r="F6" s="112"/>
      <c r="G6" s="112"/>
      <c r="H6" s="112"/>
      <c r="I6" s="33">
        <v>43404</v>
      </c>
    </row>
    <row r="7" spans="1:15" ht="15.75">
      <c r="B7" s="109"/>
      <c r="C7" s="109"/>
      <c r="D7" s="109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 ht="15.75" customHeight="1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167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customHeight="1">
      <c r="A30" s="132">
        <v>6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customHeight="1">
      <c r="A33" s="75">
        <v>8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hidden="1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 t="shared" si="8"/>
        <v>64.988666666666674</v>
      </c>
      <c r="J43" s="25"/>
      <c r="K43" s="10"/>
    </row>
    <row r="44" spans="1:13" ht="21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21.75" hidden="1" customHeight="1">
      <c r="A45" s="30">
        <v>12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22.5" hidden="1" customHeight="1">
      <c r="A46" s="30">
        <v>13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21.75" hidden="1" customHeight="1">
      <c r="A47" s="30">
        <v>14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22.5" hidden="1" customHeight="1">
      <c r="A48" s="30">
        <v>15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29.25" hidden="1" customHeight="1">
      <c r="A49" s="30">
        <v>16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29.25" customHeight="1">
      <c r="A50" s="30">
        <v>9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3" customHeight="1">
      <c r="A51" s="30">
        <v>10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8" customHeight="1">
      <c r="A52" s="30">
        <v>11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21" hidden="1" customHeight="1">
      <c r="A53" s="30">
        <v>20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21" hidden="1" customHeight="1">
      <c r="A54" s="30">
        <v>21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130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12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7.25" customHeight="1">
      <c r="A63" s="59">
        <v>13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8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8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8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8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9.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7.25" hidden="1" customHeight="1">
      <c r="A70" s="59">
        <v>24</v>
      </c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9">
        <v>14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8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1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7.25" customHeight="1">
      <c r="A75" s="74">
        <v>15</v>
      </c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f>G75*0.1</f>
        <v>65.787000000000006</v>
      </c>
      <c r="J75" s="26"/>
      <c r="L75" s="22"/>
      <c r="M75" s="23"/>
      <c r="N75" s="24"/>
    </row>
    <row r="76" spans="1:14" ht="20.2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8.75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7.25" customHeight="1">
      <c r="A78" s="59">
        <v>16</v>
      </c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f>G78*0.03</f>
        <v>108.5727</v>
      </c>
      <c r="J78" s="26"/>
      <c r="L78" s="22"/>
      <c r="M78" s="23"/>
      <c r="N78" s="24"/>
    </row>
    <row r="79" spans="1:14" ht="20.2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20.2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90" t="s">
        <v>131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17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18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I83+I82+I78+I75+I71+I63+I61+I52+I51+I50+I33+I31+I30+I27+I26+I18+I17+I16</f>
        <v>45610.714792111103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29.25" customHeight="1">
      <c r="A86" s="59">
        <v>19</v>
      </c>
      <c r="B86" s="124" t="s">
        <v>216</v>
      </c>
      <c r="C86" s="65" t="s">
        <v>237</v>
      </c>
      <c r="D86" s="41"/>
      <c r="E86" s="20"/>
      <c r="F86" s="39">
        <f>31/3</f>
        <v>10.333333333333334</v>
      </c>
      <c r="G86" s="39">
        <v>24829.08</v>
      </c>
      <c r="H86" s="123">
        <f>G86*F86/1000</f>
        <v>256.56716000000006</v>
      </c>
      <c r="I86" s="134">
        <f>G86*0.01</f>
        <v>248.29080000000002</v>
      </c>
      <c r="J86" s="26"/>
      <c r="L86" s="22"/>
      <c r="M86" s="23"/>
      <c r="N86" s="24"/>
    </row>
    <row r="87" spans="1:14" ht="14.25" customHeight="1">
      <c r="A87" s="59">
        <v>20</v>
      </c>
      <c r="B87" s="124" t="s">
        <v>238</v>
      </c>
      <c r="C87" s="65" t="s">
        <v>86</v>
      </c>
      <c r="D87" s="41"/>
      <c r="E87" s="20"/>
      <c r="F87" s="39">
        <v>1</v>
      </c>
      <c r="G87" s="39">
        <v>30</v>
      </c>
      <c r="H87" s="123">
        <f t="shared" ref="H87:H88" si="20">G87*F87/1000</f>
        <v>0.03</v>
      </c>
      <c r="I87" s="134">
        <f>G87*2</f>
        <v>60</v>
      </c>
      <c r="J87" s="26"/>
      <c r="L87" s="22"/>
      <c r="M87" s="23"/>
      <c r="N87" s="24"/>
    </row>
    <row r="88" spans="1:14" ht="15.75" customHeight="1">
      <c r="A88" s="59">
        <v>21</v>
      </c>
      <c r="B88" s="124" t="s">
        <v>173</v>
      </c>
      <c r="C88" s="65" t="s">
        <v>174</v>
      </c>
      <c r="D88" s="41"/>
      <c r="E88" s="20"/>
      <c r="F88" s="39">
        <v>1</v>
      </c>
      <c r="G88" s="39">
        <v>134.12</v>
      </c>
      <c r="H88" s="123">
        <f t="shared" si="20"/>
        <v>0.13412000000000002</v>
      </c>
      <c r="I88" s="134">
        <f>G88*10</f>
        <v>1341.2</v>
      </c>
      <c r="J88" s="26"/>
      <c r="L88" s="22"/>
      <c r="M88" s="23"/>
      <c r="N88" s="24"/>
    </row>
    <row r="89" spans="1:14" ht="33" customHeight="1">
      <c r="A89" s="59">
        <v>22</v>
      </c>
      <c r="B89" s="58" t="s">
        <v>160</v>
      </c>
      <c r="C89" s="68" t="s">
        <v>36</v>
      </c>
      <c r="D89" s="41"/>
      <c r="E89" s="20"/>
      <c r="F89" s="39"/>
      <c r="G89" s="176">
        <v>3724.37</v>
      </c>
      <c r="H89" s="123"/>
      <c r="I89" s="134">
        <f>G89*0.01</f>
        <v>37.243699999999997</v>
      </c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SUM(I86:I89)</f>
        <v>1686.7345</v>
      </c>
      <c r="J90" s="26"/>
      <c r="L90" s="22"/>
      <c r="M90" s="23"/>
      <c r="N90" s="24"/>
    </row>
    <row r="91" spans="1:14" ht="15.75" customHeight="1">
      <c r="A91" s="30"/>
      <c r="B91" s="52" t="s">
        <v>73</v>
      </c>
      <c r="C91" s="18"/>
      <c r="D91" s="18"/>
      <c r="E91" s="47"/>
      <c r="F91" s="48"/>
      <c r="G91" s="20"/>
      <c r="H91" s="76"/>
      <c r="I91" s="21">
        <v>0</v>
      </c>
      <c r="J91" s="26"/>
      <c r="L91" s="22"/>
      <c r="M91" s="23"/>
      <c r="N91" s="24"/>
    </row>
    <row r="92" spans="1:14" ht="15.75" customHeight="1">
      <c r="A92" s="77"/>
      <c r="B92" s="51" t="s">
        <v>145</v>
      </c>
      <c r="C92" s="37"/>
      <c r="D92" s="37"/>
      <c r="E92" s="37"/>
      <c r="F92" s="37"/>
      <c r="G92" s="49"/>
      <c r="H92" s="38"/>
      <c r="I92" s="34">
        <f>I84+I90</f>
        <v>47297.449292111101</v>
      </c>
      <c r="J92" s="26"/>
      <c r="L92" s="22"/>
      <c r="M92" s="23"/>
      <c r="N92" s="24"/>
    </row>
    <row r="93" spans="1:14" ht="15.75" customHeight="1">
      <c r="A93" s="186" t="s">
        <v>239</v>
      </c>
      <c r="B93" s="186"/>
      <c r="C93" s="186"/>
      <c r="D93" s="186"/>
      <c r="E93" s="186"/>
      <c r="F93" s="186"/>
      <c r="G93" s="186"/>
      <c r="H93" s="186"/>
      <c r="I93" s="186"/>
      <c r="J93" s="26"/>
      <c r="L93" s="22"/>
      <c r="M93" s="23"/>
      <c r="N93" s="24"/>
    </row>
    <row r="94" spans="1:14" ht="15.75" customHeight="1">
      <c r="A94" s="12"/>
      <c r="B94" s="200" t="s">
        <v>240</v>
      </c>
      <c r="C94" s="200"/>
      <c r="D94" s="200"/>
      <c r="E94" s="200"/>
      <c r="F94" s="200"/>
      <c r="G94" s="200"/>
      <c r="H94" s="107"/>
      <c r="I94" s="4"/>
      <c r="J94" s="26"/>
      <c r="L94" s="22"/>
    </row>
    <row r="95" spans="1:14" ht="15.75" customHeight="1">
      <c r="A95" s="69"/>
      <c r="B95" s="201" t="s">
        <v>6</v>
      </c>
      <c r="C95" s="201"/>
      <c r="D95" s="201"/>
      <c r="E95" s="201"/>
      <c r="F95" s="201"/>
      <c r="G95" s="201"/>
      <c r="H95" s="27"/>
      <c r="I95" s="54"/>
    </row>
    <row r="96" spans="1:14" ht="15.75" customHeight="1">
      <c r="A96" s="55"/>
      <c r="B96" s="55"/>
      <c r="C96" s="55"/>
      <c r="D96" s="55"/>
      <c r="E96" s="55"/>
      <c r="F96" s="55"/>
      <c r="G96" s="55"/>
      <c r="H96" s="55"/>
      <c r="I96" s="55"/>
    </row>
    <row r="97" spans="1:22" ht="15.75" customHeight="1">
      <c r="A97" s="202" t="s">
        <v>7</v>
      </c>
      <c r="B97" s="202"/>
      <c r="C97" s="202"/>
      <c r="D97" s="202"/>
      <c r="E97" s="202"/>
      <c r="F97" s="202"/>
      <c r="G97" s="202"/>
      <c r="H97" s="202"/>
      <c r="I97" s="202"/>
    </row>
    <row r="98" spans="1:22" ht="15.75" customHeight="1">
      <c r="A98" s="202" t="s">
        <v>8</v>
      </c>
      <c r="B98" s="202"/>
      <c r="C98" s="202"/>
      <c r="D98" s="202"/>
      <c r="E98" s="202"/>
      <c r="F98" s="202"/>
      <c r="G98" s="202"/>
      <c r="H98" s="202"/>
      <c r="I98" s="202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86" t="s">
        <v>9</v>
      </c>
      <c r="B99" s="186"/>
      <c r="C99" s="186"/>
      <c r="D99" s="186"/>
      <c r="E99" s="186"/>
      <c r="F99" s="186"/>
      <c r="G99" s="186"/>
      <c r="H99" s="186"/>
      <c r="I99" s="186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204"/>
      <c r="S100" s="204"/>
      <c r="T100" s="204"/>
      <c r="U100" s="204"/>
    </row>
    <row r="101" spans="1:22" ht="15.75" customHeight="1">
      <c r="A101" s="205" t="s">
        <v>10</v>
      </c>
      <c r="B101" s="205"/>
      <c r="C101" s="205"/>
      <c r="D101" s="205"/>
      <c r="E101" s="205"/>
      <c r="F101" s="205"/>
      <c r="G101" s="205"/>
      <c r="H101" s="205"/>
      <c r="I101" s="205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186" t="s">
        <v>11</v>
      </c>
      <c r="B103" s="186"/>
      <c r="C103" s="206" t="s">
        <v>84</v>
      </c>
      <c r="D103" s="206"/>
      <c r="E103" s="206"/>
      <c r="F103" s="71"/>
      <c r="I103" s="110"/>
    </row>
    <row r="104" spans="1:22" ht="15.75" customHeight="1">
      <c r="A104" s="69"/>
      <c r="B104" s="53"/>
      <c r="C104" s="201" t="s">
        <v>12</v>
      </c>
      <c r="D104" s="201"/>
      <c r="E104" s="201"/>
      <c r="F104" s="27"/>
      <c r="I104" s="108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186" t="s">
        <v>14</v>
      </c>
      <c r="B106" s="186"/>
      <c r="C106" s="207"/>
      <c r="D106" s="207"/>
      <c r="E106" s="207"/>
      <c r="F106" s="72"/>
      <c r="I106" s="110"/>
    </row>
    <row r="107" spans="1:22" ht="15.75" customHeight="1">
      <c r="A107" s="111"/>
      <c r="C107" s="204" t="s">
        <v>12</v>
      </c>
      <c r="D107" s="204"/>
      <c r="E107" s="204"/>
      <c r="F107" s="111"/>
      <c r="I107" s="108" t="s">
        <v>13</v>
      </c>
    </row>
    <row r="108" spans="1:22" ht="15.75" customHeight="1">
      <c r="A108" s="5" t="s">
        <v>15</v>
      </c>
    </row>
    <row r="109" spans="1:22">
      <c r="A109" s="208" t="s">
        <v>16</v>
      </c>
      <c r="B109" s="208"/>
      <c r="C109" s="208"/>
      <c r="D109" s="208"/>
      <c r="E109" s="208"/>
      <c r="F109" s="208"/>
      <c r="G109" s="208"/>
      <c r="H109" s="208"/>
      <c r="I109" s="208"/>
    </row>
    <row r="110" spans="1:22" ht="45" customHeight="1">
      <c r="A110" s="203" t="s">
        <v>17</v>
      </c>
      <c r="B110" s="203"/>
      <c r="C110" s="203"/>
      <c r="D110" s="203"/>
      <c r="E110" s="203"/>
      <c r="F110" s="203"/>
      <c r="G110" s="203"/>
      <c r="H110" s="203"/>
      <c r="I110" s="203"/>
    </row>
    <row r="111" spans="1:22" ht="30" customHeight="1">
      <c r="A111" s="203" t="s">
        <v>18</v>
      </c>
      <c r="B111" s="203"/>
      <c r="C111" s="203"/>
      <c r="D111" s="203"/>
      <c r="E111" s="203"/>
      <c r="F111" s="203"/>
      <c r="G111" s="203"/>
      <c r="H111" s="203"/>
      <c r="I111" s="203"/>
    </row>
    <row r="112" spans="1:22" ht="30" customHeight="1">
      <c r="A112" s="203" t="s">
        <v>22</v>
      </c>
      <c r="B112" s="203"/>
      <c r="C112" s="203"/>
      <c r="D112" s="203"/>
      <c r="E112" s="203"/>
      <c r="F112" s="203"/>
      <c r="G112" s="203"/>
      <c r="H112" s="203"/>
      <c r="I112" s="203"/>
    </row>
    <row r="113" spans="1:9" ht="15" customHeight="1">
      <c r="A113" s="203" t="s">
        <v>21</v>
      </c>
      <c r="B113" s="203"/>
      <c r="C113" s="203"/>
      <c r="D113" s="203"/>
      <c r="E113" s="203"/>
      <c r="F113" s="203"/>
      <c r="G113" s="203"/>
      <c r="H113" s="203"/>
      <c r="I113" s="203"/>
    </row>
  </sheetData>
  <autoFilter ref="I15:I96"/>
  <mergeCells count="31">
    <mergeCell ref="A113:I113"/>
    <mergeCell ref="R100:U100"/>
    <mergeCell ref="A101:I101"/>
    <mergeCell ref="A103:B103"/>
    <mergeCell ref="C103:E103"/>
    <mergeCell ref="C104:E104"/>
    <mergeCell ref="A106:B106"/>
    <mergeCell ref="C106:E106"/>
    <mergeCell ref="C107:E107"/>
    <mergeCell ref="A109:I109"/>
    <mergeCell ref="A110:I110"/>
    <mergeCell ref="A111:I111"/>
    <mergeCell ref="A112:I112"/>
    <mergeCell ref="A99:I99"/>
    <mergeCell ref="A15:I15"/>
    <mergeCell ref="A28:I28"/>
    <mergeCell ref="A44:I44"/>
    <mergeCell ref="A55:I55"/>
    <mergeCell ref="A81:I81"/>
    <mergeCell ref="A85:I85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8"/>
  <sheetViews>
    <sheetView topLeftCell="A84" workbookViewId="0">
      <selection activeCell="J101" sqref="J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202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169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241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29"/>
      <c r="C6" s="129"/>
      <c r="D6" s="129"/>
      <c r="E6" s="129"/>
      <c r="F6" s="129"/>
      <c r="G6" s="129"/>
      <c r="H6" s="129"/>
      <c r="I6" s="33">
        <v>43434</v>
      </c>
    </row>
    <row r="7" spans="1:15" ht="15.75">
      <c r="B7" s="127"/>
      <c r="C7" s="127"/>
      <c r="D7" s="12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 ht="15.75" customHeight="1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hidden="1" customHeight="1">
      <c r="A27" s="30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167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hidden="1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hidden="1" customHeight="1">
      <c r="A30" s="132">
        <v>6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hidden="1" customHeight="1">
      <c r="A33" s="75">
        <v>8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customHeight="1">
      <c r="A37" s="114">
        <v>5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1" si="8">F37/6*G37</f>
        <v>1001.5</v>
      </c>
      <c r="J37" s="25"/>
      <c r="K37" s="10"/>
      <c r="L37" s="10"/>
      <c r="M37" s="10"/>
    </row>
    <row r="38" spans="1:13" ht="15.75" customHeight="1">
      <c r="A38" s="30">
        <v>6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customHeight="1">
      <c r="A40" s="30">
        <v>7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customHeight="1">
      <c r="A42" s="30">
        <v>9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>F42/7.5*G42</f>
        <v>87.111266666666651</v>
      </c>
      <c r="J42" s="25"/>
      <c r="K42" s="10"/>
      <c r="L42" s="10"/>
      <c r="M42" s="10"/>
    </row>
    <row r="43" spans="1:13" ht="15.75" customHeight="1">
      <c r="A43" s="30">
        <v>10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>F43/7.5*G43</f>
        <v>51.990933333333338</v>
      </c>
      <c r="J43" s="25"/>
      <c r="K43" s="10"/>
    </row>
    <row r="44" spans="1:13" ht="15.75" hidden="1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>
        <v>12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13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30">
        <v>14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15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16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83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11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59">
        <v>24</v>
      </c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9">
        <v>12</v>
      </c>
      <c r="B71" s="17" t="s">
        <v>153</v>
      </c>
      <c r="C71" s="30" t="s">
        <v>154</v>
      </c>
      <c r="D71" s="133" t="s">
        <v>62</v>
      </c>
      <c r="E71" s="21">
        <v>2566.6</v>
      </c>
      <c r="F71" s="177">
        <f>SUM(E71)*12</f>
        <v>30799.199999999997</v>
      </c>
      <c r="G71" s="17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90" t="s">
        <v>136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13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14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I83+I82+I71+I61+I43+I42+I41+I40+I38+I37+I26+I18+I17+I16</f>
        <v>38092.961944999995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28.5" customHeight="1">
      <c r="A86" s="59">
        <v>15</v>
      </c>
      <c r="B86" s="124" t="s">
        <v>216</v>
      </c>
      <c r="C86" s="65" t="s">
        <v>237</v>
      </c>
      <c r="D86" s="41"/>
      <c r="E86" s="20"/>
      <c r="F86" s="39"/>
      <c r="G86" s="39">
        <v>24829.08</v>
      </c>
      <c r="H86" s="123">
        <f>G86*F86/1000</f>
        <v>0</v>
      </c>
      <c r="I86" s="134">
        <f>G86*0.01</f>
        <v>248.29080000000002</v>
      </c>
      <c r="J86" s="26"/>
      <c r="L86" s="22"/>
      <c r="M86" s="23"/>
      <c r="N86" s="24"/>
    </row>
    <row r="87" spans="1:14" ht="31.5" customHeight="1">
      <c r="A87" s="59">
        <v>16</v>
      </c>
      <c r="B87" s="58" t="s">
        <v>160</v>
      </c>
      <c r="C87" s="68" t="s">
        <v>36</v>
      </c>
      <c r="D87" s="41"/>
      <c r="E87" s="20"/>
      <c r="F87" s="39"/>
      <c r="G87" s="39">
        <v>3724.37</v>
      </c>
      <c r="H87" s="123">
        <f>G87*F87/1000</f>
        <v>0</v>
      </c>
      <c r="I87" s="134">
        <f>G87*0.01</f>
        <v>37.243699999999997</v>
      </c>
      <c r="J87" s="26"/>
      <c r="L87" s="22"/>
      <c r="M87" s="23"/>
      <c r="N87" s="24"/>
    </row>
    <row r="88" spans="1:14" ht="15" customHeight="1">
      <c r="A88" s="59">
        <v>17</v>
      </c>
      <c r="B88" s="124" t="s">
        <v>173</v>
      </c>
      <c r="C88" s="65" t="s">
        <v>174</v>
      </c>
      <c r="D88" s="41"/>
      <c r="E88" s="20"/>
      <c r="F88" s="39"/>
      <c r="G88" s="39">
        <v>134.12</v>
      </c>
      <c r="H88" s="123"/>
      <c r="I88" s="134">
        <f>G88*40</f>
        <v>5364.8</v>
      </c>
      <c r="J88" s="26"/>
      <c r="L88" s="22"/>
      <c r="M88" s="23"/>
      <c r="N88" s="24"/>
    </row>
    <row r="89" spans="1:14" ht="16.5" customHeight="1">
      <c r="A89" s="59">
        <v>18</v>
      </c>
      <c r="B89" s="124" t="s">
        <v>231</v>
      </c>
      <c r="C89" s="65" t="s">
        <v>232</v>
      </c>
      <c r="D89" s="41"/>
      <c r="E89" s="20"/>
      <c r="F89" s="39"/>
      <c r="G89" s="39">
        <v>45</v>
      </c>
      <c r="H89" s="123"/>
      <c r="I89" s="134">
        <f>G89*25</f>
        <v>1125</v>
      </c>
      <c r="J89" s="26"/>
      <c r="L89" s="22"/>
      <c r="M89" s="23"/>
      <c r="N89" s="24"/>
    </row>
    <row r="90" spans="1:14" ht="27.75" customHeight="1">
      <c r="A90" s="59">
        <v>19</v>
      </c>
      <c r="B90" s="124" t="s">
        <v>242</v>
      </c>
      <c r="C90" s="65" t="s">
        <v>28</v>
      </c>
      <c r="D90" s="41"/>
      <c r="E90" s="20"/>
      <c r="F90" s="39"/>
      <c r="G90" s="40">
        <v>18798.34</v>
      </c>
      <c r="H90" s="123"/>
      <c r="I90" s="134">
        <f>G90*0.007188</f>
        <v>135.12246791999999</v>
      </c>
      <c r="J90" s="26"/>
      <c r="L90" s="22"/>
      <c r="M90" s="23"/>
      <c r="N90" s="24"/>
    </row>
    <row r="91" spans="1:14" ht="18" customHeight="1">
      <c r="A91" s="59">
        <v>20</v>
      </c>
      <c r="B91" s="124" t="s">
        <v>207</v>
      </c>
      <c r="C91" s="65" t="s">
        <v>186</v>
      </c>
      <c r="D91" s="41"/>
      <c r="E91" s="20"/>
      <c r="F91" s="39"/>
      <c r="G91" s="40">
        <v>470</v>
      </c>
      <c r="H91" s="123"/>
      <c r="I91" s="134">
        <f>G91*1</f>
        <v>470</v>
      </c>
      <c r="J91" s="26"/>
      <c r="L91" s="22"/>
      <c r="M91" s="23"/>
      <c r="N91" s="24"/>
    </row>
    <row r="92" spans="1:14" ht="18" customHeight="1">
      <c r="A92" s="59">
        <v>21</v>
      </c>
      <c r="B92" s="58" t="s">
        <v>158</v>
      </c>
      <c r="C92" s="68" t="s">
        <v>86</v>
      </c>
      <c r="D92" s="41"/>
      <c r="E92" s="20"/>
      <c r="F92" s="39"/>
      <c r="G92" s="39">
        <v>197.48</v>
      </c>
      <c r="H92" s="123"/>
      <c r="I92" s="134">
        <f>G92*2</f>
        <v>394.96</v>
      </c>
      <c r="J92" s="26"/>
      <c r="L92" s="22"/>
      <c r="M92" s="23"/>
      <c r="N92" s="24"/>
    </row>
    <row r="93" spans="1:14" ht="18" customHeight="1">
      <c r="A93" s="59">
        <v>22</v>
      </c>
      <c r="B93" s="124" t="s">
        <v>243</v>
      </c>
      <c r="C93" s="65" t="s">
        <v>244</v>
      </c>
      <c r="D93" s="41"/>
      <c r="E93" s="20"/>
      <c r="F93" s="39"/>
      <c r="G93" s="39">
        <v>208</v>
      </c>
      <c r="H93" s="123"/>
      <c r="I93" s="134">
        <f>G93*1</f>
        <v>208</v>
      </c>
      <c r="J93" s="26"/>
      <c r="L93" s="22"/>
      <c r="M93" s="23"/>
      <c r="N93" s="24"/>
    </row>
    <row r="94" spans="1:14" ht="33.75" customHeight="1">
      <c r="A94" s="59">
        <v>23</v>
      </c>
      <c r="B94" s="124" t="s">
        <v>245</v>
      </c>
      <c r="C94" s="65" t="s">
        <v>28</v>
      </c>
      <c r="D94" s="41"/>
      <c r="E94" s="20"/>
      <c r="F94" s="39"/>
      <c r="G94" s="39">
        <v>1655.27</v>
      </c>
      <c r="H94" s="123"/>
      <c r="I94" s="134">
        <f>G94*0.642</f>
        <v>1062.68334</v>
      </c>
      <c r="J94" s="26"/>
      <c r="L94" s="22"/>
      <c r="M94" s="23"/>
      <c r="N94" s="24"/>
    </row>
    <row r="95" spans="1:14" ht="15.75" customHeight="1">
      <c r="A95" s="30"/>
      <c r="B95" s="50" t="s">
        <v>49</v>
      </c>
      <c r="C95" s="46"/>
      <c r="D95" s="57"/>
      <c r="E95" s="46">
        <v>1</v>
      </c>
      <c r="F95" s="46"/>
      <c r="G95" s="34"/>
      <c r="H95" s="46"/>
      <c r="I95" s="34">
        <f>SUM(I86:I94)</f>
        <v>9046.10030792</v>
      </c>
      <c r="J95" s="26"/>
      <c r="L95" s="22"/>
      <c r="M95" s="23"/>
      <c r="N95" s="24"/>
    </row>
    <row r="96" spans="1:14" ht="15.75" customHeight="1">
      <c r="A96" s="30"/>
      <c r="B96" s="52" t="s">
        <v>73</v>
      </c>
      <c r="C96" s="18"/>
      <c r="D96" s="18"/>
      <c r="E96" s="47"/>
      <c r="F96" s="48"/>
      <c r="G96" s="20"/>
      <c r="H96" s="76"/>
      <c r="I96" s="21">
        <v>0</v>
      </c>
      <c r="J96" s="26"/>
      <c r="L96" s="22"/>
      <c r="M96" s="23"/>
      <c r="N96" s="24"/>
    </row>
    <row r="97" spans="1:22" ht="15.75" customHeight="1">
      <c r="A97" s="77"/>
      <c r="B97" s="51" t="s">
        <v>145</v>
      </c>
      <c r="C97" s="37"/>
      <c r="D97" s="37"/>
      <c r="E97" s="37"/>
      <c r="F97" s="37"/>
      <c r="G97" s="49"/>
      <c r="H97" s="38"/>
      <c r="I97" s="34">
        <f>I84+I95</f>
        <v>47139.062252919997</v>
      </c>
      <c r="J97" s="26"/>
      <c r="L97" s="22"/>
      <c r="M97" s="23"/>
      <c r="N97" s="24"/>
    </row>
    <row r="98" spans="1:22" ht="15.75" customHeight="1">
      <c r="A98" s="186" t="s">
        <v>246</v>
      </c>
      <c r="B98" s="186"/>
      <c r="C98" s="186"/>
      <c r="D98" s="186"/>
      <c r="E98" s="186"/>
      <c r="F98" s="186"/>
      <c r="G98" s="186"/>
      <c r="H98" s="186"/>
      <c r="I98" s="186"/>
      <c r="J98" s="26"/>
      <c r="L98" s="22"/>
      <c r="M98" s="23"/>
      <c r="N98" s="24"/>
    </row>
    <row r="99" spans="1:22" ht="15.75" customHeight="1">
      <c r="A99" s="12"/>
      <c r="B99" s="200" t="s">
        <v>247</v>
      </c>
      <c r="C99" s="200"/>
      <c r="D99" s="200"/>
      <c r="E99" s="200"/>
      <c r="F99" s="200"/>
      <c r="G99" s="200"/>
      <c r="H99" s="131"/>
      <c r="I99" s="4"/>
      <c r="J99" s="26"/>
      <c r="L99" s="22"/>
    </row>
    <row r="100" spans="1:22" ht="15.75" customHeight="1">
      <c r="A100" s="69"/>
      <c r="B100" s="201" t="s">
        <v>6</v>
      </c>
      <c r="C100" s="201"/>
      <c r="D100" s="201"/>
      <c r="E100" s="201"/>
      <c r="F100" s="201"/>
      <c r="G100" s="201"/>
      <c r="H100" s="27"/>
      <c r="I100" s="54"/>
    </row>
    <row r="101" spans="1:22" ht="15.75" customHeight="1">
      <c r="A101" s="55"/>
      <c r="B101" s="55"/>
      <c r="C101" s="55"/>
      <c r="D101" s="55"/>
      <c r="E101" s="55"/>
      <c r="F101" s="55"/>
      <c r="G101" s="55"/>
      <c r="H101" s="55"/>
      <c r="I101" s="55"/>
    </row>
    <row r="102" spans="1:22" ht="15.75" customHeight="1">
      <c r="A102" s="202" t="s">
        <v>7</v>
      </c>
      <c r="B102" s="202"/>
      <c r="C102" s="202"/>
      <c r="D102" s="202"/>
      <c r="E102" s="202"/>
      <c r="F102" s="202"/>
      <c r="G102" s="202"/>
      <c r="H102" s="202"/>
      <c r="I102" s="202"/>
    </row>
    <row r="103" spans="1:22" ht="15.75" customHeight="1">
      <c r="A103" s="202" t="s">
        <v>8</v>
      </c>
      <c r="B103" s="202"/>
      <c r="C103" s="202"/>
      <c r="D103" s="202"/>
      <c r="E103" s="202"/>
      <c r="F103" s="202"/>
      <c r="G103" s="202"/>
      <c r="H103" s="202"/>
      <c r="I103" s="202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11"/>
    </row>
    <row r="104" spans="1:22" ht="15.75" customHeight="1">
      <c r="A104" s="186" t="s">
        <v>9</v>
      </c>
      <c r="B104" s="186"/>
      <c r="C104" s="186"/>
      <c r="D104" s="186"/>
      <c r="E104" s="186"/>
      <c r="F104" s="186"/>
      <c r="G104" s="186"/>
      <c r="H104" s="186"/>
      <c r="I104" s="186"/>
      <c r="J104" s="28"/>
      <c r="K104" s="28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2" ht="15.75" customHeight="1">
      <c r="A105" s="14"/>
      <c r="B105" s="53"/>
      <c r="C105" s="53"/>
      <c r="D105" s="53"/>
      <c r="E105" s="53"/>
      <c r="F105" s="53"/>
      <c r="G105" s="53"/>
      <c r="H105" s="53"/>
      <c r="I105" s="53"/>
      <c r="J105" s="6"/>
      <c r="K105" s="6"/>
      <c r="L105" s="6"/>
      <c r="M105" s="6"/>
      <c r="N105" s="6"/>
      <c r="O105" s="6"/>
      <c r="P105" s="6"/>
      <c r="Q105" s="6"/>
      <c r="R105" s="204"/>
      <c r="S105" s="204"/>
      <c r="T105" s="204"/>
      <c r="U105" s="204"/>
    </row>
    <row r="106" spans="1:22" ht="15.75" customHeight="1">
      <c r="A106" s="205" t="s">
        <v>10</v>
      </c>
      <c r="B106" s="205"/>
      <c r="C106" s="205"/>
      <c r="D106" s="205"/>
      <c r="E106" s="205"/>
      <c r="F106" s="205"/>
      <c r="G106" s="205"/>
      <c r="H106" s="205"/>
      <c r="I106" s="205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2" ht="15.75" customHeight="1">
      <c r="A107" s="5"/>
      <c r="B107" s="53"/>
      <c r="C107" s="53"/>
      <c r="D107" s="53"/>
      <c r="E107" s="53"/>
      <c r="F107" s="53"/>
      <c r="G107" s="53"/>
      <c r="H107" s="53"/>
      <c r="I107" s="53"/>
    </row>
    <row r="108" spans="1:22" ht="15.75" customHeight="1">
      <c r="A108" s="186" t="s">
        <v>11</v>
      </c>
      <c r="B108" s="186"/>
      <c r="C108" s="206" t="s">
        <v>84</v>
      </c>
      <c r="D108" s="206"/>
      <c r="E108" s="206"/>
      <c r="F108" s="71"/>
      <c r="I108" s="130"/>
    </row>
    <row r="109" spans="1:22" ht="15.75" customHeight="1">
      <c r="A109" s="69"/>
      <c r="B109" s="53"/>
      <c r="C109" s="201" t="s">
        <v>12</v>
      </c>
      <c r="D109" s="201"/>
      <c r="E109" s="201"/>
      <c r="F109" s="27"/>
      <c r="I109" s="128" t="s">
        <v>13</v>
      </c>
    </row>
    <row r="110" spans="1:22" ht="15.75" customHeight="1">
      <c r="A110" s="28"/>
      <c r="B110" s="53"/>
      <c r="C110" s="15"/>
      <c r="D110" s="15"/>
      <c r="G110" s="15"/>
      <c r="H110" s="15"/>
    </row>
    <row r="111" spans="1:22" ht="15.75" customHeight="1">
      <c r="A111" s="186" t="s">
        <v>14</v>
      </c>
      <c r="B111" s="186"/>
      <c r="C111" s="207"/>
      <c r="D111" s="207"/>
      <c r="E111" s="207"/>
      <c r="F111" s="72"/>
      <c r="I111" s="130"/>
    </row>
    <row r="112" spans="1:22" ht="15.75" customHeight="1">
      <c r="A112" s="126"/>
      <c r="C112" s="204" t="s">
        <v>12</v>
      </c>
      <c r="D112" s="204"/>
      <c r="E112" s="204"/>
      <c r="F112" s="126"/>
      <c r="I112" s="128" t="s">
        <v>13</v>
      </c>
    </row>
    <row r="113" spans="1:9" ht="15.75" customHeight="1">
      <c r="A113" s="5" t="s">
        <v>15</v>
      </c>
    </row>
    <row r="114" spans="1:9">
      <c r="A114" s="208" t="s">
        <v>16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45" customHeight="1">
      <c r="A115" s="203" t="s">
        <v>17</v>
      </c>
      <c r="B115" s="203"/>
      <c r="C115" s="203"/>
      <c r="D115" s="203"/>
      <c r="E115" s="203"/>
      <c r="F115" s="203"/>
      <c r="G115" s="203"/>
      <c r="H115" s="203"/>
      <c r="I115" s="203"/>
    </row>
    <row r="116" spans="1:9" ht="30" customHeight="1">
      <c r="A116" s="203" t="s">
        <v>18</v>
      </c>
      <c r="B116" s="203"/>
      <c r="C116" s="203"/>
      <c r="D116" s="203"/>
      <c r="E116" s="203"/>
      <c r="F116" s="203"/>
      <c r="G116" s="203"/>
      <c r="H116" s="203"/>
      <c r="I116" s="203"/>
    </row>
    <row r="117" spans="1:9" ht="30" customHeight="1">
      <c r="A117" s="203" t="s">
        <v>22</v>
      </c>
      <c r="B117" s="203"/>
      <c r="C117" s="203"/>
      <c r="D117" s="203"/>
      <c r="E117" s="203"/>
      <c r="F117" s="203"/>
      <c r="G117" s="203"/>
      <c r="H117" s="203"/>
      <c r="I117" s="203"/>
    </row>
    <row r="118" spans="1:9" ht="15" customHeight="1">
      <c r="A118" s="203" t="s">
        <v>21</v>
      </c>
      <c r="B118" s="203"/>
      <c r="C118" s="203"/>
      <c r="D118" s="203"/>
      <c r="E118" s="203"/>
      <c r="F118" s="203"/>
      <c r="G118" s="203"/>
      <c r="H118" s="203"/>
      <c r="I118" s="203"/>
    </row>
  </sheetData>
  <autoFilter ref="I15:I101"/>
  <mergeCells count="31">
    <mergeCell ref="A14:I14"/>
    <mergeCell ref="A3:I3"/>
    <mergeCell ref="A4:I4"/>
    <mergeCell ref="A5:I5"/>
    <mergeCell ref="A8:I8"/>
    <mergeCell ref="A10:I10"/>
    <mergeCell ref="A104:I104"/>
    <mergeCell ref="A15:I15"/>
    <mergeCell ref="A28:I28"/>
    <mergeCell ref="A44:I44"/>
    <mergeCell ref="A55:I55"/>
    <mergeCell ref="A81:I81"/>
    <mergeCell ref="A85:I85"/>
    <mergeCell ref="A98:I98"/>
    <mergeCell ref="B99:G99"/>
    <mergeCell ref="B100:G100"/>
    <mergeCell ref="A102:I102"/>
    <mergeCell ref="A103:I103"/>
    <mergeCell ref="A118:I118"/>
    <mergeCell ref="R105:U105"/>
    <mergeCell ref="A106:I106"/>
    <mergeCell ref="A108:B108"/>
    <mergeCell ref="C108:E108"/>
    <mergeCell ref="C109:E109"/>
    <mergeCell ref="A111:B111"/>
    <mergeCell ref="C111:E111"/>
    <mergeCell ref="C112:E112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  <ignoredErrors>
    <ignoredError sqref="I9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opLeftCell="A91"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202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170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248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29"/>
      <c r="C6" s="129"/>
      <c r="D6" s="129"/>
      <c r="E6" s="129"/>
      <c r="F6" s="129"/>
      <c r="G6" s="129"/>
      <c r="H6" s="129"/>
      <c r="I6" s="33">
        <v>43465</v>
      </c>
    </row>
    <row r="7" spans="1:15" ht="15.75">
      <c r="B7" s="127"/>
      <c r="C7" s="127"/>
      <c r="D7" s="12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 ht="15.75" customHeight="1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hidden="1" customHeight="1">
      <c r="A27" s="30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167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hidden="1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hidden="1" customHeight="1">
      <c r="A30" s="132">
        <v>6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hidden="1" customHeight="1">
      <c r="A31" s="30">
        <v>7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hidden="1" customHeight="1">
      <c r="A33" s="75">
        <v>8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customHeight="1">
      <c r="A37" s="114">
        <v>5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1" si="8">F37/6*G37</f>
        <v>1001.5</v>
      </c>
      <c r="J37" s="25"/>
      <c r="K37" s="10"/>
      <c r="L37" s="10"/>
      <c r="M37" s="10"/>
    </row>
    <row r="38" spans="1:13" ht="15.75" customHeight="1">
      <c r="A38" s="30">
        <v>6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customHeight="1">
      <c r="A40" s="30">
        <v>7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customHeight="1">
      <c r="A41" s="30">
        <v>8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customHeight="1">
      <c r="A42" s="30">
        <v>9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>F42/7.5*1.5*G42</f>
        <v>130.66689999999997</v>
      </c>
      <c r="J42" s="25"/>
      <c r="K42" s="10"/>
      <c r="L42" s="10"/>
      <c r="M42" s="10"/>
    </row>
    <row r="43" spans="1:13" ht="15.75" customHeight="1">
      <c r="A43" s="30">
        <v>10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>F43/7.5*1.5*G43</f>
        <v>77.986400000000003</v>
      </c>
      <c r="J43" s="25"/>
      <c r="K43" s="10"/>
    </row>
    <row r="44" spans="1:13" ht="15.75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>
        <v>12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13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30">
        <v>14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15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customHeight="1">
      <c r="A49" s="30">
        <v>11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30">
        <v>20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30">
        <v>21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130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13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12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59">
        <v>24</v>
      </c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9">
        <v>13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30">
        <v>16</v>
      </c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f>G75*0.2</f>
        <v>131.57400000000001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6.5" customHeight="1">
      <c r="A80" s="59">
        <v>14</v>
      </c>
      <c r="B80" s="60" t="s">
        <v>101</v>
      </c>
      <c r="C80" s="19"/>
      <c r="D80" s="17"/>
      <c r="E80" s="95"/>
      <c r="F80" s="16">
        <v>1</v>
      </c>
      <c r="G80" s="16">
        <v>3602</v>
      </c>
      <c r="H80" s="93">
        <f>G80*F80/1000</f>
        <v>3.6019999999999999</v>
      </c>
      <c r="I80" s="16">
        <f>G80</f>
        <v>3602</v>
      </c>
      <c r="J80" s="26"/>
      <c r="L80" s="22"/>
      <c r="M80" s="23"/>
      <c r="N80" s="24"/>
    </row>
    <row r="81" spans="1:14" ht="15.75" customHeight="1">
      <c r="A81" s="190" t="s">
        <v>131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15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16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I83+I82+I80+I71+I61+I49+I43+I42+I41+I40+I38+I37+I26+I18+I17+I16</f>
        <v>46393.863799000006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29.25" customHeight="1">
      <c r="A86" s="59">
        <v>19</v>
      </c>
      <c r="B86" s="124" t="s">
        <v>216</v>
      </c>
      <c r="C86" s="65" t="s">
        <v>237</v>
      </c>
      <c r="D86" s="41"/>
      <c r="E86" s="20"/>
      <c r="F86" s="39">
        <v>1</v>
      </c>
      <c r="G86" s="39">
        <v>24829.08</v>
      </c>
      <c r="H86" s="123">
        <f>G86*F86/1000</f>
        <v>24.829080000000001</v>
      </c>
      <c r="I86" s="134">
        <f>G86*0.01</f>
        <v>248.29080000000002</v>
      </c>
      <c r="J86" s="26"/>
      <c r="L86" s="22"/>
      <c r="M86" s="23"/>
      <c r="N86" s="24"/>
    </row>
    <row r="87" spans="1:14" ht="32.25" customHeight="1">
      <c r="A87" s="59">
        <v>20</v>
      </c>
      <c r="B87" s="124" t="s">
        <v>249</v>
      </c>
      <c r="C87" s="65" t="s">
        <v>28</v>
      </c>
      <c r="D87" s="41"/>
      <c r="E87" s="20"/>
      <c r="F87" s="39"/>
      <c r="G87" s="39">
        <v>1655.27</v>
      </c>
      <c r="H87" s="123"/>
      <c r="I87" s="134">
        <f>G87*0.642</f>
        <v>1062.68334</v>
      </c>
      <c r="J87" s="26"/>
      <c r="L87" s="22"/>
      <c r="M87" s="23"/>
      <c r="N87" s="24"/>
    </row>
    <row r="88" spans="1:14" ht="28.5" customHeight="1">
      <c r="A88" s="59">
        <v>21</v>
      </c>
      <c r="B88" s="124" t="s">
        <v>242</v>
      </c>
      <c r="C88" s="65" t="s">
        <v>28</v>
      </c>
      <c r="D88" s="41"/>
      <c r="E88" s="20"/>
      <c r="F88" s="39"/>
      <c r="G88" s="40">
        <v>18798.34</v>
      </c>
      <c r="H88" s="123"/>
      <c r="I88" s="134">
        <f>G88*0.599*12/1000</f>
        <v>135.12246791999999</v>
      </c>
      <c r="J88" s="26"/>
      <c r="L88" s="22"/>
      <c r="M88" s="23"/>
      <c r="N88" s="24"/>
    </row>
    <row r="89" spans="1:14" ht="15.75" customHeight="1">
      <c r="A89" s="59">
        <v>22</v>
      </c>
      <c r="B89" s="66" t="s">
        <v>181</v>
      </c>
      <c r="C89" s="67" t="s">
        <v>85</v>
      </c>
      <c r="D89" s="41"/>
      <c r="E89" s="20"/>
      <c r="F89" s="39"/>
      <c r="G89" s="39">
        <v>1165.73</v>
      </c>
      <c r="H89" s="123"/>
      <c r="I89" s="134">
        <f>G89*1/3</f>
        <v>388.57666666666665</v>
      </c>
      <c r="J89" s="26"/>
      <c r="L89" s="22"/>
      <c r="M89" s="23"/>
      <c r="N89" s="24"/>
    </row>
    <row r="90" spans="1:14" ht="15.75" customHeight="1">
      <c r="A90" s="59">
        <v>23</v>
      </c>
      <c r="B90" s="124" t="s">
        <v>250</v>
      </c>
      <c r="C90" s="178" t="s">
        <v>251</v>
      </c>
      <c r="D90" s="41"/>
      <c r="E90" s="20"/>
      <c r="F90" s="39"/>
      <c r="G90" s="39">
        <v>160.33000000000001</v>
      </c>
      <c r="H90" s="123"/>
      <c r="I90" s="134">
        <f>G90*12</f>
        <v>1923.96</v>
      </c>
      <c r="J90" s="26"/>
      <c r="L90" s="22"/>
      <c r="M90" s="23"/>
      <c r="N90" s="24"/>
    </row>
    <row r="91" spans="1:14" ht="32.25" customHeight="1">
      <c r="A91" s="59">
        <v>24</v>
      </c>
      <c r="B91" s="124" t="s">
        <v>252</v>
      </c>
      <c r="C91" s="65" t="s">
        <v>253</v>
      </c>
      <c r="D91" s="41"/>
      <c r="E91" s="20"/>
      <c r="F91" s="39"/>
      <c r="G91" s="39">
        <v>6312</v>
      </c>
      <c r="H91" s="123"/>
      <c r="I91" s="134">
        <f>G91*1</f>
        <v>6312</v>
      </c>
      <c r="J91" s="26"/>
      <c r="L91" s="22"/>
      <c r="M91" s="23"/>
      <c r="N91" s="24"/>
    </row>
    <row r="92" spans="1:14" ht="15.75" customHeight="1">
      <c r="A92" s="30"/>
      <c r="B92" s="50" t="s">
        <v>49</v>
      </c>
      <c r="C92" s="46"/>
      <c r="D92" s="57"/>
      <c r="E92" s="46">
        <v>1</v>
      </c>
      <c r="F92" s="46"/>
      <c r="G92" s="34"/>
      <c r="H92" s="46"/>
      <c r="I92" s="34">
        <f>SUM(I86:I91)</f>
        <v>10070.633274586668</v>
      </c>
      <c r="J92" s="26"/>
      <c r="L92" s="22"/>
      <c r="M92" s="23"/>
      <c r="N92" s="24"/>
    </row>
    <row r="93" spans="1:14" ht="15.75" customHeight="1">
      <c r="A93" s="30"/>
      <c r="B93" s="52" t="s">
        <v>73</v>
      </c>
      <c r="C93" s="18"/>
      <c r="D93" s="18"/>
      <c r="E93" s="47"/>
      <c r="F93" s="48"/>
      <c r="G93" s="20"/>
      <c r="H93" s="76"/>
      <c r="I93" s="21">
        <v>0</v>
      </c>
      <c r="J93" s="26"/>
      <c r="L93" s="22"/>
      <c r="M93" s="23"/>
      <c r="N93" s="24"/>
    </row>
    <row r="94" spans="1:14" ht="15.75" customHeight="1">
      <c r="A94" s="77"/>
      <c r="B94" s="51" t="s">
        <v>145</v>
      </c>
      <c r="C94" s="37"/>
      <c r="D94" s="37"/>
      <c r="E94" s="37"/>
      <c r="F94" s="37"/>
      <c r="G94" s="49"/>
      <c r="H94" s="38"/>
      <c r="I94" s="34">
        <f>I84+I92</f>
        <v>56464.497073586674</v>
      </c>
      <c r="J94" s="26"/>
      <c r="L94" s="22"/>
      <c r="M94" s="23"/>
      <c r="N94" s="24"/>
    </row>
    <row r="95" spans="1:14" ht="15.75" customHeight="1">
      <c r="A95" s="186" t="s">
        <v>254</v>
      </c>
      <c r="B95" s="186"/>
      <c r="C95" s="186"/>
      <c r="D95" s="186"/>
      <c r="E95" s="186"/>
      <c r="F95" s="186"/>
      <c r="G95" s="186"/>
      <c r="H95" s="186"/>
      <c r="I95" s="186"/>
      <c r="J95" s="26"/>
      <c r="L95" s="22"/>
      <c r="M95" s="23"/>
      <c r="N95" s="24"/>
    </row>
    <row r="96" spans="1:14" ht="15.75" customHeight="1">
      <c r="A96" s="12"/>
      <c r="B96" s="200" t="s">
        <v>255</v>
      </c>
      <c r="C96" s="200"/>
      <c r="D96" s="200"/>
      <c r="E96" s="200"/>
      <c r="F96" s="200"/>
      <c r="G96" s="200"/>
      <c r="H96" s="131"/>
      <c r="I96" s="4"/>
      <c r="J96" s="26"/>
      <c r="L96" s="22"/>
    </row>
    <row r="97" spans="1:22" ht="15.75" customHeight="1">
      <c r="A97" s="69"/>
      <c r="B97" s="201" t="s">
        <v>6</v>
      </c>
      <c r="C97" s="201"/>
      <c r="D97" s="201"/>
      <c r="E97" s="201"/>
      <c r="F97" s="201"/>
      <c r="G97" s="201"/>
      <c r="H97" s="27"/>
      <c r="I97" s="54"/>
    </row>
    <row r="98" spans="1:22" ht="15.75" customHeight="1">
      <c r="A98" s="55"/>
      <c r="B98" s="55"/>
      <c r="C98" s="55"/>
      <c r="D98" s="55"/>
      <c r="E98" s="55"/>
      <c r="F98" s="55"/>
      <c r="G98" s="55"/>
      <c r="H98" s="55"/>
      <c r="I98" s="55"/>
    </row>
    <row r="99" spans="1:22" ht="15.75" customHeight="1">
      <c r="A99" s="202" t="s">
        <v>7</v>
      </c>
      <c r="B99" s="202"/>
      <c r="C99" s="202"/>
      <c r="D99" s="202"/>
      <c r="E99" s="202"/>
      <c r="F99" s="202"/>
      <c r="G99" s="202"/>
      <c r="H99" s="202"/>
      <c r="I99" s="202"/>
    </row>
    <row r="100" spans="1:22" ht="15.75" customHeight="1">
      <c r="A100" s="202" t="s">
        <v>8</v>
      </c>
      <c r="B100" s="202"/>
      <c r="C100" s="202"/>
      <c r="D100" s="202"/>
      <c r="E100" s="202"/>
      <c r="F100" s="202"/>
      <c r="G100" s="202"/>
      <c r="H100" s="202"/>
      <c r="I100" s="202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1"/>
    </row>
    <row r="101" spans="1:22" ht="15.75" customHeight="1">
      <c r="A101" s="186" t="s">
        <v>9</v>
      </c>
      <c r="B101" s="186"/>
      <c r="C101" s="186"/>
      <c r="D101" s="186"/>
      <c r="E101" s="186"/>
      <c r="F101" s="186"/>
      <c r="G101" s="186"/>
      <c r="H101" s="186"/>
      <c r="I101" s="186"/>
      <c r="J101" s="28"/>
      <c r="K101" s="28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 customHeight="1">
      <c r="A102" s="14"/>
      <c r="B102" s="53"/>
      <c r="C102" s="53"/>
      <c r="D102" s="53"/>
      <c r="E102" s="53"/>
      <c r="F102" s="53"/>
      <c r="G102" s="53"/>
      <c r="H102" s="53"/>
      <c r="I102" s="53"/>
      <c r="J102" s="6"/>
      <c r="K102" s="6"/>
      <c r="L102" s="6"/>
      <c r="M102" s="6"/>
      <c r="N102" s="6"/>
      <c r="O102" s="6"/>
      <c r="P102" s="6"/>
      <c r="Q102" s="6"/>
      <c r="R102" s="204"/>
      <c r="S102" s="204"/>
      <c r="T102" s="204"/>
      <c r="U102" s="204"/>
    </row>
    <row r="103" spans="1:22" ht="15.75" customHeight="1">
      <c r="A103" s="205" t="s">
        <v>10</v>
      </c>
      <c r="B103" s="205"/>
      <c r="C103" s="205"/>
      <c r="D103" s="205"/>
      <c r="E103" s="205"/>
      <c r="F103" s="205"/>
      <c r="G103" s="205"/>
      <c r="H103" s="205"/>
      <c r="I103" s="205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2" ht="15.75" customHeight="1">
      <c r="A104" s="5"/>
      <c r="B104" s="53"/>
      <c r="C104" s="53"/>
      <c r="D104" s="53"/>
      <c r="E104" s="53"/>
      <c r="F104" s="53"/>
      <c r="G104" s="53"/>
      <c r="H104" s="53"/>
      <c r="I104" s="53"/>
    </row>
    <row r="105" spans="1:22" ht="15.75" customHeight="1">
      <c r="A105" s="186" t="s">
        <v>11</v>
      </c>
      <c r="B105" s="186"/>
      <c r="C105" s="206" t="s">
        <v>84</v>
      </c>
      <c r="D105" s="206"/>
      <c r="E105" s="206"/>
      <c r="F105" s="71"/>
      <c r="I105" s="130"/>
    </row>
    <row r="106" spans="1:22" ht="15.75" customHeight="1">
      <c r="A106" s="69"/>
      <c r="B106" s="53"/>
      <c r="C106" s="201" t="s">
        <v>12</v>
      </c>
      <c r="D106" s="201"/>
      <c r="E106" s="201"/>
      <c r="F106" s="27"/>
      <c r="I106" s="128" t="s">
        <v>13</v>
      </c>
    </row>
    <row r="107" spans="1:22" ht="15.75" customHeight="1">
      <c r="A107" s="28"/>
      <c r="B107" s="53"/>
      <c r="C107" s="15"/>
      <c r="D107" s="15"/>
      <c r="G107" s="15"/>
      <c r="H107" s="15"/>
    </row>
    <row r="108" spans="1:22" ht="15.75" customHeight="1">
      <c r="A108" s="186" t="s">
        <v>14</v>
      </c>
      <c r="B108" s="186"/>
      <c r="C108" s="207"/>
      <c r="D108" s="207"/>
      <c r="E108" s="207"/>
      <c r="F108" s="72"/>
      <c r="I108" s="130"/>
    </row>
    <row r="109" spans="1:22" ht="15.75" customHeight="1">
      <c r="A109" s="126"/>
      <c r="C109" s="204" t="s">
        <v>12</v>
      </c>
      <c r="D109" s="204"/>
      <c r="E109" s="204"/>
      <c r="F109" s="126"/>
      <c r="I109" s="128" t="s">
        <v>13</v>
      </c>
    </row>
    <row r="110" spans="1:22" ht="15.75" customHeight="1">
      <c r="A110" s="5" t="s">
        <v>15</v>
      </c>
    </row>
    <row r="111" spans="1:22">
      <c r="A111" s="208" t="s">
        <v>16</v>
      </c>
      <c r="B111" s="208"/>
      <c r="C111" s="208"/>
      <c r="D111" s="208"/>
      <c r="E111" s="208"/>
      <c r="F111" s="208"/>
      <c r="G111" s="208"/>
      <c r="H111" s="208"/>
      <c r="I111" s="208"/>
    </row>
    <row r="112" spans="1:22" ht="45" customHeight="1">
      <c r="A112" s="203" t="s">
        <v>17</v>
      </c>
      <c r="B112" s="203"/>
      <c r="C112" s="203"/>
      <c r="D112" s="203"/>
      <c r="E112" s="203"/>
      <c r="F112" s="203"/>
      <c r="G112" s="203"/>
      <c r="H112" s="203"/>
      <c r="I112" s="203"/>
    </row>
    <row r="113" spans="1:9" ht="30" customHeight="1">
      <c r="A113" s="203" t="s">
        <v>18</v>
      </c>
      <c r="B113" s="203"/>
      <c r="C113" s="203"/>
      <c r="D113" s="203"/>
      <c r="E113" s="203"/>
      <c r="F113" s="203"/>
      <c r="G113" s="203"/>
      <c r="H113" s="203"/>
      <c r="I113" s="203"/>
    </row>
    <row r="114" spans="1:9" ht="30" customHeight="1">
      <c r="A114" s="203" t="s">
        <v>22</v>
      </c>
      <c r="B114" s="203"/>
      <c r="C114" s="203"/>
      <c r="D114" s="203"/>
      <c r="E114" s="203"/>
      <c r="F114" s="203"/>
      <c r="G114" s="203"/>
      <c r="H114" s="203"/>
      <c r="I114" s="203"/>
    </row>
    <row r="115" spans="1:9" ht="15" customHeight="1">
      <c r="A115" s="203" t="s">
        <v>21</v>
      </c>
      <c r="B115" s="203"/>
      <c r="C115" s="203"/>
      <c r="D115" s="203"/>
      <c r="E115" s="203"/>
      <c r="F115" s="203"/>
      <c r="G115" s="203"/>
      <c r="H115" s="203"/>
      <c r="I115" s="203"/>
    </row>
  </sheetData>
  <autoFilter ref="I15:I98"/>
  <mergeCells count="31">
    <mergeCell ref="A14:I14"/>
    <mergeCell ref="A3:I3"/>
    <mergeCell ref="A4:I4"/>
    <mergeCell ref="A5:I5"/>
    <mergeCell ref="A8:I8"/>
    <mergeCell ref="A10:I10"/>
    <mergeCell ref="A101:I101"/>
    <mergeCell ref="A15:I15"/>
    <mergeCell ref="A28:I28"/>
    <mergeCell ref="A44:I44"/>
    <mergeCell ref="A55:I55"/>
    <mergeCell ref="A81:I81"/>
    <mergeCell ref="A85:I85"/>
    <mergeCell ref="A95:I95"/>
    <mergeCell ref="B96:G96"/>
    <mergeCell ref="B97:G97"/>
    <mergeCell ref="A99:I99"/>
    <mergeCell ref="A100:I100"/>
    <mergeCell ref="A115:I115"/>
    <mergeCell ref="R102:U102"/>
    <mergeCell ref="A103:I103"/>
    <mergeCell ref="A105:B105"/>
    <mergeCell ref="C105:E105"/>
    <mergeCell ref="C106:E106"/>
    <mergeCell ref="A108:B108"/>
    <mergeCell ref="C108:E108"/>
    <mergeCell ref="C109:E109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0"/>
  <sheetViews>
    <sheetView topLeftCell="A15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79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133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172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40"/>
      <c r="C6" s="140"/>
      <c r="D6" s="140"/>
      <c r="E6" s="140"/>
      <c r="F6" s="140"/>
      <c r="G6" s="140"/>
      <c r="H6" s="140"/>
      <c r="I6" s="33">
        <v>43159</v>
      </c>
    </row>
    <row r="7" spans="1:15" ht="15.75">
      <c r="B7" s="137"/>
      <c r="C7" s="137"/>
      <c r="D7" s="13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146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1">SUM(E22/100)</f>
        <v>3.57</v>
      </c>
      <c r="G22" s="80">
        <v>353.14</v>
      </c>
      <c r="H22" s="81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1"/>
        <v>0.38640000000000002</v>
      </c>
      <c r="G23" s="80">
        <v>58.08</v>
      </c>
      <c r="H23" s="81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1"/>
        <v>0.15</v>
      </c>
      <c r="G24" s="80">
        <v>511.12</v>
      </c>
      <c r="H24" s="81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1"/>
        <v>6.3799999999999996E-2</v>
      </c>
      <c r="G25" s="80">
        <v>683.05</v>
      </c>
      <c r="H25" s="81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5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2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75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2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167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hidden="1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hidden="1" customHeight="1">
      <c r="A30" s="118"/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3">SUM(F30*G30/1000)</f>
        <v>1.6222722879999998</v>
      </c>
      <c r="I30" s="115">
        <v>0</v>
      </c>
      <c r="J30" s="25"/>
      <c r="K30" s="10"/>
      <c r="L30" s="10"/>
      <c r="M30" s="10"/>
    </row>
    <row r="31" spans="1:13" ht="31.5" hidden="1" customHeight="1">
      <c r="A31" s="30"/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5"/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5"/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4">SUM(F37*G37/1000)</f>
        <v>6.0090000000000003</v>
      </c>
      <c r="I37" s="115">
        <f t="shared" ref="I37:I41" si="5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5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4"/>
        <v>0.65333449999999993</v>
      </c>
      <c r="I42" s="16">
        <f>F42/7.5*G42</f>
        <v>87.111266666666651</v>
      </c>
      <c r="J42" s="25"/>
      <c r="K42" s="10"/>
      <c r="L42" s="10"/>
      <c r="M42" s="10"/>
    </row>
    <row r="43" spans="1:13" ht="15.75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4"/>
        <v>0.389932</v>
      </c>
      <c r="I43" s="16">
        <f>F43/7.5*G43</f>
        <v>51.990933333333338</v>
      </c>
      <c r="J43" s="25"/>
      <c r="K43" s="10"/>
    </row>
    <row r="44" spans="1:13" ht="15.75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/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15.75" hidden="1" customHeight="1">
      <c r="A46" s="74"/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6"/>
        <v>4.5114615755999994</v>
      </c>
      <c r="I46" s="16">
        <f t="shared" si="7"/>
        <v>2255.7307877999997</v>
      </c>
      <c r="J46" s="26"/>
    </row>
    <row r="47" spans="1:13" ht="15.75" hidden="1" customHeight="1">
      <c r="A47" s="73"/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6"/>
        <v>3.2221747648000005</v>
      </c>
      <c r="I47" s="16">
        <f t="shared" si="7"/>
        <v>1611.0873824000003</v>
      </c>
      <c r="J47" s="26"/>
    </row>
    <row r="48" spans="1:13" ht="15.75" hidden="1" customHeight="1">
      <c r="A48" s="30"/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6"/>
        <v>0.16393723199999999</v>
      </c>
      <c r="I48" s="16">
        <f>F48/2*G48</f>
        <v>81.968615999999997</v>
      </c>
      <c r="J48" s="26"/>
    </row>
    <row r="49" spans="1:14" ht="15.75" customHeight="1">
      <c r="A49" s="30">
        <v>12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5.75" hidden="1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15.75" hidden="1" customHeight="1">
      <c r="A53" s="59">
        <v>13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59">
        <v>14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130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customHeight="1">
      <c r="A57" s="59">
        <v>13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G57*0.5</f>
        <v>1215.5899999999999</v>
      </c>
      <c r="J57" s="26"/>
      <c r="L57" s="22"/>
      <c r="M57" s="23"/>
      <c r="N57" s="24"/>
    </row>
    <row r="58" spans="1:14" ht="15.75" customHeight="1">
      <c r="A58" s="59">
        <v>14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9">SUM(F58*G58/1000)</f>
        <v>3.1640999999999999</v>
      </c>
      <c r="I58" s="16">
        <f>G58*1.5</f>
        <v>2373.0749999999998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15</v>
      </c>
      <c r="B61" s="63" t="s">
        <v>150</v>
      </c>
      <c r="C61" s="56" t="s">
        <v>151</v>
      </c>
      <c r="D61" s="63" t="s">
        <v>152</v>
      </c>
      <c r="E61" s="122">
        <v>48</v>
      </c>
      <c r="F61" s="35">
        <f>SUM(E61)*12</f>
        <v>576</v>
      </c>
      <c r="G61" s="39">
        <v>1.2</v>
      </c>
      <c r="H61" s="121">
        <f t="shared" ref="H61" si="11">SUM(F61*G61/1000)</f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/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2">SUM(F63*G63/1000)</f>
        <v>1.4584000000000001</v>
      </c>
      <c r="I63" s="16">
        <v>0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/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2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9"/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2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9"/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2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9"/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2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9"/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3">E69</f>
        <v>9.6</v>
      </c>
      <c r="G69" s="16">
        <v>46.04</v>
      </c>
      <c r="H69" s="93">
        <f t="shared" si="12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3"/>
        <v>3</v>
      </c>
      <c r="G70" s="16">
        <v>65.42</v>
      </c>
      <c r="H70" s="93">
        <f t="shared" si="12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>
        <v>16</v>
      </c>
      <c r="B71" s="17" t="s">
        <v>153</v>
      </c>
      <c r="C71" s="30" t="s">
        <v>154</v>
      </c>
      <c r="D71" s="87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2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4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customHeight="1">
      <c r="A75" s="30">
        <v>17</v>
      </c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5">SUM(F75*G75/1000)</f>
        <v>0.19736099999999998</v>
      </c>
      <c r="I75" s="16">
        <f>G75*0.1</f>
        <v>65.787000000000006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4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customHeight="1">
      <c r="A78" s="59">
        <v>18</v>
      </c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6">SUM(F78*G78/1000)</f>
        <v>3.6190900000000004</v>
      </c>
      <c r="I78" s="16">
        <f>G78*0.12</f>
        <v>434.29079999999999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90" t="s">
        <v>131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19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20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I16+I17+I18+I26+I27+I37+I38+I40+I41+I42+I43+I49+I57+I58+I61+I71+I75+I78+I82+I83</f>
        <v>53099.225498999993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15.75" customHeight="1">
      <c r="A86" s="59">
        <v>21</v>
      </c>
      <c r="B86" s="124" t="s">
        <v>173</v>
      </c>
      <c r="C86" s="65" t="s">
        <v>174</v>
      </c>
      <c r="D86" s="41"/>
      <c r="E86" s="20"/>
      <c r="F86" s="39">
        <v>17</v>
      </c>
      <c r="G86" s="39">
        <v>134.12</v>
      </c>
      <c r="H86" s="123">
        <f>G86*F86/1000</f>
        <v>2.2800400000000001</v>
      </c>
      <c r="I86" s="16">
        <f>G86*(7+10)</f>
        <v>2280.04</v>
      </c>
      <c r="J86" s="26"/>
      <c r="L86" s="22"/>
      <c r="M86" s="23"/>
      <c r="N86" s="24"/>
    </row>
    <row r="87" spans="1:14" ht="31.5" customHeight="1">
      <c r="A87" s="59">
        <v>22</v>
      </c>
      <c r="B87" s="58" t="s">
        <v>162</v>
      </c>
      <c r="C87" s="68" t="s">
        <v>127</v>
      </c>
      <c r="D87" s="41"/>
      <c r="E87" s="20"/>
      <c r="F87" s="39">
        <v>2</v>
      </c>
      <c r="G87" s="39">
        <v>613.44000000000005</v>
      </c>
      <c r="H87" s="123">
        <f t="shared" ref="H87:H96" si="17">G87*F87/1000</f>
        <v>1.2268800000000002</v>
      </c>
      <c r="I87" s="16">
        <f>G87*2</f>
        <v>1226.8800000000001</v>
      </c>
      <c r="J87" s="26"/>
      <c r="L87" s="22"/>
      <c r="M87" s="23"/>
      <c r="N87" s="24"/>
    </row>
    <row r="88" spans="1:14" ht="15.75" customHeight="1">
      <c r="A88" s="59">
        <v>23</v>
      </c>
      <c r="B88" s="58" t="s">
        <v>175</v>
      </c>
      <c r="C88" s="68" t="s">
        <v>127</v>
      </c>
      <c r="D88" s="52"/>
      <c r="E88" s="39"/>
      <c r="F88" s="39">
        <v>1</v>
      </c>
      <c r="G88" s="40">
        <v>784.36</v>
      </c>
      <c r="H88" s="123">
        <f t="shared" si="17"/>
        <v>0.78436000000000006</v>
      </c>
      <c r="I88" s="16">
        <f>G88</f>
        <v>784.36</v>
      </c>
      <c r="J88" s="26"/>
      <c r="L88" s="22"/>
      <c r="M88" s="23"/>
      <c r="N88" s="24"/>
    </row>
    <row r="89" spans="1:14" ht="31.5" customHeight="1">
      <c r="A89" s="59">
        <v>24</v>
      </c>
      <c r="B89" s="124" t="s">
        <v>176</v>
      </c>
      <c r="C89" s="65" t="s">
        <v>127</v>
      </c>
      <c r="D89" s="52"/>
      <c r="E89" s="39"/>
      <c r="F89" s="39">
        <v>2</v>
      </c>
      <c r="G89" s="40">
        <v>4190.68</v>
      </c>
      <c r="H89" s="123">
        <f t="shared" si="17"/>
        <v>8.3813600000000008</v>
      </c>
      <c r="I89" s="16">
        <f>G89*2</f>
        <v>8381.36</v>
      </c>
      <c r="J89" s="26"/>
      <c r="L89" s="22"/>
      <c r="M89" s="23"/>
      <c r="N89" s="24"/>
    </row>
    <row r="90" spans="1:14" ht="31.5" customHeight="1">
      <c r="A90" s="59">
        <v>25</v>
      </c>
      <c r="B90" s="58" t="s">
        <v>165</v>
      </c>
      <c r="C90" s="68" t="s">
        <v>76</v>
      </c>
      <c r="D90" s="41"/>
      <c r="E90" s="20"/>
      <c r="F90" s="39">
        <v>28</v>
      </c>
      <c r="G90" s="39">
        <v>1272</v>
      </c>
      <c r="H90" s="123">
        <f t="shared" si="17"/>
        <v>35.616</v>
      </c>
      <c r="I90" s="16">
        <f>G90*28</f>
        <v>35616</v>
      </c>
      <c r="J90" s="26"/>
      <c r="L90" s="22"/>
      <c r="M90" s="23"/>
      <c r="N90" s="24"/>
    </row>
    <row r="91" spans="1:14" ht="15.75" customHeight="1">
      <c r="A91" s="59">
        <v>26</v>
      </c>
      <c r="B91" s="66" t="s">
        <v>181</v>
      </c>
      <c r="C91" s="67" t="s">
        <v>85</v>
      </c>
      <c r="D91" s="147"/>
      <c r="E91" s="39"/>
      <c r="F91" s="39">
        <v>2</v>
      </c>
      <c r="G91" s="39">
        <v>1165.73</v>
      </c>
      <c r="H91" s="123">
        <f t="shared" si="17"/>
        <v>2.3314599999999999</v>
      </c>
      <c r="I91" s="16">
        <f>G91</f>
        <v>1165.73</v>
      </c>
      <c r="J91" s="26"/>
      <c r="L91" s="22"/>
      <c r="M91" s="23"/>
      <c r="N91" s="24"/>
    </row>
    <row r="92" spans="1:14" ht="15.75" customHeight="1">
      <c r="A92" s="59">
        <v>27</v>
      </c>
      <c r="B92" s="58" t="s">
        <v>158</v>
      </c>
      <c r="C92" s="68" t="s">
        <v>86</v>
      </c>
      <c r="D92" s="41"/>
      <c r="E92" s="20"/>
      <c r="F92" s="39">
        <v>3</v>
      </c>
      <c r="G92" s="39">
        <v>197.48</v>
      </c>
      <c r="H92" s="123">
        <f t="shared" si="17"/>
        <v>0.59243999999999997</v>
      </c>
      <c r="I92" s="16">
        <f>G92*3</f>
        <v>592.43999999999994</v>
      </c>
      <c r="J92" s="26"/>
      <c r="L92" s="22"/>
      <c r="M92" s="23"/>
      <c r="N92" s="24"/>
    </row>
    <row r="93" spans="1:14" ht="15.75" customHeight="1">
      <c r="A93" s="59">
        <v>28</v>
      </c>
      <c r="B93" s="144" t="s">
        <v>177</v>
      </c>
      <c r="C93" s="145" t="s">
        <v>109</v>
      </c>
      <c r="D93" s="41"/>
      <c r="E93" s="20"/>
      <c r="F93" s="39">
        <v>0.5</v>
      </c>
      <c r="G93" s="39">
        <v>1794</v>
      </c>
      <c r="H93" s="123">
        <f t="shared" si="17"/>
        <v>0.89700000000000002</v>
      </c>
      <c r="I93" s="16">
        <f>G93*0.5</f>
        <v>897</v>
      </c>
      <c r="J93" s="26"/>
      <c r="L93" s="22"/>
      <c r="M93" s="23"/>
      <c r="N93" s="24"/>
    </row>
    <row r="94" spans="1:14" ht="15.75" customHeight="1">
      <c r="A94" s="59">
        <v>29</v>
      </c>
      <c r="B94" s="146" t="s">
        <v>178</v>
      </c>
      <c r="C94" s="30" t="s">
        <v>87</v>
      </c>
      <c r="D94" s="147"/>
      <c r="E94" s="39"/>
      <c r="F94" s="39">
        <f>4/10</f>
        <v>0.4</v>
      </c>
      <c r="G94" s="39">
        <v>396.32</v>
      </c>
      <c r="H94" s="123">
        <f t="shared" si="17"/>
        <v>0.15852800000000003</v>
      </c>
      <c r="I94" s="16">
        <f>G94*0.4</f>
        <v>158.52800000000002</v>
      </c>
      <c r="J94" s="26"/>
      <c r="L94" s="22"/>
      <c r="M94" s="23"/>
      <c r="N94" s="24"/>
    </row>
    <row r="95" spans="1:14" ht="15.75" customHeight="1">
      <c r="A95" s="59">
        <v>30</v>
      </c>
      <c r="B95" s="58" t="s">
        <v>179</v>
      </c>
      <c r="C95" s="68" t="s">
        <v>50</v>
      </c>
      <c r="D95" s="147"/>
      <c r="E95" s="39"/>
      <c r="F95" s="39">
        <f>4/100</f>
        <v>0.04</v>
      </c>
      <c r="G95" s="39">
        <v>53163.519999999997</v>
      </c>
      <c r="H95" s="123">
        <f t="shared" si="17"/>
        <v>2.1265407999999999</v>
      </c>
      <c r="I95" s="16">
        <f>G95*0.04</f>
        <v>2126.5407999999998</v>
      </c>
      <c r="J95" s="26"/>
      <c r="L95" s="22"/>
      <c r="M95" s="23"/>
      <c r="N95" s="24"/>
    </row>
    <row r="96" spans="1:14" ht="15.75" customHeight="1">
      <c r="A96" s="59">
        <v>31</v>
      </c>
      <c r="B96" s="124" t="s">
        <v>180</v>
      </c>
      <c r="C96" s="65" t="s">
        <v>52</v>
      </c>
      <c r="D96" s="41"/>
      <c r="E96" s="20"/>
      <c r="F96" s="39">
        <v>4</v>
      </c>
      <c r="G96" s="39">
        <v>520.26</v>
      </c>
      <c r="H96" s="123">
        <f t="shared" si="17"/>
        <v>2.0810399999999998</v>
      </c>
      <c r="I96" s="16">
        <f>G96*4</f>
        <v>2081.04</v>
      </c>
      <c r="J96" s="26"/>
      <c r="L96" s="22"/>
      <c r="M96" s="23"/>
      <c r="N96" s="24"/>
    </row>
    <row r="97" spans="1:22" ht="15.75" customHeight="1">
      <c r="A97" s="30"/>
      <c r="B97" s="50" t="s">
        <v>49</v>
      </c>
      <c r="C97" s="46"/>
      <c r="D97" s="57"/>
      <c r="E97" s="46">
        <v>1</v>
      </c>
      <c r="F97" s="46"/>
      <c r="G97" s="34"/>
      <c r="H97" s="46"/>
      <c r="I97" s="34">
        <f>SUM(I86:I96)</f>
        <v>55309.918800000007</v>
      </c>
      <c r="J97" s="26"/>
      <c r="L97" s="22"/>
      <c r="M97" s="23"/>
      <c r="N97" s="24"/>
    </row>
    <row r="98" spans="1:22" ht="15.75" customHeight="1">
      <c r="A98" s="30"/>
      <c r="B98" s="52" t="s">
        <v>73</v>
      </c>
      <c r="C98" s="18"/>
      <c r="D98" s="18"/>
      <c r="E98" s="47"/>
      <c r="F98" s="48"/>
      <c r="G98" s="20"/>
      <c r="H98" s="76"/>
      <c r="I98" s="21">
        <v>0</v>
      </c>
      <c r="J98" s="26"/>
      <c r="L98" s="22"/>
      <c r="M98" s="23"/>
      <c r="N98" s="24"/>
    </row>
    <row r="99" spans="1:22" ht="15.75" customHeight="1">
      <c r="A99" s="77"/>
      <c r="B99" s="51" t="s">
        <v>145</v>
      </c>
      <c r="C99" s="37"/>
      <c r="D99" s="37"/>
      <c r="E99" s="37"/>
      <c r="F99" s="37"/>
      <c r="G99" s="49"/>
      <c r="H99" s="38"/>
      <c r="I99" s="34">
        <f>I84+I97</f>
        <v>108409.14429900001</v>
      </c>
      <c r="J99" s="26"/>
      <c r="L99" s="22"/>
      <c r="M99" s="23"/>
      <c r="N99" s="24"/>
    </row>
    <row r="100" spans="1:22" ht="15.75" customHeight="1">
      <c r="A100" s="186" t="s">
        <v>209</v>
      </c>
      <c r="B100" s="186"/>
      <c r="C100" s="186"/>
      <c r="D100" s="186"/>
      <c r="E100" s="186"/>
      <c r="F100" s="186"/>
      <c r="G100" s="186"/>
      <c r="H100" s="186"/>
      <c r="I100" s="186"/>
      <c r="J100" s="26"/>
      <c r="L100" s="22"/>
      <c r="M100" s="23"/>
      <c r="N100" s="24"/>
    </row>
    <row r="101" spans="1:22" ht="15.75" customHeight="1">
      <c r="A101" s="12"/>
      <c r="B101" s="200" t="s">
        <v>210</v>
      </c>
      <c r="C101" s="200"/>
      <c r="D101" s="200"/>
      <c r="E101" s="200"/>
      <c r="F101" s="200"/>
      <c r="G101" s="200"/>
      <c r="H101" s="135"/>
      <c r="I101" s="4"/>
      <c r="J101" s="26"/>
      <c r="L101" s="22"/>
    </row>
    <row r="102" spans="1:22" ht="15.75" customHeight="1">
      <c r="A102" s="69"/>
      <c r="B102" s="201" t="s">
        <v>6</v>
      </c>
      <c r="C102" s="201"/>
      <c r="D102" s="201"/>
      <c r="E102" s="201"/>
      <c r="F102" s="201"/>
      <c r="G102" s="201"/>
      <c r="H102" s="27"/>
      <c r="I102" s="54"/>
    </row>
    <row r="103" spans="1:22" ht="15.75" customHeight="1">
      <c r="A103" s="55"/>
      <c r="B103" s="55"/>
      <c r="C103" s="55"/>
      <c r="D103" s="55"/>
      <c r="E103" s="55"/>
      <c r="F103" s="55"/>
      <c r="G103" s="55"/>
      <c r="H103" s="55"/>
      <c r="I103" s="55"/>
    </row>
    <row r="104" spans="1:22" ht="15.75" customHeight="1">
      <c r="A104" s="202" t="s">
        <v>7</v>
      </c>
      <c r="B104" s="202"/>
      <c r="C104" s="202"/>
      <c r="D104" s="202"/>
      <c r="E104" s="202"/>
      <c r="F104" s="202"/>
      <c r="G104" s="202"/>
      <c r="H104" s="202"/>
      <c r="I104" s="202"/>
    </row>
    <row r="105" spans="1:22" ht="15.75" customHeight="1">
      <c r="A105" s="202" t="s">
        <v>8</v>
      </c>
      <c r="B105" s="202"/>
      <c r="C105" s="202"/>
      <c r="D105" s="202"/>
      <c r="E105" s="202"/>
      <c r="F105" s="202"/>
      <c r="G105" s="202"/>
      <c r="H105" s="202"/>
      <c r="I105" s="202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11"/>
    </row>
    <row r="106" spans="1:22" ht="15.75" customHeight="1">
      <c r="A106" s="186" t="s">
        <v>9</v>
      </c>
      <c r="B106" s="186"/>
      <c r="C106" s="186"/>
      <c r="D106" s="186"/>
      <c r="E106" s="186"/>
      <c r="F106" s="186"/>
      <c r="G106" s="186"/>
      <c r="H106" s="186"/>
      <c r="I106" s="186"/>
      <c r="J106" s="28"/>
      <c r="K106" s="28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2" ht="15.75" customHeight="1">
      <c r="A107" s="14"/>
      <c r="B107" s="53"/>
      <c r="C107" s="53"/>
      <c r="D107" s="53"/>
      <c r="E107" s="53"/>
      <c r="F107" s="53"/>
      <c r="G107" s="53"/>
      <c r="H107" s="53"/>
      <c r="I107" s="53"/>
      <c r="J107" s="6"/>
      <c r="K107" s="6"/>
      <c r="L107" s="6"/>
      <c r="M107" s="6"/>
      <c r="N107" s="6"/>
      <c r="O107" s="6"/>
      <c r="P107" s="6"/>
      <c r="Q107" s="6"/>
      <c r="R107" s="204"/>
      <c r="S107" s="204"/>
      <c r="T107" s="204"/>
      <c r="U107" s="204"/>
    </row>
    <row r="108" spans="1:22" ht="15.75" customHeight="1">
      <c r="A108" s="205" t="s">
        <v>10</v>
      </c>
      <c r="B108" s="205"/>
      <c r="C108" s="205"/>
      <c r="D108" s="205"/>
      <c r="E108" s="205"/>
      <c r="F108" s="205"/>
      <c r="G108" s="205"/>
      <c r="H108" s="205"/>
      <c r="I108" s="205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1:22" ht="15.75" customHeight="1">
      <c r="A109" s="5"/>
      <c r="B109" s="53"/>
      <c r="C109" s="53"/>
      <c r="D109" s="53"/>
      <c r="E109" s="53"/>
      <c r="F109" s="53"/>
      <c r="G109" s="53"/>
      <c r="H109" s="53"/>
      <c r="I109" s="53"/>
    </row>
    <row r="110" spans="1:22" ht="15.75" customHeight="1">
      <c r="A110" s="186" t="s">
        <v>11</v>
      </c>
      <c r="B110" s="186"/>
      <c r="C110" s="206" t="s">
        <v>84</v>
      </c>
      <c r="D110" s="206"/>
      <c r="E110" s="206"/>
      <c r="F110" s="71"/>
      <c r="I110" s="138"/>
    </row>
    <row r="111" spans="1:22" ht="15.75" customHeight="1">
      <c r="A111" s="69"/>
      <c r="B111" s="53"/>
      <c r="C111" s="201" t="s">
        <v>12</v>
      </c>
      <c r="D111" s="201"/>
      <c r="E111" s="201"/>
      <c r="F111" s="27"/>
      <c r="I111" s="136" t="s">
        <v>13</v>
      </c>
    </row>
    <row r="112" spans="1:22" ht="15.75" customHeight="1">
      <c r="A112" s="28"/>
      <c r="B112" s="53"/>
      <c r="C112" s="15"/>
      <c r="D112" s="15"/>
      <c r="G112" s="15"/>
      <c r="H112" s="15"/>
    </row>
    <row r="113" spans="1:9" ht="15.75" customHeight="1">
      <c r="A113" s="186" t="s">
        <v>14</v>
      </c>
      <c r="B113" s="186"/>
      <c r="C113" s="207"/>
      <c r="D113" s="207"/>
      <c r="E113" s="207"/>
      <c r="F113" s="72"/>
      <c r="I113" s="138"/>
    </row>
    <row r="114" spans="1:9" ht="15.75" customHeight="1">
      <c r="A114" s="139"/>
      <c r="C114" s="204" t="s">
        <v>12</v>
      </c>
      <c r="D114" s="204"/>
      <c r="E114" s="204"/>
      <c r="F114" s="139"/>
      <c r="I114" s="136" t="s">
        <v>13</v>
      </c>
    </row>
    <row r="115" spans="1:9" ht="15.75" customHeight="1">
      <c r="A115" s="5" t="s">
        <v>15</v>
      </c>
    </row>
    <row r="116" spans="1:9">
      <c r="A116" s="208" t="s">
        <v>16</v>
      </c>
      <c r="B116" s="208"/>
      <c r="C116" s="208"/>
      <c r="D116" s="208"/>
      <c r="E116" s="208"/>
      <c r="F116" s="208"/>
      <c r="G116" s="208"/>
      <c r="H116" s="208"/>
      <c r="I116" s="208"/>
    </row>
    <row r="117" spans="1:9" ht="45" customHeight="1">
      <c r="A117" s="203" t="s">
        <v>17</v>
      </c>
      <c r="B117" s="203"/>
      <c r="C117" s="203"/>
      <c r="D117" s="203"/>
      <c r="E117" s="203"/>
      <c r="F117" s="203"/>
      <c r="G117" s="203"/>
      <c r="H117" s="203"/>
      <c r="I117" s="203"/>
    </row>
    <row r="118" spans="1:9" ht="30" customHeight="1">
      <c r="A118" s="203" t="s">
        <v>18</v>
      </c>
      <c r="B118" s="203"/>
      <c r="C118" s="203"/>
      <c r="D118" s="203"/>
      <c r="E118" s="203"/>
      <c r="F118" s="203"/>
      <c r="G118" s="203"/>
      <c r="H118" s="203"/>
      <c r="I118" s="203"/>
    </row>
    <row r="119" spans="1:9" ht="30" customHeight="1">
      <c r="A119" s="203" t="s">
        <v>22</v>
      </c>
      <c r="B119" s="203"/>
      <c r="C119" s="203"/>
      <c r="D119" s="203"/>
      <c r="E119" s="203"/>
      <c r="F119" s="203"/>
      <c r="G119" s="203"/>
      <c r="H119" s="203"/>
      <c r="I119" s="203"/>
    </row>
    <row r="120" spans="1:9" ht="15" customHeight="1">
      <c r="A120" s="203" t="s">
        <v>21</v>
      </c>
      <c r="B120" s="203"/>
      <c r="C120" s="203"/>
      <c r="D120" s="203"/>
      <c r="E120" s="203"/>
      <c r="F120" s="203"/>
      <c r="G120" s="203"/>
      <c r="H120" s="203"/>
      <c r="I120" s="203"/>
    </row>
  </sheetData>
  <autoFilter ref="I15:I103"/>
  <mergeCells count="31">
    <mergeCell ref="A120:I120"/>
    <mergeCell ref="R107:U107"/>
    <mergeCell ref="A108:I108"/>
    <mergeCell ref="A110:B110"/>
    <mergeCell ref="C110:E110"/>
    <mergeCell ref="C111:E111"/>
    <mergeCell ref="A113:B113"/>
    <mergeCell ref="C113:E113"/>
    <mergeCell ref="C114:E114"/>
    <mergeCell ref="A116:I116"/>
    <mergeCell ref="A117:I117"/>
    <mergeCell ref="A118:I118"/>
    <mergeCell ref="A119:I119"/>
    <mergeCell ref="A106:I106"/>
    <mergeCell ref="A15:I15"/>
    <mergeCell ref="A28:I28"/>
    <mergeCell ref="A44:I44"/>
    <mergeCell ref="A55:I55"/>
    <mergeCell ref="A81:I81"/>
    <mergeCell ref="A85:I85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topLeftCell="A55"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79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134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182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04"/>
      <c r="C6" s="104"/>
      <c r="D6" s="104"/>
      <c r="E6" s="104"/>
      <c r="F6" s="104"/>
      <c r="G6" s="104"/>
      <c r="H6" s="104"/>
      <c r="I6" s="33">
        <v>43190</v>
      </c>
    </row>
    <row r="7" spans="1:15" ht="15.75">
      <c r="B7" s="102"/>
      <c r="C7" s="102"/>
      <c r="D7" s="102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146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1">SUM(E22/100)</f>
        <v>3.57</v>
      </c>
      <c r="G22" s="80">
        <v>353.14</v>
      </c>
      <c r="H22" s="81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1"/>
        <v>0.38640000000000002</v>
      </c>
      <c r="G23" s="80">
        <v>58.08</v>
      </c>
      <c r="H23" s="81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1"/>
        <v>0.15</v>
      </c>
      <c r="G24" s="80">
        <v>511.12</v>
      </c>
      <c r="H24" s="81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1"/>
        <v>6.3799999999999996E-2</v>
      </c>
      <c r="G25" s="80">
        <v>683.05</v>
      </c>
      <c r="H25" s="81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5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2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75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2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hidden="1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hidden="1" customHeight="1">
      <c r="A30" s="118"/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3">SUM(F30*G30/1000)</f>
        <v>1.6222722879999998</v>
      </c>
      <c r="I30" s="115">
        <v>0</v>
      </c>
      <c r="J30" s="25"/>
      <c r="K30" s="10"/>
      <c r="L30" s="10"/>
      <c r="M30" s="10"/>
    </row>
    <row r="31" spans="1:13" ht="31.5" hidden="1" customHeight="1">
      <c r="A31" s="30"/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5"/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5"/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4">SUM(F37*G37/1000)</f>
        <v>6.0090000000000003</v>
      </c>
      <c r="I37" s="115">
        <f t="shared" ref="I37:I41" si="5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5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4"/>
        <v>0.65333449999999993</v>
      </c>
      <c r="I42" s="16">
        <f>(F42/7.5*1.5)*G42</f>
        <v>130.66689999999997</v>
      </c>
      <c r="J42" s="25"/>
      <c r="K42" s="10"/>
      <c r="L42" s="10"/>
      <c r="M42" s="10"/>
    </row>
    <row r="43" spans="1:13" ht="15.75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4"/>
        <v>0.389932</v>
      </c>
      <c r="I43" s="16">
        <f>(F43/7.5*1.5)*G43</f>
        <v>77.986400000000003</v>
      </c>
      <c r="J43" s="25"/>
      <c r="K43" s="10"/>
    </row>
    <row r="44" spans="1:13" ht="15.75" hidden="1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/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15.75" hidden="1" customHeight="1">
      <c r="A46" s="74"/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6"/>
        <v>4.5114615755999994</v>
      </c>
      <c r="I46" s="16">
        <f t="shared" si="7"/>
        <v>2255.7307877999997</v>
      </c>
      <c r="J46" s="26"/>
    </row>
    <row r="47" spans="1:13" ht="15.75" hidden="1" customHeight="1">
      <c r="A47" s="73"/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6"/>
        <v>3.2221747648000005</v>
      </c>
      <c r="I47" s="16">
        <f t="shared" si="7"/>
        <v>1611.0873824000003</v>
      </c>
      <c r="J47" s="26"/>
    </row>
    <row r="48" spans="1:13" ht="15.75" hidden="1" customHeight="1">
      <c r="A48" s="30"/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6"/>
        <v>0.16393723199999999</v>
      </c>
      <c r="I48" s="16">
        <f>F48/2*G48</f>
        <v>81.968615999999997</v>
      </c>
      <c r="J48" s="26"/>
    </row>
    <row r="49" spans="1:14" ht="15.75" hidden="1" customHeight="1">
      <c r="A49" s="30"/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5.75" hidden="1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15.75" hidden="1" customHeight="1">
      <c r="A53" s="59"/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59">
        <v>14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83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13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12</v>
      </c>
      <c r="B61" s="63" t="s">
        <v>150</v>
      </c>
      <c r="C61" s="56" t="s">
        <v>151</v>
      </c>
      <c r="D61" s="63" t="s">
        <v>152</v>
      </c>
      <c r="E61" s="122">
        <v>48</v>
      </c>
      <c r="F61" s="35">
        <f>SUM(E61)*12</f>
        <v>576</v>
      </c>
      <c r="G61" s="39">
        <v>1.2</v>
      </c>
      <c r="H61" s="121">
        <f t="shared" ref="H61" si="11">SUM(F61*G61/1000)</f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/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2">SUM(F63*G63/1000)</f>
        <v>1.4584000000000001</v>
      </c>
      <c r="I63" s="16">
        <v>0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2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/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2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9"/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2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9"/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2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9"/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2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9"/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3">E69</f>
        <v>9.6</v>
      </c>
      <c r="G69" s="16">
        <v>46.04</v>
      </c>
      <c r="H69" s="93">
        <f t="shared" si="12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148"/>
      <c r="B70" s="142" t="s">
        <v>55</v>
      </c>
      <c r="C70" s="141" t="s">
        <v>56</v>
      </c>
      <c r="D70" s="142" t="s">
        <v>51</v>
      </c>
      <c r="E70" s="143">
        <v>3</v>
      </c>
      <c r="F70" s="92">
        <f t="shared" si="13"/>
        <v>3</v>
      </c>
      <c r="G70" s="96">
        <v>65.42</v>
      </c>
      <c r="H70" s="149">
        <f t="shared" si="12"/>
        <v>0.19625999999999999</v>
      </c>
      <c r="I70" s="96">
        <v>0</v>
      </c>
      <c r="J70" s="26"/>
      <c r="L70" s="22"/>
      <c r="M70" s="23"/>
      <c r="N70" s="24"/>
    </row>
    <row r="71" spans="1:14" ht="15.75" customHeight="1">
      <c r="A71" s="59">
        <v>13</v>
      </c>
      <c r="B71" s="17" t="s">
        <v>153</v>
      </c>
      <c r="C71" s="30" t="s">
        <v>154</v>
      </c>
      <c r="D71" s="155" t="s">
        <v>62</v>
      </c>
      <c r="E71" s="21">
        <v>2566.6</v>
      </c>
      <c r="F71" s="156">
        <f>SUM(E71)*12</f>
        <v>30799.199999999997</v>
      </c>
      <c r="G71" s="16">
        <v>2.2799999999999998</v>
      </c>
      <c r="H71" s="93">
        <f t="shared" si="12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157">
        <f t="shared" ref="F73:F76" si="14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157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74"/>
      <c r="B75" s="41" t="s">
        <v>67</v>
      </c>
      <c r="C75" s="42" t="s">
        <v>69</v>
      </c>
      <c r="D75" s="41"/>
      <c r="E75" s="20">
        <v>3</v>
      </c>
      <c r="F75" s="157">
        <f>E75/10</f>
        <v>0.3</v>
      </c>
      <c r="G75" s="39">
        <v>657.87</v>
      </c>
      <c r="H75" s="123">
        <f t="shared" ref="H75" si="15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157">
        <f t="shared" si="14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6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16</v>
      </c>
      <c r="B80" s="155" t="s">
        <v>101</v>
      </c>
      <c r="C80" s="19"/>
      <c r="D80" s="17"/>
      <c r="E80" s="158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87" t="s">
        <v>136</v>
      </c>
      <c r="B81" s="209"/>
      <c r="C81" s="209"/>
      <c r="D81" s="209"/>
      <c r="E81" s="209"/>
      <c r="F81" s="209"/>
      <c r="G81" s="209"/>
      <c r="H81" s="209"/>
      <c r="I81" s="210"/>
      <c r="J81" s="26"/>
      <c r="L81" s="22"/>
      <c r="M81" s="23"/>
      <c r="N81" s="24"/>
    </row>
    <row r="82" spans="1:14" ht="15.75" customHeight="1">
      <c r="A82" s="132">
        <v>14</v>
      </c>
      <c r="B82" s="150" t="s">
        <v>126</v>
      </c>
      <c r="C82" s="151" t="s">
        <v>52</v>
      </c>
      <c r="D82" s="152" t="s">
        <v>53</v>
      </c>
      <c r="E82" s="153">
        <v>2566.6</v>
      </c>
      <c r="F82" s="153">
        <f>SUM(E82*12)</f>
        <v>30799.199999999997</v>
      </c>
      <c r="G82" s="153">
        <v>3.1</v>
      </c>
      <c r="H82" s="154">
        <f>SUM(F82*G82/1000)</f>
        <v>95.477519999999984</v>
      </c>
      <c r="I82" s="115">
        <f>F82/12*G82</f>
        <v>7956.46</v>
      </c>
      <c r="J82" s="26"/>
      <c r="L82" s="22"/>
      <c r="M82" s="23"/>
      <c r="N82" s="24"/>
    </row>
    <row r="83" spans="1:14" ht="31.5" customHeight="1">
      <c r="A83" s="59">
        <v>15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I83+I82+I71+I61+I43+I42+I41+I40+I38+I37+I27+I26+I18+I17+I16</f>
        <v>44450.683044999998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15" customHeight="1">
      <c r="A86" s="59">
        <v>16</v>
      </c>
      <c r="B86" s="66" t="s">
        <v>181</v>
      </c>
      <c r="C86" s="67" t="s">
        <v>85</v>
      </c>
      <c r="D86" s="147"/>
      <c r="E86" s="39"/>
      <c r="F86" s="39">
        <v>2</v>
      </c>
      <c r="G86" s="39">
        <v>1165.73</v>
      </c>
      <c r="H86" s="123">
        <f t="shared" ref="H86:H89" si="17">G86*F86/1000</f>
        <v>2.3314599999999999</v>
      </c>
      <c r="I86" s="119">
        <f>G86</f>
        <v>1165.73</v>
      </c>
      <c r="J86" s="26"/>
      <c r="L86" s="22"/>
      <c r="M86" s="23"/>
      <c r="N86" s="24"/>
    </row>
    <row r="87" spans="1:14" ht="15.75" customHeight="1">
      <c r="A87" s="59">
        <v>17</v>
      </c>
      <c r="B87" s="58" t="s">
        <v>158</v>
      </c>
      <c r="C87" s="68" t="s">
        <v>86</v>
      </c>
      <c r="D87" s="41"/>
      <c r="E87" s="20"/>
      <c r="F87" s="39">
        <v>5</v>
      </c>
      <c r="G87" s="39">
        <v>197.48</v>
      </c>
      <c r="H87" s="123">
        <f t="shared" si="17"/>
        <v>0.98739999999999994</v>
      </c>
      <c r="I87" s="119">
        <f>G87*4</f>
        <v>789.92</v>
      </c>
      <c r="J87" s="26"/>
      <c r="L87" s="22"/>
      <c r="M87" s="23"/>
      <c r="N87" s="24"/>
    </row>
    <row r="88" spans="1:14" ht="31.5" customHeight="1">
      <c r="A88" s="59">
        <v>18</v>
      </c>
      <c r="B88" s="124" t="s">
        <v>191</v>
      </c>
      <c r="C88" s="65" t="s">
        <v>86</v>
      </c>
      <c r="D88" s="41"/>
      <c r="E88" s="20"/>
      <c r="F88" s="39"/>
      <c r="G88" s="40">
        <v>2012.33</v>
      </c>
      <c r="H88" s="123"/>
      <c r="I88" s="119">
        <f>G88*1</f>
        <v>2012.33</v>
      </c>
      <c r="J88" s="26"/>
      <c r="L88" s="22"/>
      <c r="M88" s="23"/>
      <c r="N88" s="24"/>
    </row>
    <row r="89" spans="1:14" ht="15.75" customHeight="1">
      <c r="A89" s="59">
        <v>19</v>
      </c>
      <c r="B89" s="58" t="s">
        <v>183</v>
      </c>
      <c r="C89" s="68" t="s">
        <v>184</v>
      </c>
      <c r="D89" s="41"/>
      <c r="E89" s="20"/>
      <c r="F89" s="39">
        <v>1</v>
      </c>
      <c r="G89" s="39">
        <v>318.89</v>
      </c>
      <c r="H89" s="123">
        <f t="shared" si="17"/>
        <v>0.31889000000000001</v>
      </c>
      <c r="I89" s="119">
        <f t="shared" ref="I89" si="18">G89</f>
        <v>318.89</v>
      </c>
      <c r="J89" s="26"/>
      <c r="L89" s="22"/>
      <c r="M89" s="23"/>
      <c r="N89" s="24"/>
    </row>
    <row r="90" spans="1:14" ht="15.75" customHeight="1">
      <c r="A90" s="30"/>
      <c r="B90" s="50" t="s">
        <v>49</v>
      </c>
      <c r="C90" s="46"/>
      <c r="D90" s="57"/>
      <c r="E90" s="46">
        <v>1</v>
      </c>
      <c r="F90" s="46"/>
      <c r="G90" s="34"/>
      <c r="H90" s="46"/>
      <c r="I90" s="34">
        <f>SUM(I86:I89)</f>
        <v>4286.87</v>
      </c>
      <c r="J90" s="26"/>
      <c r="L90" s="22"/>
      <c r="M90" s="23"/>
      <c r="N90" s="24"/>
    </row>
    <row r="91" spans="1:14" ht="15.75" customHeight="1">
      <c r="A91" s="30"/>
      <c r="B91" s="52" t="s">
        <v>73</v>
      </c>
      <c r="C91" s="18"/>
      <c r="D91" s="18"/>
      <c r="E91" s="47"/>
      <c r="F91" s="48"/>
      <c r="G91" s="20"/>
      <c r="H91" s="76"/>
      <c r="I91" s="21">
        <v>0</v>
      </c>
      <c r="J91" s="26"/>
      <c r="L91" s="22"/>
      <c r="M91" s="23"/>
      <c r="N91" s="24"/>
    </row>
    <row r="92" spans="1:14" ht="15.75" customHeight="1">
      <c r="A92" s="77"/>
      <c r="B92" s="51" t="s">
        <v>145</v>
      </c>
      <c r="C92" s="37"/>
      <c r="D92" s="37"/>
      <c r="E92" s="37"/>
      <c r="F92" s="37"/>
      <c r="G92" s="49"/>
      <c r="H92" s="38"/>
      <c r="I92" s="34">
        <f>I84+I90</f>
        <v>48737.553045000001</v>
      </c>
      <c r="J92" s="26"/>
      <c r="L92" s="22"/>
      <c r="M92" s="23"/>
      <c r="N92" s="24"/>
    </row>
    <row r="93" spans="1:14" ht="15.75" customHeight="1">
      <c r="A93" s="186" t="s">
        <v>211</v>
      </c>
      <c r="B93" s="186"/>
      <c r="C93" s="186"/>
      <c r="D93" s="186"/>
      <c r="E93" s="186"/>
      <c r="F93" s="186"/>
      <c r="G93" s="186"/>
      <c r="H93" s="186"/>
      <c r="I93" s="186"/>
      <c r="J93" s="26"/>
      <c r="L93" s="22"/>
      <c r="M93" s="23"/>
      <c r="N93" s="24"/>
    </row>
    <row r="94" spans="1:14" ht="15.75" customHeight="1">
      <c r="A94" s="12"/>
      <c r="B94" s="200" t="s">
        <v>212</v>
      </c>
      <c r="C94" s="200"/>
      <c r="D94" s="200"/>
      <c r="E94" s="200"/>
      <c r="F94" s="200"/>
      <c r="G94" s="200"/>
      <c r="H94" s="106"/>
      <c r="I94" s="4"/>
      <c r="J94" s="26"/>
      <c r="L94" s="22"/>
    </row>
    <row r="95" spans="1:14" ht="15.75" customHeight="1">
      <c r="A95" s="69"/>
      <c r="B95" s="201" t="s">
        <v>6</v>
      </c>
      <c r="C95" s="201"/>
      <c r="D95" s="201"/>
      <c r="E95" s="201"/>
      <c r="F95" s="201"/>
      <c r="G95" s="201"/>
      <c r="H95" s="27"/>
      <c r="I95" s="54"/>
    </row>
    <row r="96" spans="1:14" ht="15.75" customHeight="1">
      <c r="A96" s="167"/>
      <c r="B96" s="168"/>
      <c r="C96" s="169"/>
      <c r="D96" s="55"/>
      <c r="E96" s="55"/>
      <c r="F96" s="55"/>
      <c r="G96" s="55"/>
      <c r="H96" s="55"/>
      <c r="I96" s="55"/>
    </row>
    <row r="97" spans="1:22" ht="15.75" customHeight="1">
      <c r="A97" s="202" t="s">
        <v>7</v>
      </c>
      <c r="B97" s="202"/>
      <c r="C97" s="202"/>
      <c r="D97" s="202"/>
      <c r="E97" s="202"/>
      <c r="F97" s="202"/>
      <c r="G97" s="202"/>
      <c r="H97" s="202"/>
      <c r="I97" s="202"/>
    </row>
    <row r="98" spans="1:22" ht="15.75" customHeight="1">
      <c r="A98" s="202" t="s">
        <v>8</v>
      </c>
      <c r="B98" s="202"/>
      <c r="C98" s="202"/>
      <c r="D98" s="202"/>
      <c r="E98" s="202"/>
      <c r="F98" s="202"/>
      <c r="G98" s="202"/>
      <c r="H98" s="202"/>
      <c r="I98" s="202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11"/>
    </row>
    <row r="99" spans="1:22" ht="15.75" customHeight="1">
      <c r="A99" s="186" t="s">
        <v>9</v>
      </c>
      <c r="B99" s="186"/>
      <c r="C99" s="186"/>
      <c r="D99" s="186"/>
      <c r="E99" s="186"/>
      <c r="F99" s="186"/>
      <c r="G99" s="186"/>
      <c r="H99" s="186"/>
      <c r="I99" s="186"/>
      <c r="J99" s="28"/>
      <c r="K99" s="28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2" ht="15.75" customHeight="1">
      <c r="A100" s="14"/>
      <c r="B100" s="53"/>
      <c r="C100" s="53"/>
      <c r="D100" s="53"/>
      <c r="E100" s="53"/>
      <c r="F100" s="53"/>
      <c r="G100" s="53"/>
      <c r="H100" s="53"/>
      <c r="I100" s="53"/>
      <c r="J100" s="6"/>
      <c r="K100" s="6"/>
      <c r="L100" s="6"/>
      <c r="M100" s="6"/>
      <c r="N100" s="6"/>
      <c r="O100" s="6"/>
      <c r="P100" s="6"/>
      <c r="Q100" s="6"/>
      <c r="R100" s="204"/>
      <c r="S100" s="204"/>
      <c r="T100" s="204"/>
      <c r="U100" s="204"/>
    </row>
    <row r="101" spans="1:22" ht="15.75" customHeight="1">
      <c r="A101" s="205" t="s">
        <v>10</v>
      </c>
      <c r="B101" s="205"/>
      <c r="C101" s="205"/>
      <c r="D101" s="205"/>
      <c r="E101" s="205"/>
      <c r="F101" s="205"/>
      <c r="G101" s="205"/>
      <c r="H101" s="205"/>
      <c r="I101" s="205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2" ht="15.75" customHeight="1">
      <c r="A102" s="5"/>
      <c r="B102" s="53"/>
      <c r="C102" s="53"/>
      <c r="D102" s="53"/>
      <c r="E102" s="53"/>
      <c r="F102" s="53"/>
      <c r="G102" s="53"/>
      <c r="H102" s="53"/>
      <c r="I102" s="53"/>
    </row>
    <row r="103" spans="1:22" ht="15.75" customHeight="1">
      <c r="A103" s="186" t="s">
        <v>11</v>
      </c>
      <c r="B103" s="186"/>
      <c r="C103" s="206" t="s">
        <v>84</v>
      </c>
      <c r="D103" s="206"/>
      <c r="E103" s="206"/>
      <c r="F103" s="71"/>
      <c r="I103" s="105"/>
    </row>
    <row r="104" spans="1:22" ht="15.75" customHeight="1">
      <c r="A104" s="69"/>
      <c r="B104" s="53"/>
      <c r="C104" s="201" t="s">
        <v>12</v>
      </c>
      <c r="D104" s="201"/>
      <c r="E104" s="201"/>
      <c r="F104" s="27"/>
      <c r="I104" s="103" t="s">
        <v>13</v>
      </c>
    </row>
    <row r="105" spans="1:22" ht="15.75" customHeight="1">
      <c r="A105" s="28"/>
      <c r="B105" s="53"/>
      <c r="C105" s="15"/>
      <c r="D105" s="15"/>
      <c r="G105" s="15"/>
      <c r="H105" s="15"/>
    </row>
    <row r="106" spans="1:22" ht="15.75" customHeight="1">
      <c r="A106" s="186" t="s">
        <v>14</v>
      </c>
      <c r="B106" s="186"/>
      <c r="C106" s="207"/>
      <c r="D106" s="207"/>
      <c r="E106" s="207"/>
      <c r="F106" s="72"/>
      <c r="I106" s="105"/>
    </row>
    <row r="107" spans="1:22" ht="15.75" customHeight="1">
      <c r="A107" s="101"/>
      <c r="C107" s="204" t="s">
        <v>12</v>
      </c>
      <c r="D107" s="204"/>
      <c r="E107" s="204"/>
      <c r="F107" s="101"/>
      <c r="I107" s="103" t="s">
        <v>13</v>
      </c>
    </row>
    <row r="108" spans="1:22" ht="15.75" customHeight="1">
      <c r="A108" s="5" t="s">
        <v>15</v>
      </c>
    </row>
    <row r="109" spans="1:22">
      <c r="A109" s="208" t="s">
        <v>16</v>
      </c>
      <c r="B109" s="208"/>
      <c r="C109" s="208"/>
      <c r="D109" s="208"/>
      <c r="E109" s="208"/>
      <c r="F109" s="208"/>
      <c r="G109" s="208"/>
      <c r="H109" s="208"/>
      <c r="I109" s="208"/>
    </row>
    <row r="110" spans="1:22" ht="45" customHeight="1">
      <c r="A110" s="203" t="s">
        <v>17</v>
      </c>
      <c r="B110" s="203"/>
      <c r="C110" s="203"/>
      <c r="D110" s="203"/>
      <c r="E110" s="203"/>
      <c r="F110" s="203"/>
      <c r="G110" s="203"/>
      <c r="H110" s="203"/>
      <c r="I110" s="203"/>
    </row>
    <row r="111" spans="1:22" ht="30" customHeight="1">
      <c r="A111" s="203" t="s">
        <v>18</v>
      </c>
      <c r="B111" s="203"/>
      <c r="C111" s="203"/>
      <c r="D111" s="203"/>
      <c r="E111" s="203"/>
      <c r="F111" s="203"/>
      <c r="G111" s="203"/>
      <c r="H111" s="203"/>
      <c r="I111" s="203"/>
    </row>
    <row r="112" spans="1:22" ht="30" customHeight="1">
      <c r="A112" s="203" t="s">
        <v>22</v>
      </c>
      <c r="B112" s="203"/>
      <c r="C112" s="203"/>
      <c r="D112" s="203"/>
      <c r="E112" s="203"/>
      <c r="F112" s="203"/>
      <c r="G112" s="203"/>
      <c r="H112" s="203"/>
      <c r="I112" s="203"/>
    </row>
    <row r="113" spans="1:9" ht="15" customHeight="1">
      <c r="A113" s="203" t="s">
        <v>21</v>
      </c>
      <c r="B113" s="203"/>
      <c r="C113" s="203"/>
      <c r="D113" s="203"/>
      <c r="E113" s="203"/>
      <c r="F113" s="203"/>
      <c r="G113" s="203"/>
      <c r="H113" s="203"/>
      <c r="I113" s="203"/>
    </row>
  </sheetData>
  <autoFilter ref="I15:I96"/>
  <mergeCells count="31">
    <mergeCell ref="A14:I14"/>
    <mergeCell ref="A3:I3"/>
    <mergeCell ref="A4:I4"/>
    <mergeCell ref="A5:I5"/>
    <mergeCell ref="A8:I8"/>
    <mergeCell ref="A10:I10"/>
    <mergeCell ref="A98:I98"/>
    <mergeCell ref="A99:I99"/>
    <mergeCell ref="A15:I15"/>
    <mergeCell ref="A28:I28"/>
    <mergeCell ref="A44:I44"/>
    <mergeCell ref="A55:I55"/>
    <mergeCell ref="A81:I81"/>
    <mergeCell ref="A85:I85"/>
    <mergeCell ref="A93:I93"/>
    <mergeCell ref="B94:G94"/>
    <mergeCell ref="B95:G95"/>
    <mergeCell ref="A97:I97"/>
    <mergeCell ref="R100:U100"/>
    <mergeCell ref="A101:I101"/>
    <mergeCell ref="A103:B103"/>
    <mergeCell ref="C103:E103"/>
    <mergeCell ref="A112:I112"/>
    <mergeCell ref="C104:E104"/>
    <mergeCell ref="A113:I113"/>
    <mergeCell ref="A106:B106"/>
    <mergeCell ref="C106:E106"/>
    <mergeCell ref="C107:E107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79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135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185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04"/>
      <c r="C6" s="104"/>
      <c r="D6" s="104"/>
      <c r="E6" s="104"/>
      <c r="F6" s="104"/>
      <c r="G6" s="104"/>
      <c r="H6" s="104"/>
      <c r="I6" s="33">
        <v>43220</v>
      </c>
    </row>
    <row r="7" spans="1:15" ht="15.75">
      <c r="B7" s="102"/>
      <c r="C7" s="102"/>
      <c r="D7" s="102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146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/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v>0</v>
      </c>
      <c r="J19" s="10"/>
      <c r="K19" s="10"/>
      <c r="L19" s="10"/>
      <c r="M19" s="10"/>
    </row>
    <row r="20" spans="1:13" ht="15.75" hidden="1" customHeight="1">
      <c r="A20" s="30"/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v>0</v>
      </c>
      <c r="J20" s="10"/>
      <c r="K20" s="10"/>
      <c r="L20" s="10"/>
      <c r="M20" s="10"/>
    </row>
    <row r="21" spans="1:13" ht="15.75" hidden="1" customHeight="1">
      <c r="A21" s="30"/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v>0</v>
      </c>
      <c r="J21" s="10"/>
      <c r="K21" s="10"/>
      <c r="L21" s="10"/>
      <c r="M21" s="10"/>
    </row>
    <row r="22" spans="1:13" ht="15.75" hidden="1" customHeight="1">
      <c r="A22" s="30"/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1">SUM(E22/100)</f>
        <v>3.57</v>
      </c>
      <c r="G22" s="80">
        <v>353.14</v>
      </c>
      <c r="H22" s="81">
        <f t="shared" si="0"/>
        <v>1.2607097999999999</v>
      </c>
      <c r="I22" s="16">
        <v>0</v>
      </c>
      <c r="J22" s="10"/>
      <c r="K22" s="10"/>
      <c r="L22" s="10"/>
      <c r="M22" s="10"/>
    </row>
    <row r="23" spans="1:13" ht="15.75" hidden="1" customHeight="1">
      <c r="A23" s="30"/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1"/>
        <v>0.38640000000000002</v>
      </c>
      <c r="G23" s="80">
        <v>58.08</v>
      </c>
      <c r="H23" s="81">
        <f t="shared" si="0"/>
        <v>2.2442112E-2</v>
      </c>
      <c r="I23" s="16">
        <v>0</v>
      </c>
      <c r="J23" s="10"/>
      <c r="K23" s="10"/>
      <c r="L23" s="10"/>
      <c r="M23" s="10"/>
    </row>
    <row r="24" spans="1:13" ht="15.75" hidden="1" customHeight="1">
      <c r="A24" s="30"/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1"/>
        <v>0.15</v>
      </c>
      <c r="G24" s="80">
        <v>511.12</v>
      </c>
      <c r="H24" s="81">
        <f t="shared" si="0"/>
        <v>7.6667999999999986E-2</v>
      </c>
      <c r="I24" s="16">
        <v>0</v>
      </c>
      <c r="J24" s="10"/>
      <c r="K24" s="10"/>
      <c r="L24" s="10"/>
      <c r="M24" s="10"/>
    </row>
    <row r="25" spans="1:13" ht="15.75" hidden="1" customHeight="1">
      <c r="A25" s="30"/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1"/>
        <v>6.3799999999999996E-2</v>
      </c>
      <c r="G25" s="80">
        <v>683.05</v>
      </c>
      <c r="H25" s="81">
        <f t="shared" si="0"/>
        <v>4.3578589999999993E-2</v>
      </c>
      <c r="I25" s="16">
        <v>0</v>
      </c>
      <c r="J25" s="10"/>
      <c r="K25" s="10"/>
      <c r="L25" s="10"/>
      <c r="M25" s="10"/>
    </row>
    <row r="26" spans="1:13" ht="15.75" customHeight="1">
      <c r="A26" s="75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2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75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2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hidden="1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hidden="1" customHeight="1">
      <c r="A30" s="118"/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3">SUM(F30*G30/1000)</f>
        <v>1.6222722879999998</v>
      </c>
      <c r="I30" s="115">
        <v>0</v>
      </c>
      <c r="J30" s="25"/>
      <c r="K30" s="10"/>
      <c r="L30" s="10"/>
      <c r="M30" s="10"/>
    </row>
    <row r="31" spans="1:13" ht="31.5" hidden="1" customHeight="1">
      <c r="A31" s="30"/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3"/>
        <v>1.5372318780000001</v>
      </c>
      <c r="I31" s="16">
        <v>0</v>
      </c>
      <c r="J31" s="25"/>
      <c r="K31" s="10"/>
      <c r="L31" s="10"/>
      <c r="M31" s="10"/>
    </row>
    <row r="32" spans="1:13" ht="15.75" hidden="1" customHeight="1">
      <c r="A32" s="75"/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3"/>
        <v>0.6044836979999999</v>
      </c>
      <c r="I32" s="16">
        <v>0</v>
      </c>
      <c r="J32" s="25"/>
      <c r="K32" s="10"/>
      <c r="L32" s="10"/>
      <c r="M32" s="10"/>
    </row>
    <row r="33" spans="1:13" ht="15.75" hidden="1" customHeight="1">
      <c r="A33" s="75"/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3"/>
        <v>3.841416666666666</v>
      </c>
      <c r="I33" s="16">
        <v>0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4">SUM(F37*G37/1000)</f>
        <v>6.0090000000000003</v>
      </c>
      <c r="I37" s="115">
        <f t="shared" ref="I37:I41" si="5">F37/6*G37</f>
        <v>1001.5</v>
      </c>
      <c r="J37" s="25"/>
      <c r="K37" s="10"/>
      <c r="L37" s="10"/>
      <c r="M37" s="10"/>
    </row>
    <row r="38" spans="1:13" ht="15.75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5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5"/>
        <v>1307.4099999999999</v>
      </c>
      <c r="J39" s="25"/>
      <c r="K39" s="10"/>
      <c r="L39" s="10"/>
      <c r="M39" s="10"/>
    </row>
    <row r="40" spans="1:13" ht="15.75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4"/>
        <v>4.1427101100000003</v>
      </c>
      <c r="I40" s="16">
        <f t="shared" si="5"/>
        <v>690.451685</v>
      </c>
      <c r="J40" s="25"/>
      <c r="K40" s="10"/>
      <c r="L40" s="10"/>
      <c r="M40" s="10"/>
    </row>
    <row r="41" spans="1:13" ht="47.25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4"/>
        <v>15.47729386</v>
      </c>
      <c r="I41" s="16">
        <f t="shared" si="5"/>
        <v>2579.5489766666669</v>
      </c>
      <c r="J41" s="25"/>
      <c r="K41" s="10"/>
      <c r="L41" s="10"/>
      <c r="M41" s="10"/>
    </row>
    <row r="42" spans="1:13" ht="15.75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4"/>
        <v>0.65333449999999993</v>
      </c>
      <c r="I42" s="16">
        <f>F42/7.5*1.5*G42</f>
        <v>130.66689999999997</v>
      </c>
      <c r="J42" s="25"/>
      <c r="K42" s="10"/>
      <c r="L42" s="10"/>
      <c r="M42" s="10"/>
    </row>
    <row r="43" spans="1:13" ht="15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4"/>
        <v>0.389932</v>
      </c>
      <c r="I43" s="16">
        <f>F43/7.5*1.5*G43</f>
        <v>77.986400000000003</v>
      </c>
      <c r="J43" s="25"/>
      <c r="K43" s="10"/>
    </row>
    <row r="44" spans="1:13" ht="19.5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23.25" hidden="1" customHeight="1">
      <c r="A45" s="30"/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6">SUM(F45*G45/1000)</f>
        <v>3.0159784199999997</v>
      </c>
      <c r="I45" s="16">
        <f t="shared" ref="I45:I47" si="7">F45/2*G45</f>
        <v>1507.98921</v>
      </c>
      <c r="J45" s="26"/>
    </row>
    <row r="46" spans="1:13" ht="27" hidden="1" customHeight="1">
      <c r="A46" s="74"/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6"/>
        <v>4.5114615755999994</v>
      </c>
      <c r="I46" s="16">
        <f t="shared" si="7"/>
        <v>2255.7307877999997</v>
      </c>
      <c r="J46" s="26"/>
    </row>
    <row r="47" spans="1:13" ht="35.25" hidden="1" customHeight="1">
      <c r="A47" s="73"/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6"/>
        <v>3.2221747648000005</v>
      </c>
      <c r="I47" s="16">
        <f t="shared" si="7"/>
        <v>1611.0873824000003</v>
      </c>
      <c r="J47" s="26"/>
    </row>
    <row r="48" spans="1:13" ht="29.25" hidden="1" customHeight="1">
      <c r="A48" s="30"/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6"/>
        <v>0.16393723199999999</v>
      </c>
      <c r="I48" s="16">
        <f>F48/2*G48</f>
        <v>81.968615999999997</v>
      </c>
      <c r="J48" s="26"/>
    </row>
    <row r="49" spans="1:14" ht="31.5" hidden="1" customHeight="1">
      <c r="A49" s="30"/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6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0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6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28.5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6"/>
        <v>1.2986624000000002</v>
      </c>
      <c r="I51" s="16">
        <f t="shared" ref="I51:I52" si="8">F51/2*G51</f>
        <v>649.33120000000008</v>
      </c>
      <c r="J51" s="26"/>
      <c r="L51" s="22"/>
      <c r="M51" s="23"/>
      <c r="N51" s="24"/>
    </row>
    <row r="52" spans="1:14" ht="18.75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6"/>
        <v>0.14825839999999998</v>
      </c>
      <c r="I52" s="16">
        <f t="shared" si="8"/>
        <v>74.129199999999997</v>
      </c>
      <c r="J52" s="26"/>
      <c r="L52" s="22"/>
      <c r="M52" s="23"/>
      <c r="N52" s="24"/>
    </row>
    <row r="53" spans="1:14" ht="28.5" hidden="1" customHeight="1">
      <c r="A53" s="59"/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6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30.75" hidden="1" customHeight="1">
      <c r="A54" s="59">
        <v>14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6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83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15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9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0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15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f>SUM(E61)*12</f>
        <v>1200</v>
      </c>
      <c r="G61" s="39">
        <v>1.2</v>
      </c>
      <c r="H61" s="121">
        <f t="shared" si="10"/>
        <v>1.44</v>
      </c>
      <c r="I61" s="16">
        <f>576/12*G61</f>
        <v>57.599999999999994</v>
      </c>
      <c r="J61" s="26"/>
      <c r="L61" s="22"/>
      <c r="M61" s="23"/>
      <c r="N61" s="24"/>
    </row>
    <row r="62" spans="1:14" ht="15.75" hidden="1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2" si="11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1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/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1"/>
        <v>27.988161600000002</v>
      </c>
      <c r="I65" s="16">
        <v>0</v>
      </c>
      <c r="J65" s="26"/>
      <c r="L65" s="22"/>
      <c r="M65" s="23"/>
      <c r="N65" s="24"/>
    </row>
    <row r="66" spans="1:14" ht="15.75" hidden="1" customHeight="1">
      <c r="A66" s="59"/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1"/>
        <v>2.1795841199999999</v>
      </c>
      <c r="I66" s="16">
        <v>0</v>
      </c>
      <c r="J66" s="26"/>
      <c r="L66" s="22"/>
      <c r="M66" s="23"/>
      <c r="N66" s="24"/>
    </row>
    <row r="67" spans="1:14" ht="15.75" hidden="1" customHeight="1">
      <c r="A67" s="59"/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1"/>
        <v>59.860680000000002</v>
      </c>
      <c r="I67" s="16">
        <v>0</v>
      </c>
      <c r="J67" s="26"/>
      <c r="L67" s="22"/>
      <c r="M67" s="23"/>
      <c r="N67" s="24"/>
    </row>
    <row r="68" spans="1:14" ht="15.75" hidden="1" customHeight="1">
      <c r="A68" s="59"/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1"/>
        <v>0.40905599999999998</v>
      </c>
      <c r="I68" s="16">
        <v>0</v>
      </c>
      <c r="J68" s="26"/>
      <c r="L68" s="22"/>
      <c r="M68" s="23"/>
      <c r="N68" s="24"/>
    </row>
    <row r="69" spans="1:14" ht="15.75" hidden="1" customHeight="1">
      <c r="A69" s="59"/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2">E69</f>
        <v>9.6</v>
      </c>
      <c r="G69" s="16">
        <v>46.04</v>
      </c>
      <c r="H69" s="93">
        <f t="shared" si="11"/>
        <v>0.44198399999999999</v>
      </c>
      <c r="I69" s="16">
        <v>0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2"/>
        <v>3</v>
      </c>
      <c r="G70" s="16">
        <v>65.42</v>
      </c>
      <c r="H70" s="93">
        <f t="shared" si="11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/>
      <c r="B71" s="70" t="s">
        <v>43</v>
      </c>
      <c r="C71" s="19"/>
      <c r="D71" s="22"/>
      <c r="E71" s="21"/>
      <c r="F71" s="80"/>
      <c r="G71" s="16"/>
      <c r="H71" s="93"/>
      <c r="I71" s="16"/>
      <c r="J71" s="26"/>
      <c r="L71" s="22"/>
      <c r="M71" s="23"/>
      <c r="N71" s="24"/>
    </row>
    <row r="72" spans="1:14" ht="15.75" customHeight="1">
      <c r="A72" s="59">
        <v>16</v>
      </c>
      <c r="B72" s="17" t="s">
        <v>153</v>
      </c>
      <c r="C72" s="30" t="s">
        <v>154</v>
      </c>
      <c r="D72" s="87" t="s">
        <v>62</v>
      </c>
      <c r="E72" s="21">
        <v>2566.6</v>
      </c>
      <c r="F72" s="80">
        <f>SUM(E72)*12</f>
        <v>30799.199999999997</v>
      </c>
      <c r="G72" s="16">
        <v>2.2799999999999998</v>
      </c>
      <c r="H72" s="93">
        <f t="shared" si="11"/>
        <v>70.22217599999999</v>
      </c>
      <c r="I72" s="16">
        <f>F72/12*G72</f>
        <v>5851.847999999999</v>
      </c>
      <c r="J72" s="26"/>
      <c r="L72" s="22"/>
      <c r="M72" s="23"/>
      <c r="N72" s="24"/>
    </row>
    <row r="73" spans="1:14" ht="15.75" hidden="1" customHeight="1">
      <c r="A73" s="59"/>
      <c r="B73" s="70" t="s">
        <v>66</v>
      </c>
      <c r="C73" s="19"/>
      <c r="D73" s="17"/>
      <c r="E73" s="21"/>
      <c r="F73" s="16"/>
      <c r="G73" s="16"/>
      <c r="H73" s="93" t="s">
        <v>107</v>
      </c>
      <c r="I73" s="16"/>
      <c r="J73" s="26"/>
      <c r="L73" s="22"/>
      <c r="M73" s="23"/>
      <c r="N73" s="24"/>
    </row>
    <row r="74" spans="1:14" ht="31.5" hidden="1" customHeight="1">
      <c r="A74" s="59"/>
      <c r="B74" s="41" t="s">
        <v>155</v>
      </c>
      <c r="C74" s="42" t="s">
        <v>29</v>
      </c>
      <c r="D74" s="41"/>
      <c r="E74" s="20">
        <v>1</v>
      </c>
      <c r="F74" s="35">
        <f t="shared" ref="F74:F77" si="13">E74</f>
        <v>1</v>
      </c>
      <c r="G74" s="39">
        <v>1543.4</v>
      </c>
      <c r="H74" s="123">
        <f>G74*F74/1000</f>
        <v>1.5434000000000001</v>
      </c>
      <c r="I74" s="16">
        <v>0</v>
      </c>
      <c r="J74" s="26"/>
      <c r="L74" s="22"/>
      <c r="M74" s="23"/>
      <c r="N74" s="24"/>
    </row>
    <row r="75" spans="1:14" ht="15.75" hidden="1" customHeight="1">
      <c r="A75" s="30"/>
      <c r="B75" s="41" t="s">
        <v>68</v>
      </c>
      <c r="C75" s="42" t="s">
        <v>29</v>
      </c>
      <c r="D75" s="41"/>
      <c r="E75" s="20">
        <v>1</v>
      </c>
      <c r="F75" s="35">
        <f>E75</f>
        <v>1</v>
      </c>
      <c r="G75" s="39">
        <v>1118.72</v>
      </c>
      <c r="H75" s="123">
        <f>F75*G75/1000</f>
        <v>1.1187199999999999</v>
      </c>
      <c r="I75" s="16">
        <v>0</v>
      </c>
      <c r="J75" s="26"/>
      <c r="L75" s="22"/>
      <c r="M75" s="23"/>
      <c r="N75" s="24"/>
    </row>
    <row r="76" spans="1:14" ht="15.75" hidden="1" customHeight="1">
      <c r="A76" s="74"/>
      <c r="B76" s="41" t="s">
        <v>67</v>
      </c>
      <c r="C76" s="42" t="s">
        <v>69</v>
      </c>
      <c r="D76" s="41"/>
      <c r="E76" s="20">
        <v>3</v>
      </c>
      <c r="F76" s="35">
        <f>E76/10</f>
        <v>0.3</v>
      </c>
      <c r="G76" s="39">
        <v>657.87</v>
      </c>
      <c r="H76" s="123">
        <f t="shared" ref="H76" si="14">SUM(F76*G76/1000)</f>
        <v>0.19736099999999998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124" t="s">
        <v>156</v>
      </c>
      <c r="C77" s="65" t="s">
        <v>86</v>
      </c>
      <c r="D77" s="41"/>
      <c r="E77" s="20">
        <v>1</v>
      </c>
      <c r="F77" s="35">
        <f t="shared" si="13"/>
        <v>1</v>
      </c>
      <c r="G77" s="39">
        <v>130.96</v>
      </c>
      <c r="H77" s="123">
        <f>G77*F77/1000</f>
        <v>0.13096000000000002</v>
      </c>
      <c r="I77" s="16">
        <v>0</v>
      </c>
      <c r="J77" s="26"/>
      <c r="L77" s="22"/>
      <c r="M77" s="23"/>
      <c r="N77" s="24"/>
    </row>
    <row r="78" spans="1:14" ht="15.75" hidden="1" customHeight="1">
      <c r="A78" s="59"/>
      <c r="B78" s="99" t="s">
        <v>70</v>
      </c>
      <c r="C78" s="19"/>
      <c r="D78" s="17"/>
      <c r="E78" s="21"/>
      <c r="F78" s="16"/>
      <c r="G78" s="16" t="s">
        <v>107</v>
      </c>
      <c r="H78" s="93" t="s">
        <v>107</v>
      </c>
      <c r="I78" s="16"/>
      <c r="J78" s="26"/>
      <c r="L78" s="22"/>
      <c r="M78" s="23"/>
      <c r="N78" s="24"/>
    </row>
    <row r="79" spans="1:14" ht="15.75" hidden="1" customHeight="1">
      <c r="A79" s="59"/>
      <c r="B79" s="43" t="s">
        <v>106</v>
      </c>
      <c r="C79" s="44" t="s">
        <v>71</v>
      </c>
      <c r="D79" s="64"/>
      <c r="E79" s="125"/>
      <c r="F79" s="40">
        <v>1</v>
      </c>
      <c r="G79" s="40">
        <v>3619.09</v>
      </c>
      <c r="H79" s="123">
        <f t="shared" ref="H79" si="15">SUM(F79*G79/1000)</f>
        <v>3.6190900000000004</v>
      </c>
      <c r="I79" s="16">
        <v>0</v>
      </c>
      <c r="J79" s="26"/>
      <c r="L79" s="22"/>
      <c r="M79" s="23"/>
      <c r="N79" s="24"/>
    </row>
    <row r="80" spans="1:14" ht="15.75" hidden="1" customHeight="1">
      <c r="A80" s="59"/>
      <c r="B80" s="70" t="s">
        <v>100</v>
      </c>
      <c r="C80" s="19"/>
      <c r="D80" s="17"/>
      <c r="E80" s="21"/>
      <c r="F80" s="16"/>
      <c r="G80" s="16"/>
      <c r="H80" s="93">
        <f>SUM(H57:H79)</f>
        <v>178.80024663999998</v>
      </c>
      <c r="I80" s="16"/>
      <c r="J80" s="26"/>
      <c r="L80" s="22"/>
      <c r="M80" s="23"/>
      <c r="N80" s="24"/>
    </row>
    <row r="81" spans="1:14" ht="15.75" hidden="1" customHeight="1">
      <c r="A81" s="59">
        <v>19</v>
      </c>
      <c r="B81" s="60" t="s">
        <v>101</v>
      </c>
      <c r="C81" s="19"/>
      <c r="D81" s="17"/>
      <c r="E81" s="95"/>
      <c r="F81" s="16">
        <v>1</v>
      </c>
      <c r="G81" s="16">
        <v>22892</v>
      </c>
      <c r="H81" s="93">
        <f>G81*F81/1000</f>
        <v>22.891999999999999</v>
      </c>
      <c r="I81" s="16">
        <f>G81</f>
        <v>22892</v>
      </c>
      <c r="J81" s="26"/>
      <c r="L81" s="22"/>
      <c r="M81" s="23"/>
      <c r="N81" s="24"/>
    </row>
    <row r="82" spans="1:14" ht="15.75" customHeight="1">
      <c r="A82" s="190" t="s">
        <v>136</v>
      </c>
      <c r="B82" s="195"/>
      <c r="C82" s="195"/>
      <c r="D82" s="195"/>
      <c r="E82" s="195"/>
      <c r="F82" s="195"/>
      <c r="G82" s="195"/>
      <c r="H82" s="195"/>
      <c r="I82" s="196"/>
      <c r="J82" s="26"/>
      <c r="L82" s="22"/>
      <c r="M82" s="23"/>
      <c r="N82" s="24"/>
    </row>
    <row r="83" spans="1:14" ht="15.75" customHeight="1">
      <c r="A83" s="59">
        <v>17</v>
      </c>
      <c r="B83" s="36" t="s">
        <v>126</v>
      </c>
      <c r="C83" s="42" t="s">
        <v>52</v>
      </c>
      <c r="D83" s="62" t="s">
        <v>53</v>
      </c>
      <c r="E83" s="39">
        <v>2566.6</v>
      </c>
      <c r="F83" s="39">
        <f>SUM(E83*12)</f>
        <v>30799.199999999997</v>
      </c>
      <c r="G83" s="39">
        <v>3.1</v>
      </c>
      <c r="H83" s="123">
        <f>SUM(F83*G83/1000)</f>
        <v>95.477519999999984</v>
      </c>
      <c r="I83" s="16">
        <f>F83/12*G83</f>
        <v>7956.46</v>
      </c>
      <c r="J83" s="26"/>
      <c r="L83" s="22"/>
      <c r="M83" s="23"/>
      <c r="N83" s="24"/>
    </row>
    <row r="84" spans="1:14" ht="31.5" customHeight="1">
      <c r="A84" s="59">
        <v>18</v>
      </c>
      <c r="B84" s="41" t="s">
        <v>72</v>
      </c>
      <c r="C84" s="42"/>
      <c r="D84" s="62" t="s">
        <v>53</v>
      </c>
      <c r="E84" s="120">
        <v>2566.6</v>
      </c>
      <c r="F84" s="39">
        <f>E84*12</f>
        <v>30799.199999999997</v>
      </c>
      <c r="G84" s="39">
        <v>3.5</v>
      </c>
      <c r="H84" s="123">
        <f>F84*G84/1000</f>
        <v>107.79719999999999</v>
      </c>
      <c r="I84" s="16">
        <f>F84/12*G84</f>
        <v>8983.1</v>
      </c>
      <c r="J84" s="26"/>
      <c r="L84" s="22"/>
      <c r="M84" s="23"/>
      <c r="N84" s="24"/>
    </row>
    <row r="85" spans="1:14" ht="15.75" customHeight="1">
      <c r="A85" s="59"/>
      <c r="B85" s="45" t="s">
        <v>75</v>
      </c>
      <c r="C85" s="19"/>
      <c r="D85" s="52"/>
      <c r="E85" s="16"/>
      <c r="F85" s="16"/>
      <c r="G85" s="16"/>
      <c r="H85" s="93">
        <f>H84</f>
        <v>107.79719999999999</v>
      </c>
      <c r="I85" s="100">
        <f>I84+I83+I72+I61+I52+I51+I50+I43+I42+I41+I40+I38+I37+I27+I26+I18+I17+I16</f>
        <v>49259.144004999995</v>
      </c>
      <c r="J85" s="26"/>
      <c r="L85" s="22"/>
      <c r="M85" s="23"/>
      <c r="N85" s="24"/>
    </row>
    <row r="86" spans="1:14" ht="15.75" customHeight="1">
      <c r="A86" s="197" t="s">
        <v>57</v>
      </c>
      <c r="B86" s="198"/>
      <c r="C86" s="198"/>
      <c r="D86" s="198"/>
      <c r="E86" s="198"/>
      <c r="F86" s="198"/>
      <c r="G86" s="198"/>
      <c r="H86" s="198"/>
      <c r="I86" s="199"/>
      <c r="J86" s="26"/>
      <c r="L86" s="22"/>
      <c r="M86" s="23"/>
      <c r="N86" s="24"/>
    </row>
    <row r="87" spans="1:14" ht="17.25" customHeight="1">
      <c r="A87" s="163">
        <v>19</v>
      </c>
      <c r="B87" s="124" t="s">
        <v>173</v>
      </c>
      <c r="C87" s="65" t="s">
        <v>174</v>
      </c>
      <c r="D87" s="159"/>
      <c r="E87" s="159"/>
      <c r="F87" s="159"/>
      <c r="G87" s="164">
        <v>134.12</v>
      </c>
      <c r="H87" s="165"/>
      <c r="I87" s="119">
        <f>G87*45</f>
        <v>6035.4000000000005</v>
      </c>
      <c r="J87" s="26"/>
      <c r="L87" s="22"/>
      <c r="M87" s="23"/>
      <c r="N87" s="24"/>
    </row>
    <row r="88" spans="1:14" ht="15.75" customHeight="1">
      <c r="A88" s="163">
        <v>20</v>
      </c>
      <c r="B88" s="124" t="s">
        <v>187</v>
      </c>
      <c r="C88" s="65" t="s">
        <v>186</v>
      </c>
      <c r="D88" s="159"/>
      <c r="E88" s="159"/>
      <c r="F88" s="159"/>
      <c r="G88" s="166">
        <v>636.1</v>
      </c>
      <c r="H88" s="165"/>
      <c r="I88" s="119">
        <f>G88*0.2</f>
        <v>127.22000000000001</v>
      </c>
      <c r="J88" s="26"/>
      <c r="L88" s="22"/>
      <c r="M88" s="23"/>
      <c r="N88" s="24"/>
    </row>
    <row r="89" spans="1:14" ht="15.75" customHeight="1">
      <c r="A89" s="163">
        <v>21</v>
      </c>
      <c r="B89" s="124" t="s">
        <v>207</v>
      </c>
      <c r="C89" s="65" t="s">
        <v>186</v>
      </c>
      <c r="D89" s="159"/>
      <c r="E89" s="159"/>
      <c r="F89" s="159"/>
      <c r="G89" s="166">
        <v>470</v>
      </c>
      <c r="H89" s="165"/>
      <c r="I89" s="119">
        <f>G89*1</f>
        <v>470</v>
      </c>
      <c r="J89" s="26"/>
      <c r="L89" s="22"/>
      <c r="M89" s="23"/>
      <c r="N89" s="24"/>
    </row>
    <row r="90" spans="1:14" ht="15.75" hidden="1" customHeight="1">
      <c r="A90" s="163">
        <v>22</v>
      </c>
      <c r="B90" s="124" t="s">
        <v>173</v>
      </c>
      <c r="C90" s="65" t="s">
        <v>174</v>
      </c>
      <c r="D90" s="159"/>
      <c r="E90" s="159"/>
      <c r="F90" s="159"/>
      <c r="G90" s="40">
        <v>134.12</v>
      </c>
      <c r="H90" s="159"/>
      <c r="I90" s="160">
        <f>G90*30</f>
        <v>4023.6000000000004</v>
      </c>
      <c r="J90" s="26"/>
      <c r="L90" s="22"/>
      <c r="M90" s="23"/>
      <c r="N90" s="24"/>
    </row>
    <row r="91" spans="1:14" ht="15.75" customHeight="1">
      <c r="A91" s="30"/>
      <c r="B91" s="50" t="s">
        <v>49</v>
      </c>
      <c r="C91" s="46"/>
      <c r="D91" s="57"/>
      <c r="E91" s="46">
        <v>1</v>
      </c>
      <c r="F91" s="46"/>
      <c r="G91" s="161"/>
      <c r="H91" s="162" t="s">
        <v>186</v>
      </c>
      <c r="I91" s="34">
        <f>I89+I88+I87</f>
        <v>6632.6200000000008</v>
      </c>
      <c r="J91" s="26"/>
      <c r="L91" s="22"/>
      <c r="M91" s="23"/>
      <c r="N91" s="24"/>
    </row>
    <row r="92" spans="1:14" ht="15.75" customHeight="1">
      <c r="A92" s="30"/>
      <c r="B92" s="52" t="s">
        <v>73</v>
      </c>
      <c r="C92" s="18"/>
      <c r="D92" s="18"/>
      <c r="E92" s="47"/>
      <c r="F92" s="48"/>
      <c r="G92" s="20"/>
      <c r="H92" s="76"/>
      <c r="I92" s="21">
        <v>0</v>
      </c>
      <c r="J92" s="26"/>
      <c r="L92" s="22"/>
      <c r="M92" s="23"/>
      <c r="N92" s="24"/>
    </row>
    <row r="93" spans="1:14" ht="15.75" customHeight="1">
      <c r="A93" s="77"/>
      <c r="B93" s="51" t="s">
        <v>145</v>
      </c>
      <c r="C93" s="37"/>
      <c r="D93" s="37"/>
      <c r="E93" s="37"/>
      <c r="F93" s="37"/>
      <c r="G93" s="49"/>
      <c r="H93" s="38"/>
      <c r="I93" s="34">
        <f>I85+I91</f>
        <v>55891.764004999997</v>
      </c>
      <c r="J93" s="26"/>
      <c r="L93" s="22"/>
      <c r="M93" s="23"/>
      <c r="N93" s="24"/>
    </row>
    <row r="94" spans="1:14" ht="15.75" customHeight="1">
      <c r="A94" s="211" t="s">
        <v>213</v>
      </c>
      <c r="B94" s="211"/>
      <c r="C94" s="211"/>
      <c r="D94" s="211"/>
      <c r="E94" s="211"/>
      <c r="F94" s="211"/>
      <c r="G94" s="211"/>
      <c r="H94" s="211"/>
      <c r="I94" s="211"/>
      <c r="J94" s="26"/>
      <c r="L94" s="22"/>
      <c r="M94" s="23"/>
      <c r="N94" s="24"/>
    </row>
    <row r="95" spans="1:14" ht="15.75" customHeight="1">
      <c r="A95" s="12"/>
      <c r="B95" s="212" t="s">
        <v>214</v>
      </c>
      <c r="C95" s="212"/>
      <c r="D95" s="212"/>
      <c r="E95" s="212"/>
      <c r="F95" s="212"/>
      <c r="G95" s="212"/>
      <c r="H95" s="106"/>
      <c r="I95" s="4"/>
      <c r="J95" s="26"/>
      <c r="L95" s="22"/>
    </row>
    <row r="96" spans="1:14" ht="15.75" customHeight="1">
      <c r="A96" s="69"/>
      <c r="B96" s="201" t="s">
        <v>6</v>
      </c>
      <c r="C96" s="201"/>
      <c r="D96" s="201"/>
      <c r="E96" s="201"/>
      <c r="F96" s="201"/>
      <c r="G96" s="201"/>
      <c r="H96" s="27"/>
      <c r="I96" s="54"/>
    </row>
    <row r="97" spans="1:22" ht="15.75" customHeight="1">
      <c r="A97" s="55"/>
      <c r="B97" s="55"/>
      <c r="C97" s="55"/>
      <c r="D97" s="55"/>
      <c r="E97" s="55"/>
      <c r="F97" s="55"/>
      <c r="G97" s="55"/>
      <c r="H97" s="55"/>
      <c r="I97" s="55"/>
    </row>
    <row r="98" spans="1:22" ht="15.75" customHeight="1">
      <c r="A98" s="202" t="s">
        <v>7</v>
      </c>
      <c r="B98" s="202"/>
      <c r="C98" s="202"/>
      <c r="D98" s="202"/>
      <c r="E98" s="202"/>
      <c r="F98" s="202"/>
      <c r="G98" s="202"/>
      <c r="H98" s="202"/>
      <c r="I98" s="202"/>
    </row>
    <row r="99" spans="1:22" ht="15.75" customHeight="1">
      <c r="A99" s="202" t="s">
        <v>8</v>
      </c>
      <c r="B99" s="202"/>
      <c r="C99" s="202"/>
      <c r="D99" s="202"/>
      <c r="E99" s="202"/>
      <c r="F99" s="202"/>
      <c r="G99" s="202"/>
      <c r="H99" s="202"/>
      <c r="I99" s="202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86" t="s">
        <v>9</v>
      </c>
      <c r="B100" s="186"/>
      <c r="C100" s="186"/>
      <c r="D100" s="186"/>
      <c r="E100" s="186"/>
      <c r="F100" s="186"/>
      <c r="G100" s="186"/>
      <c r="H100" s="186"/>
      <c r="I100" s="186"/>
      <c r="J100" s="28"/>
      <c r="K100" s="28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 customHeight="1">
      <c r="A101" s="14"/>
      <c r="B101" s="53"/>
      <c r="C101" s="53"/>
      <c r="D101" s="53"/>
      <c r="E101" s="53"/>
      <c r="F101" s="53"/>
      <c r="G101" s="53"/>
      <c r="H101" s="53"/>
      <c r="I101" s="53"/>
      <c r="J101" s="6"/>
      <c r="K101" s="6"/>
      <c r="L101" s="6"/>
      <c r="M101" s="6"/>
      <c r="N101" s="6"/>
      <c r="O101" s="6"/>
      <c r="P101" s="6"/>
      <c r="Q101" s="6"/>
      <c r="R101" s="204"/>
      <c r="S101" s="204"/>
      <c r="T101" s="204"/>
      <c r="U101" s="204"/>
    </row>
    <row r="102" spans="1:22" ht="15.75" customHeight="1">
      <c r="A102" s="205" t="s">
        <v>10</v>
      </c>
      <c r="B102" s="205"/>
      <c r="C102" s="205"/>
      <c r="D102" s="205"/>
      <c r="E102" s="205"/>
      <c r="F102" s="205"/>
      <c r="G102" s="205"/>
      <c r="H102" s="205"/>
      <c r="I102" s="205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2" ht="15.75" customHeight="1">
      <c r="A103" s="5"/>
      <c r="B103" s="53"/>
      <c r="C103" s="53"/>
      <c r="D103" s="53"/>
      <c r="E103" s="53"/>
      <c r="F103" s="53"/>
      <c r="G103" s="53"/>
      <c r="H103" s="53"/>
      <c r="I103" s="53"/>
    </row>
    <row r="104" spans="1:22" ht="15.75" customHeight="1">
      <c r="A104" s="186" t="s">
        <v>11</v>
      </c>
      <c r="B104" s="186"/>
      <c r="C104" s="206" t="s">
        <v>84</v>
      </c>
      <c r="D104" s="206"/>
      <c r="E104" s="206"/>
      <c r="F104" s="71"/>
      <c r="I104" s="105"/>
    </row>
    <row r="105" spans="1:22" ht="15.75" customHeight="1">
      <c r="A105" s="69"/>
      <c r="B105" s="53"/>
      <c r="C105" s="201" t="s">
        <v>12</v>
      </c>
      <c r="D105" s="201"/>
      <c r="E105" s="201"/>
      <c r="F105" s="27"/>
      <c r="I105" s="103" t="s">
        <v>13</v>
      </c>
    </row>
    <row r="106" spans="1:22" ht="15.75" customHeight="1">
      <c r="A106" s="28"/>
      <c r="B106" s="53"/>
      <c r="C106" s="15"/>
      <c r="D106" s="15"/>
      <c r="G106" s="15"/>
      <c r="H106" s="15"/>
    </row>
    <row r="107" spans="1:22" ht="15.75" customHeight="1">
      <c r="A107" s="186" t="s">
        <v>14</v>
      </c>
      <c r="B107" s="186"/>
      <c r="C107" s="207"/>
      <c r="D107" s="207"/>
      <c r="E107" s="207"/>
      <c r="F107" s="72"/>
      <c r="I107" s="105"/>
    </row>
    <row r="108" spans="1:22" ht="15.75" customHeight="1">
      <c r="A108" s="101"/>
      <c r="C108" s="204" t="s">
        <v>12</v>
      </c>
      <c r="D108" s="204"/>
      <c r="E108" s="204"/>
      <c r="F108" s="101"/>
      <c r="I108" s="103" t="s">
        <v>13</v>
      </c>
    </row>
    <row r="109" spans="1:22" ht="15.75" customHeight="1">
      <c r="A109" s="5" t="s">
        <v>15</v>
      </c>
    </row>
    <row r="110" spans="1:22">
      <c r="A110" s="208" t="s">
        <v>16</v>
      </c>
      <c r="B110" s="208"/>
      <c r="C110" s="208"/>
      <c r="D110" s="208"/>
      <c r="E110" s="208"/>
      <c r="F110" s="208"/>
      <c r="G110" s="208"/>
      <c r="H110" s="208"/>
      <c r="I110" s="208"/>
    </row>
    <row r="111" spans="1:22" ht="45" customHeight="1">
      <c r="A111" s="203" t="s">
        <v>17</v>
      </c>
      <c r="B111" s="203"/>
      <c r="C111" s="203"/>
      <c r="D111" s="203"/>
      <c r="E111" s="203"/>
      <c r="F111" s="203"/>
      <c r="G111" s="203"/>
      <c r="H111" s="203"/>
      <c r="I111" s="203"/>
    </row>
    <row r="112" spans="1:22" ht="30" customHeight="1">
      <c r="A112" s="203" t="s">
        <v>18</v>
      </c>
      <c r="B112" s="203"/>
      <c r="C112" s="203"/>
      <c r="D112" s="203"/>
      <c r="E112" s="203"/>
      <c r="F112" s="203"/>
      <c r="G112" s="203"/>
      <c r="H112" s="203"/>
      <c r="I112" s="203"/>
    </row>
    <row r="113" spans="1:9" ht="30" customHeight="1">
      <c r="A113" s="203" t="s">
        <v>22</v>
      </c>
      <c r="B113" s="203"/>
      <c r="C113" s="203"/>
      <c r="D113" s="203"/>
      <c r="E113" s="203"/>
      <c r="F113" s="203"/>
      <c r="G113" s="203"/>
      <c r="H113" s="203"/>
      <c r="I113" s="203"/>
    </row>
    <row r="114" spans="1:9" ht="15" customHeight="1">
      <c r="A114" s="203" t="s">
        <v>21</v>
      </c>
      <c r="B114" s="203"/>
      <c r="C114" s="203"/>
      <c r="D114" s="203"/>
      <c r="E114" s="203"/>
      <c r="F114" s="203"/>
      <c r="G114" s="203"/>
      <c r="H114" s="203"/>
      <c r="I114" s="203"/>
    </row>
  </sheetData>
  <autoFilter ref="I15:I97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2:I82"/>
    <mergeCell ref="A86:I86"/>
    <mergeCell ref="A94:I94"/>
    <mergeCell ref="B95:G95"/>
    <mergeCell ref="B96:G96"/>
    <mergeCell ref="A98:I98"/>
    <mergeCell ref="A99:I99"/>
    <mergeCell ref="A114:I114"/>
    <mergeCell ref="R101:U101"/>
    <mergeCell ref="A102:I102"/>
    <mergeCell ref="A104:B104"/>
    <mergeCell ref="C104:E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0"/>
  <sheetViews>
    <sheetView topLeftCell="A71" workbookViewId="0">
      <selection activeCell="B91" sqref="B91:G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0.140625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79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157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188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04"/>
      <c r="C6" s="104"/>
      <c r="D6" s="104"/>
      <c r="E6" s="104"/>
      <c r="F6" s="104"/>
      <c r="G6" s="104"/>
      <c r="H6" s="104"/>
      <c r="I6" s="33">
        <v>43251</v>
      </c>
    </row>
    <row r="7" spans="1:15" ht="15.75">
      <c r="B7" s="102"/>
      <c r="C7" s="102"/>
      <c r="D7" s="102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146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F19*G19</f>
        <v>892.68</v>
      </c>
      <c r="J19" s="10"/>
      <c r="K19" s="10"/>
      <c r="L19" s="10"/>
      <c r="M19" s="10"/>
    </row>
    <row r="20" spans="1:13" ht="15.75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11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12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customHeight="1">
      <c r="A30" s="132">
        <v>13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14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customHeight="1">
      <c r="A33" s="75">
        <v>16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hidden="1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 t="shared" si="8"/>
        <v>64.988666666666674</v>
      </c>
      <c r="J43" s="25"/>
      <c r="K43" s="10"/>
    </row>
    <row r="44" spans="1:13" ht="15.75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customHeight="1">
      <c r="A45" s="30">
        <v>17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customHeight="1">
      <c r="A46" s="30">
        <v>18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customHeight="1">
      <c r="A47" s="59">
        <v>19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customHeight="1">
      <c r="A48" s="30">
        <v>20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customHeight="1">
      <c r="A49" s="30">
        <v>21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4.5" hidden="1" customHeight="1">
      <c r="A50" s="30">
        <v>22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23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8" hidden="1" customHeight="1">
      <c r="A52" s="59">
        <v>24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customHeight="1">
      <c r="A53" s="59">
        <v>22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customHeight="1">
      <c r="A54" s="59">
        <v>23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130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24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f>SUM(E61)*12</f>
        <v>1200</v>
      </c>
      <c r="G61" s="39">
        <v>1.2</v>
      </c>
      <c r="H61" s="121">
        <f t="shared" si="13"/>
        <v>1.44</v>
      </c>
      <c r="I61" s="16">
        <f>576/12*G61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>
        <v>30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74"/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178.80024663999998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90" t="s">
        <v>131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22" ht="15.75" customHeight="1">
      <c r="A82" s="59">
        <v>31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59">
        <v>32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I83+I82+I71+I69+I68+I67+I66+I65+I61+I54+I53+I49+I48+I47+I46+I45+I33+I32+I31+I30+I27+I26+I25+I24+I23+I22+I21+I20+I19+I18+I17+I16</f>
        <v>165682.82648231115</v>
      </c>
      <c r="J84" s="26"/>
      <c r="L84" s="22"/>
      <c r="M84" s="23"/>
      <c r="N84" s="24"/>
    </row>
    <row r="85" spans="1:22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22" ht="39" customHeight="1">
      <c r="A86" s="59">
        <v>36</v>
      </c>
      <c r="B86" s="58" t="s">
        <v>160</v>
      </c>
      <c r="C86" s="68" t="s">
        <v>36</v>
      </c>
      <c r="D86" s="41"/>
      <c r="E86" s="20"/>
      <c r="F86" s="39">
        <f>16/3</f>
        <v>5.333333333333333</v>
      </c>
      <c r="G86" s="39">
        <v>3724.37</v>
      </c>
      <c r="H86" s="123">
        <f>G86*F86/1000</f>
        <v>19.863306666666663</v>
      </c>
      <c r="I86" s="134">
        <f>G86*0.01</f>
        <v>37.243699999999997</v>
      </c>
      <c r="J86" s="26"/>
      <c r="L86" s="22"/>
      <c r="M86" s="23"/>
      <c r="N86" s="24"/>
    </row>
    <row r="87" spans="1:22" ht="15.75" customHeight="1">
      <c r="A87" s="30"/>
      <c r="B87" s="50" t="s">
        <v>49</v>
      </c>
      <c r="C87" s="46"/>
      <c r="D87" s="57"/>
      <c r="E87" s="46">
        <v>1</v>
      </c>
      <c r="F87" s="46"/>
      <c r="G87" s="34"/>
      <c r="H87" s="46"/>
      <c r="I87" s="34">
        <f>SUM(I86:I86)</f>
        <v>37.243699999999997</v>
      </c>
      <c r="J87" s="26"/>
      <c r="L87" s="22"/>
      <c r="M87" s="23"/>
      <c r="N87" s="24"/>
    </row>
    <row r="88" spans="1:22" ht="15.75" customHeight="1">
      <c r="A88" s="30"/>
      <c r="B88" s="52" t="s">
        <v>73</v>
      </c>
      <c r="C88" s="18"/>
      <c r="D88" s="18"/>
      <c r="E88" s="47"/>
      <c r="F88" s="48"/>
      <c r="G88" s="20"/>
      <c r="H88" s="76"/>
      <c r="I88" s="21">
        <v>0</v>
      </c>
      <c r="J88" s="26"/>
      <c r="L88" s="22"/>
      <c r="M88" s="23"/>
      <c r="N88" s="24"/>
    </row>
    <row r="89" spans="1:22" ht="15.75" customHeight="1">
      <c r="A89" s="77"/>
      <c r="B89" s="51" t="s">
        <v>145</v>
      </c>
      <c r="C89" s="37"/>
      <c r="D89" s="37"/>
      <c r="E89" s="37"/>
      <c r="F89" s="37"/>
      <c r="G89" s="49"/>
      <c r="H89" s="38"/>
      <c r="I89" s="34">
        <f>I84+I87</f>
        <v>165720.07018231114</v>
      </c>
      <c r="J89" s="26"/>
      <c r="L89" s="22"/>
      <c r="M89" s="23"/>
      <c r="N89" s="24"/>
    </row>
    <row r="90" spans="1:22" ht="15.75" customHeight="1">
      <c r="A90" s="186" t="s">
        <v>189</v>
      </c>
      <c r="B90" s="186"/>
      <c r="C90" s="186"/>
      <c r="D90" s="186"/>
      <c r="E90" s="186"/>
      <c r="F90" s="186"/>
      <c r="G90" s="186"/>
      <c r="H90" s="186"/>
      <c r="I90" s="186"/>
      <c r="J90" s="26"/>
      <c r="L90" s="22"/>
      <c r="M90" s="23"/>
      <c r="N90" s="24"/>
    </row>
    <row r="91" spans="1:22" ht="15.75" customHeight="1">
      <c r="A91" s="12"/>
      <c r="B91" s="200" t="s">
        <v>190</v>
      </c>
      <c r="C91" s="200"/>
      <c r="D91" s="200"/>
      <c r="E91" s="200"/>
      <c r="F91" s="200"/>
      <c r="G91" s="200"/>
      <c r="H91" s="106"/>
      <c r="I91" s="4"/>
      <c r="J91" s="26"/>
      <c r="L91" s="22"/>
    </row>
    <row r="92" spans="1:22" ht="15.75" customHeight="1">
      <c r="A92" s="69"/>
      <c r="B92" s="201" t="s">
        <v>6</v>
      </c>
      <c r="C92" s="201"/>
      <c r="D92" s="201"/>
      <c r="E92" s="201"/>
      <c r="F92" s="201"/>
      <c r="G92" s="201"/>
      <c r="H92" s="27"/>
      <c r="I92" s="54"/>
    </row>
    <row r="93" spans="1:22" ht="15.75" customHeight="1">
      <c r="A93" s="55"/>
      <c r="B93" s="55"/>
      <c r="C93" s="55"/>
      <c r="D93" s="55"/>
      <c r="E93" s="55"/>
      <c r="F93" s="55"/>
      <c r="G93" s="55"/>
      <c r="H93" s="55"/>
      <c r="I93" s="55"/>
    </row>
    <row r="94" spans="1:22" ht="15.75" customHeight="1">
      <c r="A94" s="202" t="s">
        <v>7</v>
      </c>
      <c r="B94" s="202"/>
      <c r="C94" s="202"/>
      <c r="D94" s="202"/>
      <c r="E94" s="202"/>
      <c r="F94" s="202"/>
      <c r="G94" s="202"/>
      <c r="H94" s="202"/>
      <c r="I94" s="202"/>
    </row>
    <row r="95" spans="1:22" ht="15.75" customHeight="1">
      <c r="A95" s="202" t="s">
        <v>8</v>
      </c>
      <c r="B95" s="202"/>
      <c r="C95" s="202"/>
      <c r="D95" s="202"/>
      <c r="E95" s="202"/>
      <c r="F95" s="202"/>
      <c r="G95" s="202"/>
      <c r="H95" s="202"/>
      <c r="I95" s="202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11"/>
    </row>
    <row r="96" spans="1:22" ht="15.75" customHeight="1">
      <c r="A96" s="186" t="s">
        <v>9</v>
      </c>
      <c r="B96" s="186"/>
      <c r="C96" s="186"/>
      <c r="D96" s="186"/>
      <c r="E96" s="186"/>
      <c r="F96" s="186"/>
      <c r="G96" s="186"/>
      <c r="H96" s="186"/>
      <c r="I96" s="186"/>
      <c r="J96" s="28"/>
      <c r="K96" s="28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14"/>
      <c r="B97" s="53"/>
      <c r="C97" s="53"/>
      <c r="D97" s="53"/>
      <c r="E97" s="53"/>
      <c r="F97" s="53"/>
      <c r="G97" s="53"/>
      <c r="H97" s="53"/>
      <c r="I97" s="53"/>
      <c r="J97" s="6"/>
      <c r="K97" s="6"/>
      <c r="L97" s="6"/>
      <c r="M97" s="6"/>
      <c r="N97" s="6"/>
      <c r="O97" s="6"/>
      <c r="P97" s="6"/>
      <c r="Q97" s="6"/>
      <c r="R97" s="204"/>
      <c r="S97" s="204"/>
      <c r="T97" s="204"/>
      <c r="U97" s="204"/>
    </row>
    <row r="98" spans="1:21" ht="15.75" customHeight="1">
      <c r="A98" s="205" t="s">
        <v>10</v>
      </c>
      <c r="B98" s="205"/>
      <c r="C98" s="205"/>
      <c r="D98" s="205"/>
      <c r="E98" s="205"/>
      <c r="F98" s="205"/>
      <c r="G98" s="205"/>
      <c r="H98" s="205"/>
      <c r="I98" s="205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5.75" customHeight="1">
      <c r="A99" s="5"/>
      <c r="B99" s="53"/>
      <c r="C99" s="53"/>
      <c r="D99" s="53"/>
      <c r="E99" s="53"/>
      <c r="F99" s="53"/>
      <c r="G99" s="53"/>
      <c r="H99" s="53"/>
      <c r="I99" s="53"/>
    </row>
    <row r="100" spans="1:21" ht="15.75" customHeight="1">
      <c r="A100" s="186" t="s">
        <v>11</v>
      </c>
      <c r="B100" s="186"/>
      <c r="C100" s="206" t="s">
        <v>84</v>
      </c>
      <c r="D100" s="206"/>
      <c r="E100" s="206"/>
      <c r="F100" s="71"/>
      <c r="I100" s="105"/>
    </row>
    <row r="101" spans="1:21" ht="15.75" customHeight="1">
      <c r="A101" s="69"/>
      <c r="B101" s="53"/>
      <c r="C101" s="201" t="s">
        <v>12</v>
      </c>
      <c r="D101" s="201"/>
      <c r="E101" s="201"/>
      <c r="F101" s="27"/>
      <c r="I101" s="103" t="s">
        <v>13</v>
      </c>
    </row>
    <row r="102" spans="1:21" ht="15.75" customHeight="1">
      <c r="A102" s="28"/>
      <c r="B102" s="53"/>
      <c r="C102" s="15"/>
      <c r="D102" s="15"/>
      <c r="G102" s="15"/>
      <c r="H102" s="15"/>
    </row>
    <row r="103" spans="1:21" ht="15.75" customHeight="1">
      <c r="A103" s="186" t="s">
        <v>14</v>
      </c>
      <c r="B103" s="186"/>
      <c r="C103" s="207"/>
      <c r="D103" s="207"/>
      <c r="E103" s="207"/>
      <c r="F103" s="72"/>
      <c r="I103" s="105"/>
    </row>
    <row r="104" spans="1:21" ht="15.75" customHeight="1">
      <c r="A104" s="101"/>
      <c r="C104" s="204" t="s">
        <v>12</v>
      </c>
      <c r="D104" s="204"/>
      <c r="E104" s="204"/>
      <c r="F104" s="101"/>
      <c r="I104" s="103" t="s">
        <v>13</v>
      </c>
    </row>
    <row r="105" spans="1:21" ht="15.75" customHeight="1">
      <c r="A105" s="5" t="s">
        <v>15</v>
      </c>
    </row>
    <row r="106" spans="1:21">
      <c r="A106" s="208" t="s">
        <v>16</v>
      </c>
      <c r="B106" s="208"/>
      <c r="C106" s="208"/>
      <c r="D106" s="208"/>
      <c r="E106" s="208"/>
      <c r="F106" s="208"/>
      <c r="G106" s="208"/>
      <c r="H106" s="208"/>
      <c r="I106" s="208"/>
    </row>
    <row r="107" spans="1:21" ht="45" customHeight="1">
      <c r="A107" s="203" t="s">
        <v>17</v>
      </c>
      <c r="B107" s="203"/>
      <c r="C107" s="203"/>
      <c r="D107" s="203"/>
      <c r="E107" s="203"/>
      <c r="F107" s="203"/>
      <c r="G107" s="203"/>
      <c r="H107" s="203"/>
      <c r="I107" s="203"/>
    </row>
    <row r="108" spans="1:21" ht="30" customHeight="1">
      <c r="A108" s="203" t="s">
        <v>18</v>
      </c>
      <c r="B108" s="203"/>
      <c r="C108" s="203"/>
      <c r="D108" s="203"/>
      <c r="E108" s="203"/>
      <c r="F108" s="203"/>
      <c r="G108" s="203"/>
      <c r="H108" s="203"/>
      <c r="I108" s="203"/>
    </row>
    <row r="109" spans="1:21" ht="30" customHeight="1">
      <c r="A109" s="203" t="s">
        <v>22</v>
      </c>
      <c r="B109" s="203"/>
      <c r="C109" s="203"/>
      <c r="D109" s="203"/>
      <c r="E109" s="203"/>
      <c r="F109" s="203"/>
      <c r="G109" s="203"/>
      <c r="H109" s="203"/>
      <c r="I109" s="203"/>
    </row>
    <row r="110" spans="1:21" ht="15" customHeight="1">
      <c r="A110" s="203" t="s">
        <v>21</v>
      </c>
      <c r="B110" s="203"/>
      <c r="C110" s="203"/>
      <c r="D110" s="203"/>
      <c r="E110" s="203"/>
      <c r="F110" s="203"/>
      <c r="G110" s="203"/>
      <c r="H110" s="203"/>
      <c r="I110" s="203"/>
    </row>
  </sheetData>
  <autoFilter ref="I15:I93"/>
  <mergeCells count="31">
    <mergeCell ref="A14:I14"/>
    <mergeCell ref="A3:I3"/>
    <mergeCell ref="A4:I4"/>
    <mergeCell ref="A5:I5"/>
    <mergeCell ref="A8:I8"/>
    <mergeCell ref="A10:I10"/>
    <mergeCell ref="A96:I96"/>
    <mergeCell ref="A15:I15"/>
    <mergeCell ref="A28:I28"/>
    <mergeCell ref="A44:I44"/>
    <mergeCell ref="A55:I55"/>
    <mergeCell ref="A81:I81"/>
    <mergeCell ref="A85:I85"/>
    <mergeCell ref="A90:I90"/>
    <mergeCell ref="B91:G91"/>
    <mergeCell ref="B92:G92"/>
    <mergeCell ref="A94:I94"/>
    <mergeCell ref="A95:I95"/>
    <mergeCell ref="A110:I110"/>
    <mergeCell ref="R97:U97"/>
    <mergeCell ref="A98:I98"/>
    <mergeCell ref="A100:B100"/>
    <mergeCell ref="C100:E100"/>
    <mergeCell ref="C101:E101"/>
    <mergeCell ref="A103:B103"/>
    <mergeCell ref="C103:E103"/>
    <mergeCell ref="C104:E104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97" sqref="B97:G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79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159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192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12"/>
      <c r="C6" s="112"/>
      <c r="D6" s="112"/>
      <c r="E6" s="112"/>
      <c r="F6" s="112"/>
      <c r="G6" s="112"/>
      <c r="H6" s="112"/>
      <c r="I6" s="33">
        <v>43281</v>
      </c>
    </row>
    <row r="7" spans="1:15" ht="15.75">
      <c r="B7" s="109"/>
      <c r="C7" s="109"/>
      <c r="D7" s="109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146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customHeight="1">
      <c r="A30" s="132">
        <v>6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customHeight="1">
      <c r="A33" s="75">
        <v>8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hidden="1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>
        <v>17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18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59">
        <v>19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20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21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59">
        <v>22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59">
        <v>23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83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>
        <v>10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74"/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90" t="s">
        <v>136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11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12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I16+I17+I18+I26+I27+I30+I31+I33+I61+I71+I82+I83</f>
        <v>40336.214132111105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15.75" customHeight="1">
      <c r="A86" s="59">
        <v>13</v>
      </c>
      <c r="B86" s="124" t="s">
        <v>193</v>
      </c>
      <c r="C86" s="65" t="s">
        <v>194</v>
      </c>
      <c r="D86" s="41"/>
      <c r="E86" s="20"/>
      <c r="F86" s="39">
        <f>16/3</f>
        <v>5.333333333333333</v>
      </c>
      <c r="G86" s="39">
        <v>203.68</v>
      </c>
      <c r="H86" s="123">
        <f>G86*F86/1000</f>
        <v>1.0862933333333333</v>
      </c>
      <c r="I86" s="134">
        <f>G86*1</f>
        <v>203.68</v>
      </c>
      <c r="J86" s="26"/>
      <c r="L86" s="22"/>
      <c r="M86" s="23"/>
      <c r="N86" s="24"/>
    </row>
    <row r="87" spans="1:14" ht="15.75" customHeight="1">
      <c r="A87" s="59">
        <v>14</v>
      </c>
      <c r="B87" s="124" t="s">
        <v>37</v>
      </c>
      <c r="C87" s="65" t="s">
        <v>128</v>
      </c>
      <c r="D87" s="41"/>
      <c r="E87" s="20"/>
      <c r="F87" s="39"/>
      <c r="G87" s="39">
        <v>7704.44</v>
      </c>
      <c r="H87" s="123"/>
      <c r="I87" s="134">
        <f>G87*0.01</f>
        <v>77.044399999999996</v>
      </c>
      <c r="J87" s="26"/>
      <c r="L87" s="22"/>
      <c r="M87" s="23"/>
      <c r="N87" s="24"/>
    </row>
    <row r="88" spans="1:14" ht="15.75" customHeight="1">
      <c r="A88" s="59">
        <v>15</v>
      </c>
      <c r="B88" s="170" t="s">
        <v>195</v>
      </c>
      <c r="C88" s="171" t="s">
        <v>88</v>
      </c>
      <c r="D88" s="41"/>
      <c r="E88" s="20"/>
      <c r="F88" s="39"/>
      <c r="G88" s="40">
        <v>3413.41</v>
      </c>
      <c r="H88" s="123"/>
      <c r="I88" s="134">
        <f>G88*0.06</f>
        <v>204.80459999999999</v>
      </c>
      <c r="J88" s="26"/>
      <c r="L88" s="22"/>
      <c r="M88" s="23"/>
      <c r="N88" s="24"/>
    </row>
    <row r="89" spans="1:14" ht="15.75" customHeight="1">
      <c r="A89" s="59">
        <v>16</v>
      </c>
      <c r="B89" s="170" t="s">
        <v>196</v>
      </c>
      <c r="C89" s="171" t="s">
        <v>86</v>
      </c>
      <c r="D89" s="41"/>
      <c r="E89" s="20"/>
      <c r="F89" s="39"/>
      <c r="G89" s="40">
        <v>55</v>
      </c>
      <c r="H89" s="123"/>
      <c r="I89" s="134">
        <f>G89*1</f>
        <v>55</v>
      </c>
      <c r="J89" s="26"/>
      <c r="L89" s="22"/>
      <c r="M89" s="23"/>
      <c r="N89" s="24"/>
    </row>
    <row r="90" spans="1:14" ht="15.75" customHeight="1">
      <c r="A90" s="59">
        <v>17</v>
      </c>
      <c r="B90" s="124" t="s">
        <v>197</v>
      </c>
      <c r="C90" s="65" t="s">
        <v>52</v>
      </c>
      <c r="D90" s="41"/>
      <c r="E90" s="20"/>
      <c r="F90" s="39"/>
      <c r="G90" s="40">
        <v>80.97</v>
      </c>
      <c r="H90" s="123"/>
      <c r="I90" s="134">
        <f>G90*1.5</f>
        <v>121.455</v>
      </c>
      <c r="J90" s="26"/>
      <c r="L90" s="22"/>
      <c r="M90" s="23"/>
      <c r="N90" s="24"/>
    </row>
    <row r="91" spans="1:14" ht="31.5" customHeight="1">
      <c r="A91" s="59">
        <v>18</v>
      </c>
      <c r="B91" s="170" t="s">
        <v>198</v>
      </c>
      <c r="C91" s="171" t="s">
        <v>31</v>
      </c>
      <c r="D91" s="17"/>
      <c r="E91" s="21"/>
      <c r="F91" s="16">
        <v>0.05</v>
      </c>
      <c r="G91" s="40">
        <v>23184.639999999999</v>
      </c>
      <c r="H91" s="93">
        <f t="shared" ref="H91" si="20">G91*F91/1000</f>
        <v>1.159232</v>
      </c>
      <c r="I91" s="134">
        <f>G91*0.02</f>
        <v>463.69279999999998</v>
      </c>
      <c r="J91" s="26"/>
      <c r="L91" s="22"/>
      <c r="M91" s="23"/>
      <c r="N91" s="24"/>
    </row>
    <row r="92" spans="1:14" ht="30.75" customHeight="1">
      <c r="A92" s="59">
        <v>19</v>
      </c>
      <c r="B92" s="124" t="s">
        <v>199</v>
      </c>
      <c r="C92" s="65" t="s">
        <v>52</v>
      </c>
      <c r="D92" s="17"/>
      <c r="E92" s="21"/>
      <c r="F92" s="16"/>
      <c r="G92" s="40">
        <v>671.8</v>
      </c>
      <c r="H92" s="93"/>
      <c r="I92" s="134">
        <f>G92*1.5</f>
        <v>1007.6999999999999</v>
      </c>
      <c r="J92" s="26"/>
      <c r="L92" s="22"/>
      <c r="M92" s="23"/>
      <c r="N92" s="24"/>
    </row>
    <row r="93" spans="1:14" ht="15.75" customHeight="1">
      <c r="A93" s="30"/>
      <c r="B93" s="50" t="s">
        <v>49</v>
      </c>
      <c r="C93" s="46"/>
      <c r="D93" s="57"/>
      <c r="E93" s="46">
        <v>1</v>
      </c>
      <c r="F93" s="46"/>
      <c r="G93" s="34"/>
      <c r="H93" s="46"/>
      <c r="I93" s="34">
        <f>SUM(I86:I92)</f>
        <v>2133.3768</v>
      </c>
      <c r="J93" s="26"/>
      <c r="L93" s="22"/>
      <c r="M93" s="23"/>
      <c r="N93" s="24"/>
    </row>
    <row r="94" spans="1:14" ht="15.75" customHeight="1">
      <c r="A94" s="30"/>
      <c r="B94" s="52" t="s">
        <v>73</v>
      </c>
      <c r="C94" s="18"/>
      <c r="D94" s="18"/>
      <c r="E94" s="47"/>
      <c r="F94" s="48"/>
      <c r="G94" s="20"/>
      <c r="H94" s="76"/>
      <c r="I94" s="21">
        <v>0</v>
      </c>
      <c r="J94" s="26"/>
      <c r="L94" s="22"/>
      <c r="M94" s="23"/>
      <c r="N94" s="24"/>
    </row>
    <row r="95" spans="1:14" ht="15.75" customHeight="1">
      <c r="A95" s="77"/>
      <c r="B95" s="51" t="s">
        <v>145</v>
      </c>
      <c r="C95" s="37"/>
      <c r="D95" s="37"/>
      <c r="E95" s="37"/>
      <c r="F95" s="37"/>
      <c r="G95" s="49"/>
      <c r="H95" s="38"/>
      <c r="I95" s="34">
        <f>I84+I93</f>
        <v>42469.590932111103</v>
      </c>
      <c r="J95" s="26"/>
      <c r="L95" s="22"/>
      <c r="M95" s="23"/>
      <c r="N95" s="24"/>
    </row>
    <row r="96" spans="1:14" ht="15.75" customHeight="1">
      <c r="A96" s="186" t="s">
        <v>200</v>
      </c>
      <c r="B96" s="186"/>
      <c r="C96" s="186"/>
      <c r="D96" s="186"/>
      <c r="E96" s="186"/>
      <c r="F96" s="186"/>
      <c r="G96" s="186"/>
      <c r="H96" s="186"/>
      <c r="I96" s="186"/>
      <c r="J96" s="26"/>
      <c r="L96" s="22"/>
      <c r="M96" s="23"/>
      <c r="N96" s="24"/>
    </row>
    <row r="97" spans="1:22" ht="15.75" customHeight="1">
      <c r="A97" s="12"/>
      <c r="B97" s="200" t="s">
        <v>201</v>
      </c>
      <c r="C97" s="200"/>
      <c r="D97" s="200"/>
      <c r="E97" s="200"/>
      <c r="F97" s="200"/>
      <c r="G97" s="200"/>
      <c r="H97" s="107"/>
      <c r="I97" s="4"/>
      <c r="J97" s="26"/>
      <c r="L97" s="22"/>
    </row>
    <row r="98" spans="1:22" ht="15.75" customHeight="1">
      <c r="A98" s="69"/>
      <c r="B98" s="201" t="s">
        <v>6</v>
      </c>
      <c r="C98" s="201"/>
      <c r="D98" s="201"/>
      <c r="E98" s="201"/>
      <c r="F98" s="201"/>
      <c r="G98" s="201"/>
      <c r="H98" s="27"/>
      <c r="I98" s="54"/>
    </row>
    <row r="99" spans="1:22" ht="15.75" customHeight="1">
      <c r="A99" s="55"/>
      <c r="B99" s="55"/>
      <c r="C99" s="55"/>
      <c r="D99" s="55"/>
      <c r="E99" s="55"/>
      <c r="F99" s="55"/>
      <c r="G99" s="55"/>
      <c r="H99" s="55"/>
      <c r="I99" s="55"/>
    </row>
    <row r="100" spans="1:22" ht="15.75" customHeight="1">
      <c r="A100" s="202" t="s">
        <v>7</v>
      </c>
      <c r="B100" s="202"/>
      <c r="C100" s="202"/>
      <c r="D100" s="202"/>
      <c r="E100" s="202"/>
      <c r="F100" s="202"/>
      <c r="G100" s="202"/>
      <c r="H100" s="202"/>
      <c r="I100" s="202"/>
    </row>
    <row r="101" spans="1:22" ht="15.75" customHeight="1">
      <c r="A101" s="202" t="s">
        <v>8</v>
      </c>
      <c r="B101" s="202"/>
      <c r="C101" s="202"/>
      <c r="D101" s="202"/>
      <c r="E101" s="202"/>
      <c r="F101" s="202"/>
      <c r="G101" s="202"/>
      <c r="H101" s="202"/>
      <c r="I101" s="202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1"/>
    </row>
    <row r="102" spans="1:22" ht="15.75" customHeight="1">
      <c r="A102" s="186" t="s">
        <v>9</v>
      </c>
      <c r="B102" s="186"/>
      <c r="C102" s="186"/>
      <c r="D102" s="186"/>
      <c r="E102" s="186"/>
      <c r="F102" s="186"/>
      <c r="G102" s="186"/>
      <c r="H102" s="186"/>
      <c r="I102" s="186"/>
      <c r="J102" s="28"/>
      <c r="K102" s="28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2" ht="15.75" customHeight="1">
      <c r="A103" s="14"/>
      <c r="B103" s="53"/>
      <c r="C103" s="53"/>
      <c r="D103" s="53"/>
      <c r="E103" s="53"/>
      <c r="F103" s="53"/>
      <c r="G103" s="53"/>
      <c r="H103" s="53"/>
      <c r="I103" s="53"/>
      <c r="J103" s="6"/>
      <c r="K103" s="6"/>
      <c r="L103" s="6"/>
      <c r="M103" s="6"/>
      <c r="N103" s="6"/>
      <c r="O103" s="6"/>
      <c r="P103" s="6"/>
      <c r="Q103" s="6"/>
      <c r="R103" s="204"/>
      <c r="S103" s="204"/>
      <c r="T103" s="204"/>
      <c r="U103" s="204"/>
    </row>
    <row r="104" spans="1:22" ht="15.75" customHeight="1">
      <c r="A104" s="205" t="s">
        <v>10</v>
      </c>
      <c r="B104" s="205"/>
      <c r="C104" s="205"/>
      <c r="D104" s="205"/>
      <c r="E104" s="205"/>
      <c r="F104" s="205"/>
      <c r="G104" s="205"/>
      <c r="H104" s="205"/>
      <c r="I104" s="205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2" ht="15.75" customHeight="1">
      <c r="A105" s="5"/>
      <c r="B105" s="53"/>
      <c r="C105" s="53"/>
      <c r="D105" s="53"/>
      <c r="E105" s="53"/>
      <c r="F105" s="53"/>
      <c r="G105" s="53"/>
      <c r="H105" s="53"/>
      <c r="I105" s="53"/>
    </row>
    <row r="106" spans="1:22" ht="15.75" customHeight="1">
      <c r="A106" s="186" t="s">
        <v>11</v>
      </c>
      <c r="B106" s="186"/>
      <c r="C106" s="206" t="s">
        <v>84</v>
      </c>
      <c r="D106" s="206"/>
      <c r="E106" s="206"/>
      <c r="F106" s="71"/>
      <c r="I106" s="110"/>
    </row>
    <row r="107" spans="1:22" ht="15.75" customHeight="1">
      <c r="A107" s="69"/>
      <c r="B107" s="53"/>
      <c r="C107" s="201" t="s">
        <v>12</v>
      </c>
      <c r="D107" s="201"/>
      <c r="E107" s="201"/>
      <c r="F107" s="27"/>
      <c r="I107" s="108" t="s">
        <v>13</v>
      </c>
    </row>
    <row r="108" spans="1:22" ht="15.75" customHeight="1">
      <c r="A108" s="28"/>
      <c r="B108" s="53"/>
      <c r="C108" s="15"/>
      <c r="D108" s="15"/>
      <c r="G108" s="15"/>
      <c r="H108" s="15"/>
    </row>
    <row r="109" spans="1:22" ht="15.75" customHeight="1">
      <c r="A109" s="186" t="s">
        <v>14</v>
      </c>
      <c r="B109" s="186"/>
      <c r="C109" s="207"/>
      <c r="D109" s="207"/>
      <c r="E109" s="207"/>
      <c r="F109" s="72"/>
      <c r="I109" s="110"/>
    </row>
    <row r="110" spans="1:22" ht="15.75" customHeight="1">
      <c r="A110" s="111"/>
      <c r="C110" s="204" t="s">
        <v>12</v>
      </c>
      <c r="D110" s="204"/>
      <c r="E110" s="204"/>
      <c r="F110" s="111"/>
      <c r="I110" s="108" t="s">
        <v>13</v>
      </c>
    </row>
    <row r="111" spans="1:22" ht="15.75" customHeight="1">
      <c r="A111" s="5" t="s">
        <v>15</v>
      </c>
    </row>
    <row r="112" spans="1:22">
      <c r="A112" s="208" t="s">
        <v>16</v>
      </c>
      <c r="B112" s="208"/>
      <c r="C112" s="208"/>
      <c r="D112" s="208"/>
      <c r="E112" s="208"/>
      <c r="F112" s="208"/>
      <c r="G112" s="208"/>
      <c r="H112" s="208"/>
      <c r="I112" s="208"/>
    </row>
    <row r="113" spans="1:9" ht="45" customHeight="1">
      <c r="A113" s="203" t="s">
        <v>17</v>
      </c>
      <c r="B113" s="203"/>
      <c r="C113" s="203"/>
      <c r="D113" s="203"/>
      <c r="E113" s="203"/>
      <c r="F113" s="203"/>
      <c r="G113" s="203"/>
      <c r="H113" s="203"/>
      <c r="I113" s="203"/>
    </row>
    <row r="114" spans="1:9" ht="30" customHeight="1">
      <c r="A114" s="203" t="s">
        <v>18</v>
      </c>
      <c r="B114" s="203"/>
      <c r="C114" s="203"/>
      <c r="D114" s="203"/>
      <c r="E114" s="203"/>
      <c r="F114" s="203"/>
      <c r="G114" s="203"/>
      <c r="H114" s="203"/>
      <c r="I114" s="203"/>
    </row>
    <row r="115" spans="1:9" ht="30" customHeight="1">
      <c r="A115" s="203" t="s">
        <v>22</v>
      </c>
      <c r="B115" s="203"/>
      <c r="C115" s="203"/>
      <c r="D115" s="203"/>
      <c r="E115" s="203"/>
      <c r="F115" s="203"/>
      <c r="G115" s="203"/>
      <c r="H115" s="203"/>
      <c r="I115" s="203"/>
    </row>
    <row r="116" spans="1:9" ht="15" customHeight="1">
      <c r="A116" s="203" t="s">
        <v>21</v>
      </c>
      <c r="B116" s="203"/>
      <c r="C116" s="203"/>
      <c r="D116" s="203"/>
      <c r="E116" s="203"/>
      <c r="F116" s="203"/>
      <c r="G116" s="203"/>
      <c r="H116" s="203"/>
      <c r="I116" s="203"/>
    </row>
  </sheetData>
  <autoFilter ref="I15:I99"/>
  <mergeCells count="31">
    <mergeCell ref="A116:I116"/>
    <mergeCell ref="R103:U103"/>
    <mergeCell ref="A104:I104"/>
    <mergeCell ref="A106:B106"/>
    <mergeCell ref="C106:E106"/>
    <mergeCell ref="C107:E107"/>
    <mergeCell ref="A109:B109"/>
    <mergeCell ref="C109:E109"/>
    <mergeCell ref="C110:E110"/>
    <mergeCell ref="A112:I112"/>
    <mergeCell ref="A113:I113"/>
    <mergeCell ref="A114:I114"/>
    <mergeCell ref="A115:I115"/>
    <mergeCell ref="A102:I102"/>
    <mergeCell ref="A15:I15"/>
    <mergeCell ref="A28:I28"/>
    <mergeCell ref="A44:I44"/>
    <mergeCell ref="A55:I55"/>
    <mergeCell ref="A81:I81"/>
    <mergeCell ref="A85:I85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J93" sqref="J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202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161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203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12"/>
      <c r="C6" s="112"/>
      <c r="D6" s="112"/>
      <c r="E6" s="112"/>
      <c r="F6" s="112"/>
      <c r="G6" s="112"/>
      <c r="H6" s="112"/>
      <c r="I6" s="33">
        <v>43312</v>
      </c>
    </row>
    <row r="7" spans="1:15" ht="15.75">
      <c r="B7" s="109"/>
      <c r="C7" s="109"/>
      <c r="D7" s="109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customHeight="1">
      <c r="A30" s="132">
        <v>6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customHeight="1">
      <c r="A33" s="75">
        <v>8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hidden="1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>
        <v>17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18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59">
        <v>19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20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21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59">
        <v>22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59">
        <v>23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83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>
        <v>10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74"/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22" ht="15.75" customHeight="1">
      <c r="A81" s="190" t="s">
        <v>136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22" ht="15.75" customHeight="1">
      <c r="A82" s="59">
        <v>11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22" ht="31.5" customHeight="1">
      <c r="A83" s="59">
        <v>12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22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I16+I17+I18+I26+I27+I30+I31+I33+I61+I71+I82+I83</f>
        <v>40336.214132111105</v>
      </c>
      <c r="J84" s="26"/>
      <c r="L84" s="22"/>
      <c r="M84" s="23"/>
      <c r="N84" s="24"/>
    </row>
    <row r="85" spans="1:22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22" ht="15.75" customHeight="1">
      <c r="A86" s="30"/>
      <c r="B86" s="50" t="s">
        <v>49</v>
      </c>
      <c r="C86" s="46"/>
      <c r="D86" s="57"/>
      <c r="E86" s="46">
        <v>1</v>
      </c>
      <c r="F86" s="46"/>
      <c r="G86" s="34"/>
      <c r="H86" s="46"/>
      <c r="I86" s="34">
        <v>0</v>
      </c>
      <c r="J86" s="26"/>
      <c r="L86" s="22"/>
      <c r="M86" s="23"/>
      <c r="N86" s="24"/>
    </row>
    <row r="87" spans="1:22" ht="15.75" customHeight="1">
      <c r="A87" s="30"/>
      <c r="B87" s="52" t="s">
        <v>73</v>
      </c>
      <c r="C87" s="18"/>
      <c r="D87" s="18"/>
      <c r="E87" s="47"/>
      <c r="F87" s="48"/>
      <c r="G87" s="20"/>
      <c r="H87" s="76"/>
      <c r="I87" s="21">
        <v>0</v>
      </c>
      <c r="J87" s="26"/>
      <c r="L87" s="22"/>
      <c r="M87" s="23"/>
      <c r="N87" s="24"/>
    </row>
    <row r="88" spans="1:22" ht="15.75" customHeight="1">
      <c r="A88" s="77"/>
      <c r="B88" s="51" t="s">
        <v>145</v>
      </c>
      <c r="C88" s="37"/>
      <c r="D88" s="37"/>
      <c r="E88" s="37"/>
      <c r="F88" s="37"/>
      <c r="G88" s="49"/>
      <c r="H88" s="38"/>
      <c r="I88" s="34">
        <f>I84+I86</f>
        <v>40336.214132111105</v>
      </c>
      <c r="J88" s="26"/>
      <c r="L88" s="22"/>
      <c r="M88" s="23"/>
      <c r="N88" s="24"/>
    </row>
    <row r="89" spans="1:22" ht="15.75" customHeight="1">
      <c r="A89" s="186" t="s">
        <v>205</v>
      </c>
      <c r="B89" s="186"/>
      <c r="C89" s="186"/>
      <c r="D89" s="186"/>
      <c r="E89" s="186"/>
      <c r="F89" s="186"/>
      <c r="G89" s="186"/>
      <c r="H89" s="186"/>
      <c r="I89" s="186"/>
      <c r="J89" s="26"/>
      <c r="L89" s="22"/>
      <c r="M89" s="23"/>
      <c r="N89" s="24"/>
    </row>
    <row r="90" spans="1:22" ht="15.75" customHeight="1">
      <c r="A90" s="12"/>
      <c r="B90" s="200" t="s">
        <v>206</v>
      </c>
      <c r="C90" s="200"/>
      <c r="D90" s="200"/>
      <c r="E90" s="200"/>
      <c r="F90" s="200"/>
      <c r="G90" s="200"/>
      <c r="H90" s="107"/>
      <c r="I90" s="4"/>
      <c r="J90" s="26"/>
      <c r="L90" s="22"/>
    </row>
    <row r="91" spans="1:22" ht="15.75" customHeight="1">
      <c r="A91" s="69"/>
      <c r="B91" s="201" t="s">
        <v>6</v>
      </c>
      <c r="C91" s="201"/>
      <c r="D91" s="201"/>
      <c r="E91" s="201"/>
      <c r="F91" s="201"/>
      <c r="G91" s="201"/>
      <c r="H91" s="27"/>
      <c r="I91" s="54"/>
    </row>
    <row r="92" spans="1:22" ht="15.75" customHeight="1">
      <c r="A92" s="55"/>
      <c r="B92" s="55"/>
      <c r="C92" s="55"/>
      <c r="D92" s="55"/>
      <c r="E92" s="55"/>
      <c r="F92" s="55"/>
      <c r="G92" s="55"/>
      <c r="H92" s="55"/>
      <c r="I92" s="55"/>
    </row>
    <row r="93" spans="1:22" ht="15.75" customHeight="1">
      <c r="A93" s="202" t="s">
        <v>7</v>
      </c>
      <c r="B93" s="202"/>
      <c r="C93" s="202"/>
      <c r="D93" s="202"/>
      <c r="E93" s="202"/>
      <c r="F93" s="202"/>
      <c r="G93" s="202"/>
      <c r="H93" s="202"/>
      <c r="I93" s="202"/>
    </row>
    <row r="94" spans="1:22" ht="15.75" customHeight="1">
      <c r="A94" s="202" t="s">
        <v>8</v>
      </c>
      <c r="B94" s="202"/>
      <c r="C94" s="202"/>
      <c r="D94" s="202"/>
      <c r="E94" s="202"/>
      <c r="F94" s="202"/>
      <c r="G94" s="202"/>
      <c r="H94" s="202"/>
      <c r="I94" s="202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86" t="s">
        <v>9</v>
      </c>
      <c r="B95" s="186"/>
      <c r="C95" s="186"/>
      <c r="D95" s="186"/>
      <c r="E95" s="186"/>
      <c r="F95" s="186"/>
      <c r="G95" s="186"/>
      <c r="H95" s="186"/>
      <c r="I95" s="186"/>
      <c r="J95" s="28"/>
      <c r="K95" s="28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 customHeight="1">
      <c r="A96" s="14"/>
      <c r="B96" s="53"/>
      <c r="C96" s="53"/>
      <c r="D96" s="53"/>
      <c r="E96" s="53"/>
      <c r="F96" s="53"/>
      <c r="G96" s="53"/>
      <c r="H96" s="53"/>
      <c r="I96" s="53"/>
      <c r="J96" s="6"/>
      <c r="K96" s="6"/>
      <c r="L96" s="6"/>
      <c r="M96" s="6"/>
      <c r="N96" s="6"/>
      <c r="O96" s="6"/>
      <c r="P96" s="6"/>
      <c r="Q96" s="6"/>
      <c r="R96" s="204"/>
      <c r="S96" s="204"/>
      <c r="T96" s="204"/>
      <c r="U96" s="204"/>
    </row>
    <row r="97" spans="1:21" ht="15.75" customHeight="1">
      <c r="A97" s="205" t="s">
        <v>10</v>
      </c>
      <c r="B97" s="205"/>
      <c r="C97" s="205"/>
      <c r="D97" s="205"/>
      <c r="E97" s="205"/>
      <c r="F97" s="205"/>
      <c r="G97" s="205"/>
      <c r="H97" s="205"/>
      <c r="I97" s="205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ht="15.75" customHeight="1">
      <c r="A98" s="5"/>
      <c r="B98" s="53"/>
      <c r="C98" s="53"/>
      <c r="D98" s="53"/>
      <c r="E98" s="53"/>
      <c r="F98" s="53"/>
      <c r="G98" s="53"/>
      <c r="H98" s="53"/>
      <c r="I98" s="53"/>
    </row>
    <row r="99" spans="1:21" ht="15.75" customHeight="1">
      <c r="A99" s="186" t="s">
        <v>11</v>
      </c>
      <c r="B99" s="186"/>
      <c r="C99" s="206" t="s">
        <v>84</v>
      </c>
      <c r="D99" s="206"/>
      <c r="E99" s="206"/>
      <c r="F99" s="71"/>
      <c r="I99" s="110"/>
    </row>
    <row r="100" spans="1:21" ht="15.75" customHeight="1">
      <c r="A100" s="69"/>
      <c r="B100" s="53"/>
      <c r="C100" s="201" t="s">
        <v>12</v>
      </c>
      <c r="D100" s="201"/>
      <c r="E100" s="201"/>
      <c r="F100" s="27"/>
      <c r="I100" s="108" t="s">
        <v>13</v>
      </c>
    </row>
    <row r="101" spans="1:21" ht="15.75" customHeight="1">
      <c r="A101" s="28"/>
      <c r="B101" s="53"/>
      <c r="C101" s="15"/>
      <c r="D101" s="15"/>
      <c r="G101" s="15"/>
      <c r="H101" s="15"/>
    </row>
    <row r="102" spans="1:21" ht="15.75" customHeight="1">
      <c r="A102" s="186" t="s">
        <v>14</v>
      </c>
      <c r="B102" s="186"/>
      <c r="C102" s="207"/>
      <c r="D102" s="207"/>
      <c r="E102" s="207"/>
      <c r="F102" s="72"/>
      <c r="I102" s="110"/>
    </row>
    <row r="103" spans="1:21" ht="15.75" customHeight="1">
      <c r="A103" s="111"/>
      <c r="C103" s="204" t="s">
        <v>12</v>
      </c>
      <c r="D103" s="204"/>
      <c r="E103" s="204"/>
      <c r="F103" s="111"/>
      <c r="I103" s="108" t="s">
        <v>13</v>
      </c>
    </row>
    <row r="104" spans="1:21" ht="15.75" customHeight="1">
      <c r="A104" s="5" t="s">
        <v>15</v>
      </c>
    </row>
    <row r="105" spans="1:21">
      <c r="A105" s="208" t="s">
        <v>16</v>
      </c>
      <c r="B105" s="208"/>
      <c r="C105" s="208"/>
      <c r="D105" s="208"/>
      <c r="E105" s="208"/>
      <c r="F105" s="208"/>
      <c r="G105" s="208"/>
      <c r="H105" s="208"/>
      <c r="I105" s="208"/>
    </row>
    <row r="106" spans="1:21" ht="45" customHeight="1">
      <c r="A106" s="203" t="s">
        <v>17</v>
      </c>
      <c r="B106" s="203"/>
      <c r="C106" s="203"/>
      <c r="D106" s="203"/>
      <c r="E106" s="203"/>
      <c r="F106" s="203"/>
      <c r="G106" s="203"/>
      <c r="H106" s="203"/>
      <c r="I106" s="203"/>
    </row>
    <row r="107" spans="1:21" ht="30" customHeight="1">
      <c r="A107" s="203" t="s">
        <v>18</v>
      </c>
      <c r="B107" s="203"/>
      <c r="C107" s="203"/>
      <c r="D107" s="203"/>
      <c r="E107" s="203"/>
      <c r="F107" s="203"/>
      <c r="G107" s="203"/>
      <c r="H107" s="203"/>
      <c r="I107" s="203"/>
    </row>
    <row r="108" spans="1:21" ht="30" customHeight="1">
      <c r="A108" s="203" t="s">
        <v>22</v>
      </c>
      <c r="B108" s="203"/>
      <c r="C108" s="203"/>
      <c r="D108" s="203"/>
      <c r="E108" s="203"/>
      <c r="F108" s="203"/>
      <c r="G108" s="203"/>
      <c r="H108" s="203"/>
      <c r="I108" s="203"/>
    </row>
    <row r="109" spans="1:21" ht="15" customHeight="1">
      <c r="A109" s="203" t="s">
        <v>21</v>
      </c>
      <c r="B109" s="203"/>
      <c r="C109" s="203"/>
      <c r="D109" s="203"/>
      <c r="E109" s="203"/>
      <c r="F109" s="203"/>
      <c r="G109" s="203"/>
      <c r="H109" s="203"/>
      <c r="I109" s="203"/>
    </row>
  </sheetData>
  <autoFilter ref="I15:I92"/>
  <mergeCells count="31">
    <mergeCell ref="A109:I109"/>
    <mergeCell ref="R96:U96"/>
    <mergeCell ref="A97:I97"/>
    <mergeCell ref="A99:B99"/>
    <mergeCell ref="C99:E99"/>
    <mergeCell ref="C100:E100"/>
    <mergeCell ref="A102:B102"/>
    <mergeCell ref="C102:E102"/>
    <mergeCell ref="C103:E103"/>
    <mergeCell ref="A105:I105"/>
    <mergeCell ref="A106:I106"/>
    <mergeCell ref="A107:I107"/>
    <mergeCell ref="A108:I108"/>
    <mergeCell ref="A95:I95"/>
    <mergeCell ref="A15:I15"/>
    <mergeCell ref="A28:I28"/>
    <mergeCell ref="A44:I44"/>
    <mergeCell ref="A55:I55"/>
    <mergeCell ref="A81:I81"/>
    <mergeCell ref="A85:I85"/>
    <mergeCell ref="A89:I89"/>
    <mergeCell ref="B90:G90"/>
    <mergeCell ref="B91:G91"/>
    <mergeCell ref="A93:I93"/>
    <mergeCell ref="A94:I9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topLeftCell="A87" workbookViewId="0">
      <selection activeCell="A93" sqref="A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202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163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215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12"/>
      <c r="C6" s="112"/>
      <c r="D6" s="112"/>
      <c r="E6" s="112"/>
      <c r="F6" s="112"/>
      <c r="G6" s="112"/>
      <c r="H6" s="112"/>
      <c r="I6" s="33">
        <v>43343</v>
      </c>
    </row>
    <row r="7" spans="1:15" ht="15.75">
      <c r="B7" s="109"/>
      <c r="C7" s="109"/>
      <c r="D7" s="109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hidden="1" customHeight="1">
      <c r="A20" s="30">
        <v>5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hidden="1" customHeight="1">
      <c r="A21" s="30">
        <v>6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4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5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customHeight="1">
      <c r="A30" s="132">
        <v>6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7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customHeight="1">
      <c r="A33" s="75">
        <v>8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hidden="1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 t="shared" si="8"/>
        <v>64.988666666666674</v>
      </c>
      <c r="J43" s="25"/>
      <c r="K43" s="10"/>
    </row>
    <row r="44" spans="1:13" ht="15.75" hidden="1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hidden="1" customHeight="1">
      <c r="A45" s="30">
        <v>17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hidden="1" customHeight="1">
      <c r="A46" s="30">
        <v>18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hidden="1" customHeight="1">
      <c r="A47" s="59">
        <v>19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hidden="1" customHeight="1">
      <c r="A48" s="30">
        <v>20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hidden="1" customHeight="1">
      <c r="A49" s="30">
        <v>21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12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59">
        <v>13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59">
        <v>14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hidden="1" customHeight="1">
      <c r="A53" s="59">
        <v>22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hidden="1" customHeight="1">
      <c r="A54" s="59">
        <v>23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83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9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14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hidden="1" customHeight="1">
      <c r="A70" s="59"/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v>0</v>
      </c>
      <c r="J70" s="26"/>
      <c r="L70" s="22"/>
      <c r="M70" s="23"/>
      <c r="N70" s="24"/>
    </row>
    <row r="71" spans="1:14" ht="15.75" customHeight="1">
      <c r="A71" s="59">
        <v>10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5.75" hidden="1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31.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5.7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15.75" hidden="1" customHeight="1">
      <c r="A75" s="74"/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v>0</v>
      </c>
      <c r="J75" s="26"/>
      <c r="L75" s="22"/>
      <c r="M75" s="23"/>
      <c r="N75" s="24"/>
    </row>
    <row r="76" spans="1:14" ht="15.75" hidden="1" customHeight="1">
      <c r="A76" s="59"/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v>0</v>
      </c>
      <c r="J76" s="26"/>
      <c r="L76" s="22"/>
      <c r="M76" s="23"/>
      <c r="N76" s="24"/>
    </row>
    <row r="77" spans="1:14" ht="15.7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5.7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15.7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5.7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90" t="s">
        <v>136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11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12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I83+I82+I71+I61+I33+I31+I30+I27+I26+I18+I17+I16</f>
        <v>40336.214132111105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32.25" customHeight="1">
      <c r="A86" s="59">
        <v>13</v>
      </c>
      <c r="B86" s="58" t="s">
        <v>74</v>
      </c>
      <c r="C86" s="68" t="s">
        <v>86</v>
      </c>
      <c r="D86" s="30"/>
      <c r="E86" s="21"/>
      <c r="F86" s="16">
        <v>4</v>
      </c>
      <c r="G86" s="39">
        <v>86.69</v>
      </c>
      <c r="H86" s="93">
        <f>G86*F86/1000</f>
        <v>0.34676000000000001</v>
      </c>
      <c r="I86" s="134">
        <f>G86*1</f>
        <v>86.69</v>
      </c>
      <c r="J86" s="26"/>
      <c r="L86" s="22"/>
      <c r="M86" s="23"/>
      <c r="N86" s="24"/>
    </row>
    <row r="87" spans="1:14" ht="36" customHeight="1">
      <c r="A87" s="59">
        <v>14</v>
      </c>
      <c r="B87" s="124" t="s">
        <v>216</v>
      </c>
      <c r="C87" s="65" t="s">
        <v>217</v>
      </c>
      <c r="D87" s="30"/>
      <c r="E87" s="21"/>
      <c r="F87" s="16"/>
      <c r="G87" s="39">
        <v>24829.08</v>
      </c>
      <c r="H87" s="93"/>
      <c r="I87" s="134">
        <f>G87*0.01</f>
        <v>248.29080000000002</v>
      </c>
      <c r="J87" s="26"/>
      <c r="L87" s="22"/>
      <c r="M87" s="23"/>
      <c r="N87" s="24"/>
    </row>
    <row r="88" spans="1:14" ht="18" customHeight="1">
      <c r="A88" s="59">
        <v>15</v>
      </c>
      <c r="B88" s="124" t="s">
        <v>208</v>
      </c>
      <c r="C88" s="65" t="s">
        <v>87</v>
      </c>
      <c r="D88" s="30"/>
      <c r="E88" s="21"/>
      <c r="F88" s="16"/>
      <c r="G88" s="40">
        <v>9871.8700000000008</v>
      </c>
      <c r="H88" s="93"/>
      <c r="I88" s="134">
        <f>G88*0.9</f>
        <v>8884.6830000000009</v>
      </c>
      <c r="J88" s="26"/>
      <c r="L88" s="22"/>
      <c r="M88" s="23"/>
      <c r="N88" s="24"/>
    </row>
    <row r="89" spans="1:14" ht="30.75" customHeight="1">
      <c r="A89" s="59">
        <v>16</v>
      </c>
      <c r="B89" s="58" t="s">
        <v>165</v>
      </c>
      <c r="C89" s="68" t="s">
        <v>76</v>
      </c>
      <c r="D89" s="30"/>
      <c r="E89" s="21"/>
      <c r="F89" s="16"/>
      <c r="G89" s="39">
        <v>1272</v>
      </c>
      <c r="H89" s="93"/>
      <c r="I89" s="134">
        <f>G89*2</f>
        <v>2544</v>
      </c>
      <c r="J89" s="26"/>
      <c r="L89" s="22"/>
      <c r="M89" s="23"/>
      <c r="N89" s="24"/>
    </row>
    <row r="90" spans="1:14" ht="18" customHeight="1">
      <c r="A90" s="59">
        <v>17</v>
      </c>
      <c r="B90" s="66" t="s">
        <v>218</v>
      </c>
      <c r="C90" s="67" t="s">
        <v>86</v>
      </c>
      <c r="D90" s="30"/>
      <c r="E90" s="21"/>
      <c r="F90" s="16"/>
      <c r="G90" s="39">
        <v>169.24</v>
      </c>
      <c r="H90" s="93"/>
      <c r="I90" s="134">
        <f>G90*4</f>
        <v>676.96</v>
      </c>
      <c r="J90" s="26"/>
      <c r="L90" s="22"/>
      <c r="M90" s="23"/>
      <c r="N90" s="24"/>
    </row>
    <row r="91" spans="1:14" ht="18" customHeight="1">
      <c r="A91" s="59">
        <v>18</v>
      </c>
      <c r="B91" s="66" t="s">
        <v>219</v>
      </c>
      <c r="C91" s="67" t="s">
        <v>86</v>
      </c>
      <c r="D91" s="30"/>
      <c r="E91" s="21"/>
      <c r="F91" s="16"/>
      <c r="G91" s="39">
        <v>50</v>
      </c>
      <c r="H91" s="93"/>
      <c r="I91" s="134">
        <f>G91*2</f>
        <v>100</v>
      </c>
      <c r="J91" s="26"/>
      <c r="L91" s="22"/>
      <c r="M91" s="23"/>
      <c r="N91" s="24"/>
    </row>
    <row r="92" spans="1:14" ht="18" customHeight="1">
      <c r="A92" s="59">
        <v>19</v>
      </c>
      <c r="B92" s="58" t="s">
        <v>158</v>
      </c>
      <c r="C92" s="68" t="s">
        <v>86</v>
      </c>
      <c r="D92" s="30"/>
      <c r="E92" s="21"/>
      <c r="F92" s="16"/>
      <c r="G92" s="39">
        <v>197.48</v>
      </c>
      <c r="H92" s="93"/>
      <c r="I92" s="134">
        <f>G92*1</f>
        <v>197.48</v>
      </c>
      <c r="J92" s="26"/>
      <c r="L92" s="22"/>
      <c r="M92" s="23"/>
      <c r="N92" s="24"/>
    </row>
    <row r="93" spans="1:14" s="173" customFormat="1" ht="18" customHeight="1">
      <c r="A93" s="59">
        <v>20</v>
      </c>
      <c r="B93" s="174" t="s">
        <v>220</v>
      </c>
      <c r="C93" s="65" t="s">
        <v>86</v>
      </c>
      <c r="D93" s="30"/>
      <c r="E93" s="21"/>
      <c r="F93" s="16"/>
      <c r="G93" s="40">
        <v>197.26</v>
      </c>
      <c r="H93" s="93"/>
      <c r="I93" s="134">
        <f>G93*1</f>
        <v>197.26</v>
      </c>
      <c r="J93" s="172"/>
      <c r="L93" s="22"/>
      <c r="M93" s="23"/>
      <c r="N93" s="175"/>
    </row>
    <row r="94" spans="1:14" ht="15.75" customHeight="1">
      <c r="A94" s="30"/>
      <c r="B94" s="50" t="s">
        <v>49</v>
      </c>
      <c r="C94" s="46"/>
      <c r="D94" s="57"/>
      <c r="E94" s="46">
        <v>1</v>
      </c>
      <c r="F94" s="46"/>
      <c r="G94" s="34"/>
      <c r="H94" s="46"/>
      <c r="I94" s="34">
        <f>I93+I92+I91+I90+I89+I88+I87+I86</f>
        <v>12935.363800000003</v>
      </c>
      <c r="J94" s="26"/>
      <c r="L94" s="22"/>
      <c r="M94" s="23"/>
      <c r="N94" s="24"/>
    </row>
    <row r="95" spans="1:14" ht="15.75" customHeight="1">
      <c r="A95" s="30"/>
      <c r="B95" s="52" t="s">
        <v>73</v>
      </c>
      <c r="C95" s="18"/>
      <c r="D95" s="18"/>
      <c r="E95" s="47"/>
      <c r="F95" s="48"/>
      <c r="G95" s="20"/>
      <c r="H95" s="76"/>
      <c r="I95" s="21">
        <v>0</v>
      </c>
      <c r="J95" s="26"/>
      <c r="L95" s="22"/>
      <c r="M95" s="23"/>
      <c r="N95" s="24"/>
    </row>
    <row r="96" spans="1:14" ht="15.75" customHeight="1">
      <c r="A96" s="77"/>
      <c r="B96" s="51" t="s">
        <v>145</v>
      </c>
      <c r="C96" s="37"/>
      <c r="D96" s="37"/>
      <c r="E96" s="37"/>
      <c r="F96" s="37"/>
      <c r="G96" s="49"/>
      <c r="H96" s="38"/>
      <c r="I96" s="34">
        <f>I84+I94</f>
        <v>53271.577932111104</v>
      </c>
      <c r="J96" s="26"/>
      <c r="L96" s="22"/>
      <c r="M96" s="23"/>
      <c r="N96" s="24"/>
    </row>
    <row r="97" spans="1:22" ht="15.75" customHeight="1">
      <c r="A97" s="186" t="s">
        <v>221</v>
      </c>
      <c r="B97" s="186"/>
      <c r="C97" s="186"/>
      <c r="D97" s="186"/>
      <c r="E97" s="186"/>
      <c r="F97" s="186"/>
      <c r="G97" s="186"/>
      <c r="H97" s="186"/>
      <c r="I97" s="186"/>
      <c r="J97" s="26"/>
      <c r="L97" s="22"/>
      <c r="M97" s="23"/>
      <c r="N97" s="24"/>
    </row>
    <row r="98" spans="1:22" ht="15.75" customHeight="1">
      <c r="A98" s="12"/>
      <c r="B98" s="200" t="s">
        <v>222</v>
      </c>
      <c r="C98" s="200"/>
      <c r="D98" s="200"/>
      <c r="E98" s="200"/>
      <c r="F98" s="200"/>
      <c r="G98" s="200"/>
      <c r="H98" s="107"/>
      <c r="I98" s="4"/>
      <c r="J98" s="26"/>
      <c r="L98" s="22"/>
    </row>
    <row r="99" spans="1:22" ht="15.75" customHeight="1">
      <c r="A99" s="69"/>
      <c r="B99" s="201" t="s">
        <v>6</v>
      </c>
      <c r="C99" s="201"/>
      <c r="D99" s="201"/>
      <c r="E99" s="201"/>
      <c r="F99" s="201"/>
      <c r="G99" s="201"/>
      <c r="H99" s="27"/>
      <c r="I99" s="54"/>
    </row>
    <row r="100" spans="1:22" ht="15.75" customHeight="1">
      <c r="A100" s="55"/>
      <c r="B100" s="55"/>
      <c r="C100" s="55"/>
      <c r="D100" s="55"/>
      <c r="E100" s="55"/>
      <c r="F100" s="55"/>
      <c r="G100" s="55"/>
      <c r="H100" s="55"/>
      <c r="I100" s="55"/>
    </row>
    <row r="101" spans="1:22" ht="15.75" customHeight="1">
      <c r="A101" s="202" t="s">
        <v>7</v>
      </c>
      <c r="B101" s="202"/>
      <c r="C101" s="202"/>
      <c r="D101" s="202"/>
      <c r="E101" s="202"/>
      <c r="F101" s="202"/>
      <c r="G101" s="202"/>
      <c r="H101" s="202"/>
      <c r="I101" s="202"/>
    </row>
    <row r="102" spans="1:22" ht="15.75" customHeight="1">
      <c r="A102" s="202" t="s">
        <v>8</v>
      </c>
      <c r="B102" s="202"/>
      <c r="C102" s="202"/>
      <c r="D102" s="202"/>
      <c r="E102" s="202"/>
      <c r="F102" s="202"/>
      <c r="G102" s="202"/>
      <c r="H102" s="202"/>
      <c r="I102" s="202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11"/>
    </row>
    <row r="103" spans="1:22" ht="15.75" customHeight="1">
      <c r="A103" s="186" t="s">
        <v>9</v>
      </c>
      <c r="B103" s="186"/>
      <c r="C103" s="186"/>
      <c r="D103" s="186"/>
      <c r="E103" s="186"/>
      <c r="F103" s="186"/>
      <c r="G103" s="186"/>
      <c r="H103" s="186"/>
      <c r="I103" s="186"/>
      <c r="J103" s="28"/>
      <c r="K103" s="28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2" ht="15.75" customHeight="1">
      <c r="A104" s="14"/>
      <c r="B104" s="53"/>
      <c r="C104" s="53"/>
      <c r="D104" s="53"/>
      <c r="E104" s="53"/>
      <c r="F104" s="53"/>
      <c r="G104" s="53"/>
      <c r="H104" s="53"/>
      <c r="I104" s="53"/>
      <c r="J104" s="6"/>
      <c r="K104" s="6"/>
      <c r="L104" s="6"/>
      <c r="M104" s="6"/>
      <c r="N104" s="6"/>
      <c r="O104" s="6"/>
      <c r="P104" s="6"/>
      <c r="Q104" s="6"/>
      <c r="R104" s="204"/>
      <c r="S104" s="204"/>
      <c r="T104" s="204"/>
      <c r="U104" s="204"/>
    </row>
    <row r="105" spans="1:22" ht="15.75" customHeight="1">
      <c r="A105" s="205" t="s">
        <v>10</v>
      </c>
      <c r="B105" s="205"/>
      <c r="C105" s="205"/>
      <c r="D105" s="205"/>
      <c r="E105" s="205"/>
      <c r="F105" s="205"/>
      <c r="G105" s="205"/>
      <c r="H105" s="205"/>
      <c r="I105" s="205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2" ht="15.75" customHeight="1">
      <c r="A106" s="5"/>
      <c r="B106" s="53"/>
      <c r="C106" s="53"/>
      <c r="D106" s="53"/>
      <c r="E106" s="53"/>
      <c r="F106" s="53"/>
      <c r="G106" s="53"/>
      <c r="H106" s="53"/>
      <c r="I106" s="53"/>
    </row>
    <row r="107" spans="1:22" ht="15.75" customHeight="1">
      <c r="A107" s="186" t="s">
        <v>11</v>
      </c>
      <c r="B107" s="186"/>
      <c r="C107" s="206" t="s">
        <v>84</v>
      </c>
      <c r="D107" s="206"/>
      <c r="E107" s="206"/>
      <c r="F107" s="71"/>
      <c r="I107" s="110"/>
    </row>
    <row r="108" spans="1:22" ht="15.75" customHeight="1">
      <c r="A108" s="69"/>
      <c r="B108" s="53"/>
      <c r="C108" s="201" t="s">
        <v>12</v>
      </c>
      <c r="D108" s="201"/>
      <c r="E108" s="201"/>
      <c r="F108" s="27"/>
      <c r="I108" s="108" t="s">
        <v>13</v>
      </c>
    </row>
    <row r="109" spans="1:22" ht="15.75" customHeight="1">
      <c r="A109" s="28"/>
      <c r="B109" s="53"/>
      <c r="C109" s="15"/>
      <c r="D109" s="15"/>
      <c r="G109" s="15"/>
      <c r="H109" s="15"/>
    </row>
    <row r="110" spans="1:22" ht="15.75" customHeight="1">
      <c r="A110" s="186" t="s">
        <v>14</v>
      </c>
      <c r="B110" s="186"/>
      <c r="C110" s="207"/>
      <c r="D110" s="207"/>
      <c r="E110" s="207"/>
      <c r="F110" s="72"/>
      <c r="I110" s="110"/>
    </row>
    <row r="111" spans="1:22" ht="15.75" customHeight="1">
      <c r="A111" s="111"/>
      <c r="C111" s="204" t="s">
        <v>12</v>
      </c>
      <c r="D111" s="204"/>
      <c r="E111" s="204"/>
      <c r="F111" s="111"/>
      <c r="I111" s="108" t="s">
        <v>13</v>
      </c>
    </row>
    <row r="112" spans="1:22" ht="15.75" customHeight="1">
      <c r="A112" s="5" t="s">
        <v>15</v>
      </c>
    </row>
    <row r="113" spans="1:9">
      <c r="A113" s="208" t="s">
        <v>16</v>
      </c>
      <c r="B113" s="208"/>
      <c r="C113" s="208"/>
      <c r="D113" s="208"/>
      <c r="E113" s="208"/>
      <c r="F113" s="208"/>
      <c r="G113" s="208"/>
      <c r="H113" s="208"/>
      <c r="I113" s="208"/>
    </row>
    <row r="114" spans="1:9" ht="45" customHeight="1">
      <c r="A114" s="203" t="s">
        <v>17</v>
      </c>
      <c r="B114" s="203"/>
      <c r="C114" s="203"/>
      <c r="D114" s="203"/>
      <c r="E114" s="203"/>
      <c r="F114" s="203"/>
      <c r="G114" s="203"/>
      <c r="H114" s="203"/>
      <c r="I114" s="203"/>
    </row>
    <row r="115" spans="1:9" ht="30" customHeight="1">
      <c r="A115" s="203" t="s">
        <v>18</v>
      </c>
      <c r="B115" s="203"/>
      <c r="C115" s="203"/>
      <c r="D115" s="203"/>
      <c r="E115" s="203"/>
      <c r="F115" s="203"/>
      <c r="G115" s="203"/>
      <c r="H115" s="203"/>
      <c r="I115" s="203"/>
    </row>
    <row r="116" spans="1:9" ht="30" customHeight="1">
      <c r="A116" s="203" t="s">
        <v>22</v>
      </c>
      <c r="B116" s="203"/>
      <c r="C116" s="203"/>
      <c r="D116" s="203"/>
      <c r="E116" s="203"/>
      <c r="F116" s="203"/>
      <c r="G116" s="203"/>
      <c r="H116" s="203"/>
      <c r="I116" s="203"/>
    </row>
    <row r="117" spans="1:9" ht="15" customHeight="1">
      <c r="A117" s="203" t="s">
        <v>21</v>
      </c>
      <c r="B117" s="203"/>
      <c r="C117" s="203"/>
      <c r="D117" s="203"/>
      <c r="E117" s="203"/>
      <c r="F117" s="203"/>
      <c r="G117" s="203"/>
      <c r="H117" s="203"/>
      <c r="I117" s="203"/>
    </row>
  </sheetData>
  <autoFilter ref="I15:I100"/>
  <mergeCells count="31">
    <mergeCell ref="A117:I117"/>
    <mergeCell ref="R104:U104"/>
    <mergeCell ref="A105:I105"/>
    <mergeCell ref="A107:B107"/>
    <mergeCell ref="C107:E107"/>
    <mergeCell ref="C108:E108"/>
    <mergeCell ref="A110:B110"/>
    <mergeCell ref="C110:E110"/>
    <mergeCell ref="C111:E111"/>
    <mergeCell ref="A113:I113"/>
    <mergeCell ref="A114:I114"/>
    <mergeCell ref="A115:I115"/>
    <mergeCell ref="A116:I116"/>
    <mergeCell ref="A103:I103"/>
    <mergeCell ref="A15:I15"/>
    <mergeCell ref="A28:I28"/>
    <mergeCell ref="A44:I44"/>
    <mergeCell ref="A55:I55"/>
    <mergeCell ref="A81:I81"/>
    <mergeCell ref="A85:I85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5"/>
  <sheetViews>
    <sheetView topLeftCell="A30" workbookViewId="0">
      <selection activeCell="J107" sqref="J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ht="15.75">
      <c r="A1" s="32" t="s">
        <v>202</v>
      </c>
      <c r="B1" s="53"/>
      <c r="C1" s="53"/>
      <c r="D1" s="53"/>
      <c r="E1" s="53"/>
      <c r="F1" s="53"/>
      <c r="G1" s="53"/>
      <c r="H1" s="53"/>
      <c r="I1" s="31"/>
    </row>
    <row r="2" spans="1:15" ht="15.75">
      <c r="A2" s="29" t="s">
        <v>58</v>
      </c>
      <c r="B2" s="53"/>
      <c r="C2" s="53"/>
      <c r="D2" s="53"/>
      <c r="E2" s="53"/>
      <c r="F2" s="53"/>
      <c r="G2" s="53"/>
      <c r="H2" s="53"/>
      <c r="I2" s="53"/>
      <c r="J2" s="1"/>
      <c r="K2" s="1"/>
      <c r="L2" s="1"/>
      <c r="M2" s="1"/>
    </row>
    <row r="3" spans="1:15" ht="15.75" customHeight="1">
      <c r="A3" s="181" t="s">
        <v>164</v>
      </c>
      <c r="B3" s="181"/>
      <c r="C3" s="181"/>
      <c r="D3" s="181"/>
      <c r="E3" s="181"/>
      <c r="F3" s="181"/>
      <c r="G3" s="181"/>
      <c r="H3" s="181"/>
      <c r="I3" s="181"/>
      <c r="J3" s="2"/>
      <c r="K3" s="2"/>
      <c r="L3" s="2"/>
      <c r="M3" s="2"/>
    </row>
    <row r="4" spans="1:15" ht="31.5" customHeight="1">
      <c r="A4" s="182" t="s">
        <v>89</v>
      </c>
      <c r="B4" s="182"/>
      <c r="C4" s="182"/>
      <c r="D4" s="182"/>
      <c r="E4" s="182"/>
      <c r="F4" s="182"/>
      <c r="G4" s="182"/>
      <c r="H4" s="182"/>
      <c r="I4" s="182"/>
      <c r="J4" s="3"/>
      <c r="K4" s="3"/>
      <c r="L4" s="3"/>
      <c r="M4" s="3"/>
    </row>
    <row r="5" spans="1:15" ht="15.75" customHeight="1">
      <c r="A5" s="181" t="s">
        <v>223</v>
      </c>
      <c r="B5" s="183"/>
      <c r="C5" s="183"/>
      <c r="D5" s="183"/>
      <c r="E5" s="183"/>
      <c r="F5" s="183"/>
      <c r="G5" s="183"/>
      <c r="H5" s="183"/>
      <c r="I5" s="183"/>
      <c r="J5" s="4"/>
      <c r="K5" s="4"/>
      <c r="L5" s="4"/>
    </row>
    <row r="6" spans="1:15" ht="15.75" customHeight="1">
      <c r="A6" s="3"/>
      <c r="B6" s="112"/>
      <c r="C6" s="112"/>
      <c r="D6" s="112"/>
      <c r="E6" s="112"/>
      <c r="F6" s="112"/>
      <c r="G6" s="112"/>
      <c r="H6" s="112"/>
      <c r="I6" s="33">
        <v>43373</v>
      </c>
    </row>
    <row r="7" spans="1:15" ht="15.75">
      <c r="B7" s="109"/>
      <c r="C7" s="109"/>
      <c r="D7" s="109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84" t="s">
        <v>204</v>
      </c>
      <c r="B8" s="184"/>
      <c r="C8" s="184"/>
      <c r="D8" s="184"/>
      <c r="E8" s="184"/>
      <c r="F8" s="184"/>
      <c r="G8" s="184"/>
      <c r="H8" s="184"/>
      <c r="I8" s="184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85" t="s">
        <v>171</v>
      </c>
      <c r="B10" s="185"/>
      <c r="C10" s="185"/>
      <c r="D10" s="185"/>
      <c r="E10" s="185"/>
      <c r="F10" s="185"/>
      <c r="G10" s="185"/>
      <c r="H10" s="185"/>
      <c r="I10" s="185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47.25" customHeight="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</row>
    <row r="14" spans="1:15" ht="15.75" customHeight="1">
      <c r="A14" s="179" t="s">
        <v>137</v>
      </c>
      <c r="B14" s="180"/>
      <c r="C14" s="180"/>
      <c r="D14" s="180"/>
      <c r="E14" s="180"/>
      <c r="F14" s="180"/>
      <c r="G14" s="180"/>
      <c r="H14" s="180"/>
      <c r="I14" s="180"/>
      <c r="J14" s="113"/>
      <c r="K14" s="113"/>
      <c r="L14" s="10"/>
      <c r="M14" s="10"/>
      <c r="N14" s="10"/>
      <c r="O14" s="10"/>
    </row>
    <row r="15" spans="1:15">
      <c r="A15" s="187" t="s">
        <v>4</v>
      </c>
      <c r="B15" s="188"/>
      <c r="C15" s="188"/>
      <c r="D15" s="188"/>
      <c r="E15" s="188"/>
      <c r="F15" s="188"/>
      <c r="G15" s="188"/>
      <c r="H15" s="188"/>
      <c r="I15" s="189"/>
    </row>
    <row r="16" spans="1:15" ht="15.75" customHeight="1">
      <c r="A16" s="30">
        <v>1</v>
      </c>
      <c r="B16" s="60" t="s">
        <v>80</v>
      </c>
      <c r="C16" s="78" t="s">
        <v>90</v>
      </c>
      <c r="D16" s="60" t="s">
        <v>110</v>
      </c>
      <c r="E16" s="79">
        <v>66.2</v>
      </c>
      <c r="F16" s="80">
        <f>SUM(E16*156/100)</f>
        <v>103.27200000000001</v>
      </c>
      <c r="G16" s="80">
        <v>230</v>
      </c>
      <c r="H16" s="81">
        <f t="shared" ref="H16:H25" si="0">SUM(F16*G16/1000)</f>
        <v>23.752560000000003</v>
      </c>
      <c r="I16" s="16">
        <f>F16/12*G16</f>
        <v>1979.3799999999999</v>
      </c>
      <c r="J16" s="10"/>
      <c r="K16" s="10"/>
      <c r="L16" s="10"/>
      <c r="M16" s="10"/>
    </row>
    <row r="17" spans="1:13" ht="15.75" customHeight="1">
      <c r="A17" s="30">
        <v>2</v>
      </c>
      <c r="B17" s="60" t="s">
        <v>81</v>
      </c>
      <c r="C17" s="78" t="s">
        <v>90</v>
      </c>
      <c r="D17" s="60" t="s">
        <v>111</v>
      </c>
      <c r="E17" s="79">
        <v>198.7</v>
      </c>
      <c r="F17" s="80">
        <f>SUM(E17*104/100)</f>
        <v>206.648</v>
      </c>
      <c r="G17" s="80">
        <v>230</v>
      </c>
      <c r="H17" s="81">
        <f t="shared" si="0"/>
        <v>47.529040000000002</v>
      </c>
      <c r="I17" s="16">
        <f>F17/12*G17</f>
        <v>3960.7533333333331</v>
      </c>
      <c r="J17" s="10"/>
      <c r="K17" s="10"/>
      <c r="L17" s="10"/>
      <c r="M17" s="10"/>
    </row>
    <row r="18" spans="1:13" ht="15.75" customHeight="1">
      <c r="A18" s="30">
        <v>3</v>
      </c>
      <c r="B18" s="60" t="s">
        <v>82</v>
      </c>
      <c r="C18" s="78" t="s">
        <v>90</v>
      </c>
      <c r="D18" s="60" t="s">
        <v>112</v>
      </c>
      <c r="E18" s="79">
        <f>SUM(E16+E17)</f>
        <v>264.89999999999998</v>
      </c>
      <c r="F18" s="80">
        <f>SUM(E18*24/100)</f>
        <v>63.575999999999993</v>
      </c>
      <c r="G18" s="80">
        <v>661.67</v>
      </c>
      <c r="H18" s="81">
        <f t="shared" si="0"/>
        <v>42.066331919999989</v>
      </c>
      <c r="I18" s="16">
        <f>F18/12*G18</f>
        <v>3505.5276599999993</v>
      </c>
      <c r="J18" s="10"/>
      <c r="K18" s="10"/>
      <c r="L18" s="10"/>
      <c r="M18" s="10"/>
    </row>
    <row r="19" spans="1:13" ht="15.75" hidden="1" customHeight="1">
      <c r="A19" s="30">
        <v>4</v>
      </c>
      <c r="B19" s="60" t="s">
        <v>91</v>
      </c>
      <c r="C19" s="78" t="s">
        <v>88</v>
      </c>
      <c r="D19" s="60" t="s">
        <v>92</v>
      </c>
      <c r="E19" s="79">
        <v>40</v>
      </c>
      <c r="F19" s="80">
        <f>SUM(E19/10)</f>
        <v>4</v>
      </c>
      <c r="G19" s="80">
        <v>223.17</v>
      </c>
      <c r="H19" s="81">
        <f t="shared" si="0"/>
        <v>0.89267999999999992</v>
      </c>
      <c r="I19" s="16">
        <f>F19/2*G19</f>
        <v>446.34</v>
      </c>
      <c r="J19" s="10"/>
      <c r="K19" s="10"/>
      <c r="L19" s="10"/>
      <c r="M19" s="10"/>
    </row>
    <row r="20" spans="1:13" ht="15.75" customHeight="1">
      <c r="A20" s="30">
        <v>4</v>
      </c>
      <c r="B20" s="60" t="s">
        <v>93</v>
      </c>
      <c r="C20" s="78" t="s">
        <v>90</v>
      </c>
      <c r="D20" s="60" t="s">
        <v>40</v>
      </c>
      <c r="E20" s="79">
        <v>10.5</v>
      </c>
      <c r="F20" s="80">
        <f>SUM(E20*2/100)</f>
        <v>0.21</v>
      </c>
      <c r="G20" s="80">
        <v>285.76</v>
      </c>
      <c r="H20" s="81">
        <f t="shared" si="0"/>
        <v>6.0009599999999996E-2</v>
      </c>
      <c r="I20" s="16">
        <f t="shared" ref="I20:I21" si="1">F20/2*G20</f>
        <v>30.004799999999999</v>
      </c>
      <c r="J20" s="10"/>
      <c r="K20" s="10"/>
      <c r="L20" s="10"/>
      <c r="M20" s="10"/>
    </row>
    <row r="21" spans="1:13" ht="15.75" customHeight="1">
      <c r="A21" s="30">
        <v>5</v>
      </c>
      <c r="B21" s="60" t="s">
        <v>94</v>
      </c>
      <c r="C21" s="78" t="s">
        <v>90</v>
      </c>
      <c r="D21" s="60" t="s">
        <v>40</v>
      </c>
      <c r="E21" s="79">
        <v>2.7</v>
      </c>
      <c r="F21" s="80">
        <f>SUM(E21*2/100)</f>
        <v>5.4000000000000006E-2</v>
      </c>
      <c r="G21" s="80">
        <v>283.44</v>
      </c>
      <c r="H21" s="81">
        <f t="shared" si="0"/>
        <v>1.5305760000000002E-2</v>
      </c>
      <c r="I21" s="16">
        <f t="shared" si="1"/>
        <v>7.6528800000000006</v>
      </c>
      <c r="J21" s="10"/>
      <c r="K21" s="10"/>
      <c r="L21" s="10"/>
      <c r="M21" s="10"/>
    </row>
    <row r="22" spans="1:13" ht="15.75" hidden="1" customHeight="1">
      <c r="A22" s="30">
        <v>7</v>
      </c>
      <c r="B22" s="60" t="s">
        <v>95</v>
      </c>
      <c r="C22" s="78" t="s">
        <v>50</v>
      </c>
      <c r="D22" s="60" t="s">
        <v>92</v>
      </c>
      <c r="E22" s="79">
        <v>357</v>
      </c>
      <c r="F22" s="80">
        <f t="shared" ref="F22:F25" si="2">SUM(E22/100)</f>
        <v>3.57</v>
      </c>
      <c r="G22" s="80">
        <v>353.14</v>
      </c>
      <c r="H22" s="81">
        <f t="shared" si="0"/>
        <v>1.2607097999999999</v>
      </c>
      <c r="I22" s="16">
        <f>F22*G22</f>
        <v>1260.7097999999999</v>
      </c>
      <c r="J22" s="10"/>
      <c r="K22" s="10"/>
      <c r="L22" s="10"/>
      <c r="M22" s="10"/>
    </row>
    <row r="23" spans="1:13" ht="15.75" hidden="1" customHeight="1">
      <c r="A23" s="30">
        <v>8</v>
      </c>
      <c r="B23" s="60" t="s">
        <v>96</v>
      </c>
      <c r="C23" s="78" t="s">
        <v>50</v>
      </c>
      <c r="D23" s="60" t="s">
        <v>92</v>
      </c>
      <c r="E23" s="82">
        <v>38.64</v>
      </c>
      <c r="F23" s="80">
        <f t="shared" si="2"/>
        <v>0.38640000000000002</v>
      </c>
      <c r="G23" s="80">
        <v>58.08</v>
      </c>
      <c r="H23" s="81">
        <f t="shared" si="0"/>
        <v>2.2442112E-2</v>
      </c>
      <c r="I23" s="16">
        <f t="shared" ref="I23:I25" si="3">F23*G23</f>
        <v>22.442112000000002</v>
      </c>
      <c r="J23" s="10"/>
      <c r="K23" s="10"/>
      <c r="L23" s="10"/>
      <c r="M23" s="10"/>
    </row>
    <row r="24" spans="1:13" ht="15.75" hidden="1" customHeight="1">
      <c r="A24" s="30">
        <v>9</v>
      </c>
      <c r="B24" s="60" t="s">
        <v>97</v>
      </c>
      <c r="C24" s="78" t="s">
        <v>50</v>
      </c>
      <c r="D24" s="61" t="s">
        <v>92</v>
      </c>
      <c r="E24" s="21">
        <v>15</v>
      </c>
      <c r="F24" s="83">
        <f t="shared" si="2"/>
        <v>0.15</v>
      </c>
      <c r="G24" s="80">
        <v>511.12</v>
      </c>
      <c r="H24" s="81">
        <f t="shared" si="0"/>
        <v>7.6667999999999986E-2</v>
      </c>
      <c r="I24" s="16">
        <f t="shared" si="3"/>
        <v>76.667999999999992</v>
      </c>
      <c r="J24" s="10"/>
      <c r="K24" s="10"/>
      <c r="L24" s="10"/>
      <c r="M24" s="10"/>
    </row>
    <row r="25" spans="1:13" ht="15.75" hidden="1" customHeight="1">
      <c r="A25" s="30">
        <v>10</v>
      </c>
      <c r="B25" s="60" t="s">
        <v>98</v>
      </c>
      <c r="C25" s="78" t="s">
        <v>50</v>
      </c>
      <c r="D25" s="60" t="s">
        <v>92</v>
      </c>
      <c r="E25" s="84">
        <v>6.38</v>
      </c>
      <c r="F25" s="80">
        <f t="shared" si="2"/>
        <v>6.3799999999999996E-2</v>
      </c>
      <c r="G25" s="80">
        <v>683.05</v>
      </c>
      <c r="H25" s="81">
        <f t="shared" si="0"/>
        <v>4.3578589999999993E-2</v>
      </c>
      <c r="I25" s="16">
        <f t="shared" si="3"/>
        <v>43.578589999999991</v>
      </c>
      <c r="J25" s="10"/>
      <c r="K25" s="10"/>
      <c r="L25" s="10"/>
      <c r="M25" s="10"/>
    </row>
    <row r="26" spans="1:13" ht="15.75" customHeight="1">
      <c r="A26" s="30">
        <v>6</v>
      </c>
      <c r="B26" s="60" t="s">
        <v>60</v>
      </c>
      <c r="C26" s="78" t="s">
        <v>31</v>
      </c>
      <c r="D26" s="60"/>
      <c r="E26" s="79">
        <v>0.1</v>
      </c>
      <c r="F26" s="80">
        <f>SUM(E26*365)</f>
        <v>36.5</v>
      </c>
      <c r="G26" s="80">
        <v>192.84</v>
      </c>
      <c r="H26" s="81">
        <f t="shared" ref="H26:H27" si="4">SUM(F26*G26/1000)</f>
        <v>7.0386600000000001</v>
      </c>
      <c r="I26" s="16">
        <f>F26/12*G26</f>
        <v>586.55499999999995</v>
      </c>
      <c r="J26" s="25"/>
      <c r="K26" s="10"/>
      <c r="L26" s="10"/>
      <c r="M26" s="10"/>
    </row>
    <row r="27" spans="1:13" ht="15.75" customHeight="1">
      <c r="A27" s="30">
        <v>7</v>
      </c>
      <c r="B27" s="86" t="s">
        <v>24</v>
      </c>
      <c r="C27" s="78" t="s">
        <v>25</v>
      </c>
      <c r="D27" s="60"/>
      <c r="E27" s="79">
        <v>2566.6</v>
      </c>
      <c r="F27" s="80">
        <f>SUM(E27*12)</f>
        <v>30799.199999999997</v>
      </c>
      <c r="G27" s="80">
        <v>2.4500000000000002</v>
      </c>
      <c r="H27" s="81">
        <f t="shared" si="4"/>
        <v>75.458039999999997</v>
      </c>
      <c r="I27" s="96">
        <f>F27/12*G27</f>
        <v>6288.17</v>
      </c>
      <c r="J27" s="25"/>
      <c r="K27" s="10"/>
      <c r="L27" s="10"/>
      <c r="M27" s="10"/>
    </row>
    <row r="28" spans="1:13" ht="15.75" customHeight="1">
      <c r="A28" s="187" t="s">
        <v>78</v>
      </c>
      <c r="B28" s="188"/>
      <c r="C28" s="188"/>
      <c r="D28" s="188"/>
      <c r="E28" s="188"/>
      <c r="F28" s="188"/>
      <c r="G28" s="188"/>
      <c r="H28" s="188"/>
      <c r="I28" s="189"/>
      <c r="J28" s="25"/>
      <c r="K28" s="10"/>
      <c r="L28" s="10"/>
      <c r="M28" s="10"/>
    </row>
    <row r="29" spans="1:13" ht="15.75" customHeight="1">
      <c r="A29" s="117"/>
      <c r="B29" s="70" t="s">
        <v>138</v>
      </c>
      <c r="C29" s="116"/>
      <c r="D29" s="116"/>
      <c r="E29" s="116"/>
      <c r="F29" s="116"/>
      <c r="G29" s="116"/>
      <c r="H29" s="116"/>
      <c r="I29" s="116"/>
      <c r="J29" s="25"/>
      <c r="K29" s="10"/>
      <c r="L29" s="10"/>
      <c r="M29" s="10"/>
    </row>
    <row r="30" spans="1:13" ht="15.75" customHeight="1">
      <c r="A30" s="132">
        <v>8</v>
      </c>
      <c r="B30" s="60" t="s">
        <v>139</v>
      </c>
      <c r="C30" s="78" t="s">
        <v>99</v>
      </c>
      <c r="D30" s="60" t="s">
        <v>142</v>
      </c>
      <c r="E30" s="80">
        <v>152.6</v>
      </c>
      <c r="F30" s="80">
        <f>SUM(E30*52/1000)</f>
        <v>7.9352</v>
      </c>
      <c r="G30" s="80">
        <v>204.44</v>
      </c>
      <c r="H30" s="81">
        <f t="shared" ref="H30:H33" si="5">SUM(F30*G30/1000)</f>
        <v>1.6222722879999998</v>
      </c>
      <c r="I30" s="96">
        <f>F30/6*G30</f>
        <v>270.37871466666667</v>
      </c>
      <c r="J30" s="25"/>
      <c r="K30" s="10"/>
      <c r="L30" s="10"/>
      <c r="M30" s="10"/>
    </row>
    <row r="31" spans="1:13" ht="31.5" customHeight="1">
      <c r="A31" s="30">
        <v>9</v>
      </c>
      <c r="B31" s="60" t="s">
        <v>140</v>
      </c>
      <c r="C31" s="78" t="s">
        <v>99</v>
      </c>
      <c r="D31" s="60" t="s">
        <v>143</v>
      </c>
      <c r="E31" s="80">
        <v>58.1</v>
      </c>
      <c r="F31" s="80">
        <f>SUM(E31*78/1000)</f>
        <v>4.5318000000000005</v>
      </c>
      <c r="G31" s="80">
        <v>339.21</v>
      </c>
      <c r="H31" s="81">
        <f t="shared" si="5"/>
        <v>1.5372318780000001</v>
      </c>
      <c r="I31" s="96">
        <f t="shared" ref="I31:I33" si="6">F31/6*G31</f>
        <v>256.20531299999999</v>
      </c>
      <c r="J31" s="25"/>
      <c r="K31" s="10"/>
      <c r="L31" s="10"/>
      <c r="M31" s="10"/>
    </row>
    <row r="32" spans="1:13" ht="15.75" hidden="1" customHeight="1">
      <c r="A32" s="75">
        <v>15</v>
      </c>
      <c r="B32" s="60" t="s">
        <v>27</v>
      </c>
      <c r="C32" s="78" t="s">
        <v>99</v>
      </c>
      <c r="D32" s="60" t="s">
        <v>51</v>
      </c>
      <c r="E32" s="80">
        <v>152.6</v>
      </c>
      <c r="F32" s="80">
        <f>SUM(E32/1000)</f>
        <v>0.15259999999999999</v>
      </c>
      <c r="G32" s="80">
        <v>3961.23</v>
      </c>
      <c r="H32" s="81">
        <f t="shared" si="5"/>
        <v>0.6044836979999999</v>
      </c>
      <c r="I32" s="96">
        <f>F32*G32</f>
        <v>604.48369799999989</v>
      </c>
      <c r="J32" s="25"/>
      <c r="K32" s="10"/>
      <c r="L32" s="10"/>
      <c r="M32" s="10"/>
    </row>
    <row r="33" spans="1:13" ht="15.75" customHeight="1">
      <c r="A33" s="75">
        <v>10</v>
      </c>
      <c r="B33" s="60" t="s">
        <v>141</v>
      </c>
      <c r="C33" s="78" t="s">
        <v>29</v>
      </c>
      <c r="D33" s="60" t="s">
        <v>59</v>
      </c>
      <c r="E33" s="85">
        <f>1/3</f>
        <v>0.33333333333333331</v>
      </c>
      <c r="F33" s="80">
        <f>155/3</f>
        <v>51.666666666666664</v>
      </c>
      <c r="G33" s="80">
        <v>74.349999999999994</v>
      </c>
      <c r="H33" s="81">
        <f t="shared" si="5"/>
        <v>3.841416666666666</v>
      </c>
      <c r="I33" s="16">
        <f t="shared" si="6"/>
        <v>640.23611111111109</v>
      </c>
      <c r="J33" s="25"/>
      <c r="K33" s="10"/>
      <c r="L33" s="10"/>
      <c r="M33" s="10"/>
    </row>
    <row r="34" spans="1:13" ht="15.75" hidden="1" customHeight="1">
      <c r="A34" s="75"/>
      <c r="B34" s="60" t="s">
        <v>61</v>
      </c>
      <c r="C34" s="78" t="s">
        <v>31</v>
      </c>
      <c r="D34" s="60" t="s">
        <v>62</v>
      </c>
      <c r="E34" s="79"/>
      <c r="F34" s="80">
        <v>1</v>
      </c>
      <c r="G34" s="80">
        <v>250.92</v>
      </c>
      <c r="H34" s="81">
        <f>SUM(F34*G34/1000)</f>
        <v>0.25091999999999998</v>
      </c>
      <c r="I34" s="16">
        <v>0</v>
      </c>
      <c r="J34" s="25"/>
      <c r="K34" s="10"/>
      <c r="L34" s="10"/>
      <c r="M34" s="10"/>
    </row>
    <row r="35" spans="1:13" ht="15.75" hidden="1" customHeight="1">
      <c r="A35" s="75"/>
      <c r="B35" s="60" t="s">
        <v>113</v>
      </c>
      <c r="C35" s="78" t="s">
        <v>30</v>
      </c>
      <c r="D35" s="60" t="s">
        <v>62</v>
      </c>
      <c r="E35" s="79"/>
      <c r="F35" s="80">
        <v>1</v>
      </c>
      <c r="G35" s="80">
        <v>1490.31</v>
      </c>
      <c r="H35" s="81">
        <f>SUM(F35*G35/1000)</f>
        <v>1.49031</v>
      </c>
      <c r="I35" s="16">
        <v>0</v>
      </c>
      <c r="J35" s="25"/>
      <c r="K35" s="10"/>
      <c r="L35" s="10"/>
      <c r="M35" s="10"/>
    </row>
    <row r="36" spans="1:13" ht="15.75" hidden="1" customHeight="1">
      <c r="A36" s="117"/>
      <c r="B36" s="70" t="s">
        <v>5</v>
      </c>
      <c r="C36" s="116"/>
      <c r="D36" s="116"/>
      <c r="E36" s="116"/>
      <c r="F36" s="116"/>
      <c r="G36" s="116"/>
      <c r="H36" s="116"/>
      <c r="I36" s="116"/>
      <c r="J36" s="25"/>
      <c r="K36" s="10"/>
      <c r="L36" s="10"/>
      <c r="M36" s="10"/>
    </row>
    <row r="37" spans="1:13" ht="15.75" hidden="1" customHeight="1">
      <c r="A37" s="114">
        <v>6</v>
      </c>
      <c r="B37" s="60" t="s">
        <v>26</v>
      </c>
      <c r="C37" s="78" t="s">
        <v>30</v>
      </c>
      <c r="D37" s="60"/>
      <c r="E37" s="79"/>
      <c r="F37" s="80">
        <v>3</v>
      </c>
      <c r="G37" s="80">
        <v>2003</v>
      </c>
      <c r="H37" s="81">
        <f t="shared" ref="H37:H43" si="7">SUM(F37*G37/1000)</f>
        <v>6.0090000000000003</v>
      </c>
      <c r="I37" s="115">
        <f t="shared" ref="I37:I43" si="8">F37/6*G37</f>
        <v>1001.5</v>
      </c>
      <c r="J37" s="25"/>
      <c r="K37" s="10"/>
      <c r="L37" s="10"/>
      <c r="M37" s="10"/>
    </row>
    <row r="38" spans="1:13" ht="15.75" hidden="1" customHeight="1">
      <c r="A38" s="30">
        <v>7</v>
      </c>
      <c r="B38" s="60" t="s">
        <v>147</v>
      </c>
      <c r="C38" s="78" t="s">
        <v>28</v>
      </c>
      <c r="D38" s="60" t="s">
        <v>114</v>
      </c>
      <c r="E38" s="79">
        <v>58.1</v>
      </c>
      <c r="F38" s="80">
        <f>E38*30/1000</f>
        <v>1.7430000000000001</v>
      </c>
      <c r="G38" s="80">
        <v>2757.78</v>
      </c>
      <c r="H38" s="81">
        <f>G38*F38/1000</f>
        <v>4.8068105400000007</v>
      </c>
      <c r="I38" s="16">
        <f t="shared" si="8"/>
        <v>801.1350900000001</v>
      </c>
      <c r="J38" s="25"/>
      <c r="K38" s="10"/>
      <c r="L38" s="10"/>
      <c r="M38" s="10"/>
    </row>
    <row r="39" spans="1:13" ht="15.75" hidden="1" customHeight="1">
      <c r="A39" s="30">
        <v>8</v>
      </c>
      <c r="B39" s="60" t="s">
        <v>115</v>
      </c>
      <c r="C39" s="78" t="s">
        <v>116</v>
      </c>
      <c r="D39" s="60" t="s">
        <v>62</v>
      </c>
      <c r="E39" s="79"/>
      <c r="F39" s="80">
        <v>26</v>
      </c>
      <c r="G39" s="80">
        <v>301.70999999999998</v>
      </c>
      <c r="H39" s="81">
        <f>G39*F39/1000</f>
        <v>7.8444599999999989</v>
      </c>
      <c r="I39" s="16">
        <f t="shared" si="8"/>
        <v>1307.4099999999999</v>
      </c>
      <c r="J39" s="25"/>
      <c r="K39" s="10"/>
      <c r="L39" s="10"/>
      <c r="M39" s="10"/>
    </row>
    <row r="40" spans="1:13" ht="15.75" hidden="1" customHeight="1">
      <c r="A40" s="30">
        <v>8</v>
      </c>
      <c r="B40" s="60" t="s">
        <v>63</v>
      </c>
      <c r="C40" s="78" t="s">
        <v>28</v>
      </c>
      <c r="D40" s="60" t="s">
        <v>117</v>
      </c>
      <c r="E40" s="80">
        <v>58.1</v>
      </c>
      <c r="F40" s="80">
        <f>SUM(E40*155/1000)</f>
        <v>9.0054999999999996</v>
      </c>
      <c r="G40" s="80">
        <v>460.02</v>
      </c>
      <c r="H40" s="81">
        <f t="shared" si="7"/>
        <v>4.1427101100000003</v>
      </c>
      <c r="I40" s="16">
        <f t="shared" si="8"/>
        <v>690.451685</v>
      </c>
      <c r="J40" s="25"/>
      <c r="K40" s="10"/>
      <c r="L40" s="10"/>
      <c r="M40" s="10"/>
    </row>
    <row r="41" spans="1:13" ht="47.25" hidden="1" customHeight="1">
      <c r="A41" s="30">
        <v>9</v>
      </c>
      <c r="B41" s="60" t="s">
        <v>77</v>
      </c>
      <c r="C41" s="78" t="s">
        <v>99</v>
      </c>
      <c r="D41" s="60" t="s">
        <v>148</v>
      </c>
      <c r="E41" s="80">
        <v>58.1</v>
      </c>
      <c r="F41" s="80">
        <f>SUM(E41*35/1000)</f>
        <v>2.0335000000000001</v>
      </c>
      <c r="G41" s="80">
        <v>7611.16</v>
      </c>
      <c r="H41" s="81">
        <f t="shared" si="7"/>
        <v>15.47729386</v>
      </c>
      <c r="I41" s="16">
        <f t="shared" si="8"/>
        <v>2579.5489766666669</v>
      </c>
      <c r="J41" s="25"/>
      <c r="K41" s="10"/>
      <c r="L41" s="10"/>
      <c r="M41" s="10"/>
    </row>
    <row r="42" spans="1:13" ht="15.75" hidden="1" customHeight="1">
      <c r="A42" s="30">
        <v>10</v>
      </c>
      <c r="B42" s="60" t="s">
        <v>118</v>
      </c>
      <c r="C42" s="78" t="s">
        <v>99</v>
      </c>
      <c r="D42" s="60" t="s">
        <v>149</v>
      </c>
      <c r="E42" s="80">
        <v>58.1</v>
      </c>
      <c r="F42" s="80">
        <f>SUM(E42*20/1000)</f>
        <v>1.1619999999999999</v>
      </c>
      <c r="G42" s="80">
        <v>562.25</v>
      </c>
      <c r="H42" s="81">
        <f t="shared" si="7"/>
        <v>0.65333449999999993</v>
      </c>
      <c r="I42" s="16">
        <f t="shared" si="8"/>
        <v>108.88908333333333</v>
      </c>
      <c r="J42" s="25"/>
      <c r="K42" s="10"/>
      <c r="L42" s="10"/>
      <c r="M42" s="10"/>
    </row>
    <row r="43" spans="1:13" ht="15.75" hidden="1" customHeight="1">
      <c r="A43" s="30">
        <v>11</v>
      </c>
      <c r="B43" s="60" t="s">
        <v>64</v>
      </c>
      <c r="C43" s="78" t="s">
        <v>31</v>
      </c>
      <c r="D43" s="60"/>
      <c r="E43" s="79"/>
      <c r="F43" s="80">
        <v>0.4</v>
      </c>
      <c r="G43" s="80">
        <v>974.83</v>
      </c>
      <c r="H43" s="81">
        <f t="shared" si="7"/>
        <v>0.389932</v>
      </c>
      <c r="I43" s="16">
        <f t="shared" si="8"/>
        <v>64.988666666666674</v>
      </c>
      <c r="J43" s="25"/>
      <c r="K43" s="10"/>
    </row>
    <row r="44" spans="1:13" ht="15.75" customHeight="1">
      <c r="A44" s="190" t="s">
        <v>129</v>
      </c>
      <c r="B44" s="191"/>
      <c r="C44" s="191"/>
      <c r="D44" s="191"/>
      <c r="E44" s="191"/>
      <c r="F44" s="191"/>
      <c r="G44" s="191"/>
      <c r="H44" s="191"/>
      <c r="I44" s="192"/>
      <c r="J44" s="26"/>
    </row>
    <row r="45" spans="1:13" ht="15.75" customHeight="1">
      <c r="A45" s="30">
        <v>11</v>
      </c>
      <c r="B45" s="60" t="s">
        <v>119</v>
      </c>
      <c r="C45" s="78" t="s">
        <v>99</v>
      </c>
      <c r="D45" s="60" t="s">
        <v>40</v>
      </c>
      <c r="E45" s="79">
        <v>1114.75</v>
      </c>
      <c r="F45" s="80">
        <f>SUM(E45*2/1000)</f>
        <v>2.2294999999999998</v>
      </c>
      <c r="G45" s="16">
        <v>1352.76</v>
      </c>
      <c r="H45" s="81">
        <f t="shared" ref="H45:H54" si="9">SUM(F45*G45/1000)</f>
        <v>3.0159784199999997</v>
      </c>
      <c r="I45" s="16">
        <f t="shared" ref="I45:I47" si="10">F45/2*G45</f>
        <v>1507.98921</v>
      </c>
      <c r="J45" s="26"/>
    </row>
    <row r="46" spans="1:13" ht="15.75" customHeight="1">
      <c r="A46" s="30">
        <v>12</v>
      </c>
      <c r="B46" s="60" t="s">
        <v>34</v>
      </c>
      <c r="C46" s="78" t="s">
        <v>99</v>
      </c>
      <c r="D46" s="60" t="s">
        <v>40</v>
      </c>
      <c r="E46" s="79">
        <v>1250.6199999999999</v>
      </c>
      <c r="F46" s="80">
        <f>SUM(E46*2/1000)</f>
        <v>2.5012399999999997</v>
      </c>
      <c r="G46" s="16">
        <v>1803.69</v>
      </c>
      <c r="H46" s="81">
        <f t="shared" si="9"/>
        <v>4.5114615755999994</v>
      </c>
      <c r="I46" s="16">
        <f t="shared" si="10"/>
        <v>2255.7307877999997</v>
      </c>
      <c r="J46" s="26"/>
    </row>
    <row r="47" spans="1:13" ht="15.75" customHeight="1">
      <c r="A47" s="30">
        <v>13</v>
      </c>
      <c r="B47" s="60" t="s">
        <v>35</v>
      </c>
      <c r="C47" s="78" t="s">
        <v>99</v>
      </c>
      <c r="D47" s="60" t="s">
        <v>40</v>
      </c>
      <c r="E47" s="79">
        <v>1295.68</v>
      </c>
      <c r="F47" s="80">
        <f>SUM(E47*2/1000)</f>
        <v>2.5913600000000003</v>
      </c>
      <c r="G47" s="16">
        <v>1243.43</v>
      </c>
      <c r="H47" s="81">
        <f t="shared" si="9"/>
        <v>3.2221747648000005</v>
      </c>
      <c r="I47" s="16">
        <f t="shared" si="10"/>
        <v>1611.0873824000003</v>
      </c>
      <c r="J47" s="26"/>
    </row>
    <row r="48" spans="1:13" ht="15.75" customHeight="1">
      <c r="A48" s="30">
        <v>14</v>
      </c>
      <c r="B48" s="60" t="s">
        <v>32</v>
      </c>
      <c r="C48" s="78" t="s">
        <v>33</v>
      </c>
      <c r="D48" s="60" t="s">
        <v>40</v>
      </c>
      <c r="E48" s="79">
        <v>85.84</v>
      </c>
      <c r="F48" s="80">
        <f>E48*2/100</f>
        <v>1.7168000000000001</v>
      </c>
      <c r="G48" s="16">
        <v>95.49</v>
      </c>
      <c r="H48" s="81">
        <f t="shared" si="9"/>
        <v>0.16393723199999999</v>
      </c>
      <c r="I48" s="16">
        <f>F48/2*G48</f>
        <v>81.968615999999997</v>
      </c>
      <c r="J48" s="26"/>
    </row>
    <row r="49" spans="1:14" ht="15.75" customHeight="1">
      <c r="A49" s="30">
        <v>15</v>
      </c>
      <c r="B49" s="60" t="s">
        <v>54</v>
      </c>
      <c r="C49" s="78" t="s">
        <v>99</v>
      </c>
      <c r="D49" s="60" t="s">
        <v>144</v>
      </c>
      <c r="E49" s="79">
        <v>2566.6</v>
      </c>
      <c r="F49" s="80">
        <f>SUM(E49*5/1000)</f>
        <v>12.833</v>
      </c>
      <c r="G49" s="16">
        <v>1803.69</v>
      </c>
      <c r="H49" s="81">
        <f t="shared" si="9"/>
        <v>23.14675377</v>
      </c>
      <c r="I49" s="16">
        <f>F49/5*G49</f>
        <v>4629.350754000001</v>
      </c>
      <c r="J49" s="26"/>
      <c r="L49" s="22"/>
      <c r="M49" s="23"/>
      <c r="N49" s="24"/>
    </row>
    <row r="50" spans="1:14" ht="31.5" hidden="1" customHeight="1">
      <c r="A50" s="30">
        <v>17</v>
      </c>
      <c r="B50" s="60" t="s">
        <v>120</v>
      </c>
      <c r="C50" s="78" t="s">
        <v>99</v>
      </c>
      <c r="D50" s="60" t="s">
        <v>40</v>
      </c>
      <c r="E50" s="79">
        <f>E49</f>
        <v>2566.6</v>
      </c>
      <c r="F50" s="80">
        <f>SUM(E50*2/1000)</f>
        <v>5.1331999999999995</v>
      </c>
      <c r="G50" s="16">
        <v>1591.6</v>
      </c>
      <c r="H50" s="81">
        <f t="shared" si="9"/>
        <v>8.1700011199999985</v>
      </c>
      <c r="I50" s="16">
        <f>F50/2*G50</f>
        <v>4085.0005599999995</v>
      </c>
      <c r="J50" s="26"/>
      <c r="L50" s="22"/>
      <c r="M50" s="23"/>
      <c r="N50" s="24"/>
    </row>
    <row r="51" spans="1:14" ht="31.5" hidden="1" customHeight="1">
      <c r="A51" s="30">
        <v>18</v>
      </c>
      <c r="B51" s="60" t="s">
        <v>121</v>
      </c>
      <c r="C51" s="78" t="s">
        <v>36</v>
      </c>
      <c r="D51" s="60" t="s">
        <v>40</v>
      </c>
      <c r="E51" s="79">
        <v>16</v>
      </c>
      <c r="F51" s="80">
        <f>SUM(E51*2/100)</f>
        <v>0.32</v>
      </c>
      <c r="G51" s="16">
        <v>4058.32</v>
      </c>
      <c r="H51" s="81">
        <f t="shared" si="9"/>
        <v>1.2986624000000002</v>
      </c>
      <c r="I51" s="16">
        <f t="shared" ref="I51:I52" si="11">F51/2*G51</f>
        <v>649.33120000000008</v>
      </c>
      <c r="J51" s="26"/>
      <c r="L51" s="22"/>
      <c r="M51" s="23"/>
      <c r="N51" s="24"/>
    </row>
    <row r="52" spans="1:14" ht="15.75" hidden="1" customHeight="1">
      <c r="A52" s="30">
        <v>19</v>
      </c>
      <c r="B52" s="60" t="s">
        <v>37</v>
      </c>
      <c r="C52" s="78" t="s">
        <v>38</v>
      </c>
      <c r="D52" s="60" t="s">
        <v>40</v>
      </c>
      <c r="E52" s="79">
        <v>1</v>
      </c>
      <c r="F52" s="80">
        <v>0.02</v>
      </c>
      <c r="G52" s="16">
        <v>7412.92</v>
      </c>
      <c r="H52" s="81">
        <f t="shared" si="9"/>
        <v>0.14825839999999998</v>
      </c>
      <c r="I52" s="16">
        <f t="shared" si="11"/>
        <v>74.129199999999997</v>
      </c>
      <c r="J52" s="26"/>
      <c r="L52" s="22"/>
      <c r="M52" s="23"/>
      <c r="N52" s="24"/>
    </row>
    <row r="53" spans="1:14" ht="15.75" customHeight="1">
      <c r="A53" s="30">
        <v>16</v>
      </c>
      <c r="B53" s="60" t="s">
        <v>122</v>
      </c>
      <c r="C53" s="78" t="s">
        <v>86</v>
      </c>
      <c r="D53" s="60" t="s">
        <v>65</v>
      </c>
      <c r="E53" s="79">
        <v>60</v>
      </c>
      <c r="F53" s="80">
        <f>E53*3</f>
        <v>180</v>
      </c>
      <c r="G53" s="16">
        <v>185.08</v>
      </c>
      <c r="H53" s="81">
        <f t="shared" si="9"/>
        <v>33.314399999999999</v>
      </c>
      <c r="I53" s="16">
        <f>E53*G53</f>
        <v>11104.800000000001</v>
      </c>
      <c r="J53" s="26"/>
      <c r="L53" s="22"/>
      <c r="M53" s="23"/>
      <c r="N53" s="24"/>
    </row>
    <row r="54" spans="1:14" ht="15.75" customHeight="1">
      <c r="A54" s="30">
        <v>17</v>
      </c>
      <c r="B54" s="60" t="s">
        <v>39</v>
      </c>
      <c r="C54" s="78" t="s">
        <v>86</v>
      </c>
      <c r="D54" s="60" t="s">
        <v>65</v>
      </c>
      <c r="E54" s="79">
        <v>120</v>
      </c>
      <c r="F54" s="80">
        <f>SUM(E54)*3</f>
        <v>360</v>
      </c>
      <c r="G54" s="16">
        <v>86.15</v>
      </c>
      <c r="H54" s="81">
        <f t="shared" si="9"/>
        <v>31.014000000000003</v>
      </c>
      <c r="I54" s="16">
        <f>E54*G54</f>
        <v>10338</v>
      </c>
      <c r="J54" s="26"/>
      <c r="L54" s="22"/>
      <c r="M54" s="23"/>
      <c r="N54" s="24"/>
    </row>
    <row r="55" spans="1:14" ht="15.75" customHeight="1">
      <c r="A55" s="190" t="s">
        <v>130</v>
      </c>
      <c r="B55" s="193"/>
      <c r="C55" s="193"/>
      <c r="D55" s="193"/>
      <c r="E55" s="193"/>
      <c r="F55" s="193"/>
      <c r="G55" s="193"/>
      <c r="H55" s="193"/>
      <c r="I55" s="194"/>
      <c r="J55" s="26"/>
      <c r="L55" s="22"/>
      <c r="M55" s="23"/>
      <c r="N55" s="24"/>
    </row>
    <row r="56" spans="1:14" ht="15.75" hidden="1" customHeight="1">
      <c r="A56" s="59"/>
      <c r="B56" s="98" t="s">
        <v>41</v>
      </c>
      <c r="C56" s="78"/>
      <c r="D56" s="60"/>
      <c r="E56" s="79"/>
      <c r="F56" s="80"/>
      <c r="G56" s="80"/>
      <c r="H56" s="81"/>
      <c r="I56" s="16"/>
      <c r="J56" s="26"/>
      <c r="L56" s="22"/>
      <c r="M56" s="23"/>
      <c r="N56" s="24"/>
    </row>
    <row r="57" spans="1:14" ht="31.5" hidden="1" customHeight="1">
      <c r="A57" s="59">
        <v>12</v>
      </c>
      <c r="B57" s="60" t="s">
        <v>123</v>
      </c>
      <c r="C57" s="78" t="s">
        <v>90</v>
      </c>
      <c r="D57" s="60" t="s">
        <v>124</v>
      </c>
      <c r="E57" s="79">
        <v>16</v>
      </c>
      <c r="F57" s="80">
        <f>SUM(E57*6/100)</f>
        <v>0.96</v>
      </c>
      <c r="G57" s="16">
        <v>2431.1799999999998</v>
      </c>
      <c r="H57" s="81">
        <f>SUM(F57*G57/1000)</f>
        <v>2.3339327999999995</v>
      </c>
      <c r="I57" s="16">
        <f>F57/6*G57</f>
        <v>388.98879999999997</v>
      </c>
      <c r="J57" s="26"/>
      <c r="L57" s="22"/>
      <c r="M57" s="23"/>
      <c r="N57" s="24"/>
    </row>
    <row r="58" spans="1:14" ht="15.75" hidden="1" customHeight="1">
      <c r="A58" s="59">
        <v>16</v>
      </c>
      <c r="B58" s="87" t="s">
        <v>108</v>
      </c>
      <c r="C58" s="88" t="s">
        <v>109</v>
      </c>
      <c r="D58" s="87" t="s">
        <v>62</v>
      </c>
      <c r="E58" s="89"/>
      <c r="F58" s="90">
        <v>2</v>
      </c>
      <c r="G58" s="16">
        <v>1582.05</v>
      </c>
      <c r="H58" s="81">
        <f t="shared" ref="H58" si="12">SUM(F58*G58/1000)</f>
        <v>3.1640999999999999</v>
      </c>
      <c r="I58" s="16">
        <f>G58</f>
        <v>1582.05</v>
      </c>
      <c r="J58" s="26"/>
      <c r="L58" s="22"/>
      <c r="M58" s="23"/>
      <c r="N58" s="24"/>
    </row>
    <row r="59" spans="1:14" ht="15.75" customHeight="1">
      <c r="A59" s="59"/>
      <c r="B59" s="97" t="s">
        <v>42</v>
      </c>
      <c r="C59" s="88"/>
      <c r="D59" s="87"/>
      <c r="E59" s="89"/>
      <c r="F59" s="90"/>
      <c r="G59" s="16"/>
      <c r="H59" s="91"/>
      <c r="I59" s="16"/>
      <c r="J59" s="26"/>
      <c r="L59" s="22"/>
      <c r="M59" s="23"/>
      <c r="N59" s="24"/>
    </row>
    <row r="60" spans="1:14" ht="15.75" hidden="1" customHeight="1">
      <c r="A60" s="74"/>
      <c r="B60" s="63" t="s">
        <v>125</v>
      </c>
      <c r="C60" s="56" t="s">
        <v>50</v>
      </c>
      <c r="D60" s="63" t="s">
        <v>51</v>
      </c>
      <c r="E60" s="122">
        <v>191.8</v>
      </c>
      <c r="F60" s="35">
        <f>SUM(E60/100)</f>
        <v>1.9180000000000001</v>
      </c>
      <c r="G60" s="39">
        <v>1040.8399999999999</v>
      </c>
      <c r="H60" s="121">
        <f t="shared" ref="H60:H61" si="13">SUM(F60*G60/1000)</f>
        <v>1.99633112</v>
      </c>
      <c r="I60" s="16">
        <v>0</v>
      </c>
      <c r="J60" s="26"/>
      <c r="L60" s="22"/>
      <c r="M60" s="23"/>
      <c r="N60" s="24"/>
    </row>
    <row r="61" spans="1:14" ht="15.75" customHeight="1">
      <c r="A61" s="30">
        <v>18</v>
      </c>
      <c r="B61" s="63" t="s">
        <v>150</v>
      </c>
      <c r="C61" s="56" t="s">
        <v>151</v>
      </c>
      <c r="D61" s="63" t="s">
        <v>152</v>
      </c>
      <c r="E61" s="122">
        <v>100</v>
      </c>
      <c r="F61" s="35">
        <v>576</v>
      </c>
      <c r="G61" s="39">
        <v>1.2</v>
      </c>
      <c r="H61" s="121">
        <f t="shared" si="13"/>
        <v>0.69119999999999993</v>
      </c>
      <c r="I61" s="16">
        <f>F61/12*G61</f>
        <v>57.599999999999994</v>
      </c>
      <c r="J61" s="26"/>
      <c r="L61" s="22"/>
      <c r="M61" s="23"/>
      <c r="N61" s="24"/>
    </row>
    <row r="62" spans="1:14" ht="15.75" customHeight="1">
      <c r="A62" s="30"/>
      <c r="B62" s="97" t="s">
        <v>43</v>
      </c>
      <c r="C62" s="88"/>
      <c r="D62" s="87"/>
      <c r="E62" s="89"/>
      <c r="F62" s="92"/>
      <c r="G62" s="92"/>
      <c r="H62" s="90" t="s">
        <v>107</v>
      </c>
      <c r="I62" s="16"/>
      <c r="J62" s="26"/>
      <c r="L62" s="22"/>
      <c r="M62" s="23"/>
      <c r="N62" s="24"/>
    </row>
    <row r="63" spans="1:14" ht="15.75" hidden="1" customHeight="1">
      <c r="A63" s="59">
        <v>23</v>
      </c>
      <c r="B63" s="17" t="s">
        <v>44</v>
      </c>
      <c r="C63" s="19" t="s">
        <v>86</v>
      </c>
      <c r="D63" s="87" t="s">
        <v>62</v>
      </c>
      <c r="E63" s="21">
        <v>5</v>
      </c>
      <c r="F63" s="80">
        <f>E63</f>
        <v>5</v>
      </c>
      <c r="G63" s="16">
        <v>291.68</v>
      </c>
      <c r="H63" s="93">
        <f t="shared" ref="H63:H71" si="14">SUM(F63*G63/1000)</f>
        <v>1.4584000000000001</v>
      </c>
      <c r="I63" s="16">
        <f>G63</f>
        <v>291.68</v>
      </c>
      <c r="J63" s="26"/>
      <c r="L63" s="22"/>
      <c r="M63" s="23"/>
      <c r="N63" s="24"/>
    </row>
    <row r="64" spans="1:14" ht="15.75" hidden="1" customHeight="1">
      <c r="A64" s="59"/>
      <c r="B64" s="17" t="s">
        <v>45</v>
      </c>
      <c r="C64" s="19" t="s">
        <v>86</v>
      </c>
      <c r="D64" s="87" t="s">
        <v>62</v>
      </c>
      <c r="E64" s="21">
        <v>5</v>
      </c>
      <c r="F64" s="80">
        <f>E64</f>
        <v>5</v>
      </c>
      <c r="G64" s="16">
        <v>100.01</v>
      </c>
      <c r="H64" s="93">
        <f t="shared" si="14"/>
        <v>0.50004999999999999</v>
      </c>
      <c r="I64" s="16">
        <v>0</v>
      </c>
      <c r="J64" s="26"/>
      <c r="L64" s="22"/>
      <c r="M64" s="23"/>
      <c r="N64" s="24"/>
    </row>
    <row r="65" spans="1:14" ht="15.75" hidden="1" customHeight="1">
      <c r="A65" s="59">
        <v>25</v>
      </c>
      <c r="B65" s="17" t="s">
        <v>46</v>
      </c>
      <c r="C65" s="19" t="s">
        <v>102</v>
      </c>
      <c r="D65" s="17" t="s">
        <v>51</v>
      </c>
      <c r="E65" s="79">
        <v>10059</v>
      </c>
      <c r="F65" s="16">
        <f>SUM(E65/100)</f>
        <v>100.59</v>
      </c>
      <c r="G65" s="16">
        <v>278.24</v>
      </c>
      <c r="H65" s="93">
        <f t="shared" si="14"/>
        <v>27.988161600000002</v>
      </c>
      <c r="I65" s="16">
        <f>F65*G65</f>
        <v>27988.161600000003</v>
      </c>
      <c r="J65" s="26"/>
      <c r="L65" s="22"/>
      <c r="M65" s="23"/>
      <c r="N65" s="24"/>
    </row>
    <row r="66" spans="1:14" ht="15.75" hidden="1" customHeight="1">
      <c r="A66" s="59">
        <v>26</v>
      </c>
      <c r="B66" s="17" t="s">
        <v>47</v>
      </c>
      <c r="C66" s="19" t="s">
        <v>103</v>
      </c>
      <c r="D66" s="17"/>
      <c r="E66" s="79">
        <v>10059</v>
      </c>
      <c r="F66" s="16">
        <f>SUM(E66/1000)</f>
        <v>10.058999999999999</v>
      </c>
      <c r="G66" s="16">
        <v>216.68</v>
      </c>
      <c r="H66" s="93">
        <f t="shared" si="14"/>
        <v>2.1795841199999999</v>
      </c>
      <c r="I66" s="16">
        <f t="shared" ref="I66:I69" si="15">F66*G66</f>
        <v>2179.58412</v>
      </c>
      <c r="J66" s="26"/>
      <c r="L66" s="22"/>
      <c r="M66" s="23"/>
      <c r="N66" s="24"/>
    </row>
    <row r="67" spans="1:14" ht="15.75" hidden="1" customHeight="1">
      <c r="A67" s="59">
        <v>27</v>
      </c>
      <c r="B67" s="17" t="s">
        <v>48</v>
      </c>
      <c r="C67" s="19" t="s">
        <v>71</v>
      </c>
      <c r="D67" s="17" t="s">
        <v>51</v>
      </c>
      <c r="E67" s="79">
        <v>2200</v>
      </c>
      <c r="F67" s="16">
        <f>SUM(E67/100)</f>
        <v>22</v>
      </c>
      <c r="G67" s="16">
        <v>2720.94</v>
      </c>
      <c r="H67" s="93">
        <f t="shared" si="14"/>
        <v>59.860680000000002</v>
      </c>
      <c r="I67" s="16">
        <f t="shared" si="15"/>
        <v>59860.68</v>
      </c>
      <c r="J67" s="26"/>
      <c r="L67" s="22"/>
      <c r="M67" s="23"/>
      <c r="N67" s="24"/>
    </row>
    <row r="68" spans="1:14" ht="15.75" hidden="1" customHeight="1">
      <c r="A68" s="59">
        <v>28</v>
      </c>
      <c r="B68" s="94" t="s">
        <v>104</v>
      </c>
      <c r="C68" s="19" t="s">
        <v>31</v>
      </c>
      <c r="D68" s="17"/>
      <c r="E68" s="79">
        <v>9.6</v>
      </c>
      <c r="F68" s="80">
        <f>E68</f>
        <v>9.6</v>
      </c>
      <c r="G68" s="16">
        <v>42.61</v>
      </c>
      <c r="H68" s="93">
        <f t="shared" si="14"/>
        <v>0.40905599999999998</v>
      </c>
      <c r="I68" s="16">
        <f t="shared" si="15"/>
        <v>409.05599999999998</v>
      </c>
      <c r="J68" s="26"/>
      <c r="L68" s="22"/>
      <c r="M68" s="23"/>
      <c r="N68" s="24"/>
    </row>
    <row r="69" spans="1:14" ht="15.75" hidden="1" customHeight="1">
      <c r="A69" s="59">
        <v>29</v>
      </c>
      <c r="B69" s="94" t="s">
        <v>105</v>
      </c>
      <c r="C69" s="19" t="s">
        <v>31</v>
      </c>
      <c r="D69" s="17"/>
      <c r="E69" s="79">
        <f>E68</f>
        <v>9.6</v>
      </c>
      <c r="F69" s="80">
        <f t="shared" ref="F69:F70" si="16">E69</f>
        <v>9.6</v>
      </c>
      <c r="G69" s="16">
        <v>46.04</v>
      </c>
      <c r="H69" s="93">
        <f t="shared" si="14"/>
        <v>0.44198399999999999</v>
      </c>
      <c r="I69" s="16">
        <f t="shared" si="15"/>
        <v>441.98399999999998</v>
      </c>
      <c r="J69" s="26"/>
      <c r="L69" s="22"/>
      <c r="M69" s="23"/>
      <c r="N69" s="24"/>
    </row>
    <row r="70" spans="1:14" ht="15.75" customHeight="1">
      <c r="A70" s="59">
        <v>19</v>
      </c>
      <c r="B70" s="17" t="s">
        <v>55</v>
      </c>
      <c r="C70" s="19" t="s">
        <v>56</v>
      </c>
      <c r="D70" s="17" t="s">
        <v>51</v>
      </c>
      <c r="E70" s="21">
        <v>3</v>
      </c>
      <c r="F70" s="80">
        <f t="shared" si="16"/>
        <v>3</v>
      </c>
      <c r="G70" s="16">
        <v>65.42</v>
      </c>
      <c r="H70" s="93">
        <f t="shared" si="14"/>
        <v>0.19625999999999999</v>
      </c>
      <c r="I70" s="16">
        <f>F70*G70</f>
        <v>196.26</v>
      </c>
      <c r="J70" s="26"/>
      <c r="L70" s="22"/>
      <c r="M70" s="23"/>
      <c r="N70" s="24"/>
    </row>
    <row r="71" spans="1:14" ht="15.75" customHeight="1">
      <c r="A71" s="59">
        <v>20</v>
      </c>
      <c r="B71" s="17" t="s">
        <v>153</v>
      </c>
      <c r="C71" s="30" t="s">
        <v>154</v>
      </c>
      <c r="D71" s="133" t="s">
        <v>62</v>
      </c>
      <c r="E71" s="21">
        <v>2566.6</v>
      </c>
      <c r="F71" s="80">
        <f>SUM(E71)*12</f>
        <v>30799.199999999997</v>
      </c>
      <c r="G71" s="16">
        <v>2.2799999999999998</v>
      </c>
      <c r="H71" s="93">
        <f t="shared" si="14"/>
        <v>70.22217599999999</v>
      </c>
      <c r="I71" s="16">
        <f>F71/12*G71</f>
        <v>5851.847999999999</v>
      </c>
      <c r="J71" s="26"/>
      <c r="L71" s="22"/>
      <c r="M71" s="23"/>
      <c r="N71" s="24"/>
    </row>
    <row r="72" spans="1:14" ht="18" customHeight="1">
      <c r="A72" s="59"/>
      <c r="B72" s="70" t="s">
        <v>66</v>
      </c>
      <c r="C72" s="19"/>
      <c r="D72" s="17"/>
      <c r="E72" s="21"/>
      <c r="F72" s="16"/>
      <c r="G72" s="16"/>
      <c r="H72" s="93" t="s">
        <v>107</v>
      </c>
      <c r="I72" s="16"/>
      <c r="J72" s="26"/>
      <c r="L72" s="22"/>
      <c r="M72" s="23"/>
      <c r="N72" s="24"/>
    </row>
    <row r="73" spans="1:14" ht="18.75" hidden="1" customHeight="1">
      <c r="A73" s="59"/>
      <c r="B73" s="41" t="s">
        <v>155</v>
      </c>
      <c r="C73" s="42" t="s">
        <v>29</v>
      </c>
      <c r="D73" s="41"/>
      <c r="E73" s="20">
        <v>1</v>
      </c>
      <c r="F73" s="35">
        <f t="shared" ref="F73:F76" si="17">E73</f>
        <v>1</v>
      </c>
      <c r="G73" s="39">
        <v>1543.4</v>
      </c>
      <c r="H73" s="123">
        <f>G73*F73/1000</f>
        <v>1.5434000000000001</v>
      </c>
      <c r="I73" s="16">
        <v>0</v>
      </c>
      <c r="J73" s="26"/>
      <c r="L73" s="22"/>
      <c r="M73" s="23"/>
      <c r="N73" s="24"/>
    </row>
    <row r="74" spans="1:14" ht="19.5" hidden="1" customHeight="1">
      <c r="A74" s="30"/>
      <c r="B74" s="41" t="s">
        <v>68</v>
      </c>
      <c r="C74" s="42" t="s">
        <v>29</v>
      </c>
      <c r="D74" s="41"/>
      <c r="E74" s="20">
        <v>1</v>
      </c>
      <c r="F74" s="35">
        <f>E74</f>
        <v>1</v>
      </c>
      <c r="G74" s="39">
        <v>1118.72</v>
      </c>
      <c r="H74" s="123">
        <f>F74*G74/1000</f>
        <v>1.1187199999999999</v>
      </c>
      <c r="I74" s="16">
        <v>0</v>
      </c>
      <c r="J74" s="26"/>
      <c r="L74" s="22"/>
      <c r="M74" s="23"/>
      <c r="N74" s="24"/>
    </row>
    <row r="75" spans="1:14" ht="21" customHeight="1">
      <c r="A75" s="30">
        <v>21</v>
      </c>
      <c r="B75" s="41" t="s">
        <v>67</v>
      </c>
      <c r="C75" s="42" t="s">
        <v>69</v>
      </c>
      <c r="D75" s="41"/>
      <c r="E75" s="20">
        <v>3</v>
      </c>
      <c r="F75" s="35">
        <f>E75/10</f>
        <v>0.3</v>
      </c>
      <c r="G75" s="39">
        <v>657.87</v>
      </c>
      <c r="H75" s="123">
        <f t="shared" ref="H75" si="18">SUM(F75*G75/1000)</f>
        <v>0.19736099999999998</v>
      </c>
      <c r="I75" s="16">
        <f>G75*0.1</f>
        <v>65.787000000000006</v>
      </c>
      <c r="J75" s="26"/>
      <c r="L75" s="22"/>
      <c r="M75" s="23"/>
      <c r="N75" s="24"/>
    </row>
    <row r="76" spans="1:14" ht="19.5" customHeight="1">
      <c r="A76" s="59">
        <v>22</v>
      </c>
      <c r="B76" s="124" t="s">
        <v>156</v>
      </c>
      <c r="C76" s="65" t="s">
        <v>86</v>
      </c>
      <c r="D76" s="41"/>
      <c r="E76" s="20">
        <v>1</v>
      </c>
      <c r="F76" s="35">
        <f t="shared" si="17"/>
        <v>1</v>
      </c>
      <c r="G76" s="39">
        <v>130.96</v>
      </c>
      <c r="H76" s="123">
        <f>G76*F76/1000</f>
        <v>0.13096000000000002</v>
      </c>
      <c r="I76" s="16">
        <f>G76*1</f>
        <v>130.96</v>
      </c>
      <c r="J76" s="26"/>
      <c r="L76" s="22"/>
      <c r="M76" s="23"/>
      <c r="N76" s="24"/>
    </row>
    <row r="77" spans="1:14" ht="16.5" hidden="1" customHeight="1">
      <c r="A77" s="59"/>
      <c r="B77" s="99" t="s">
        <v>70</v>
      </c>
      <c r="C77" s="19"/>
      <c r="D77" s="17"/>
      <c r="E77" s="21"/>
      <c r="F77" s="16"/>
      <c r="G77" s="16" t="s">
        <v>107</v>
      </c>
      <c r="H77" s="93" t="s">
        <v>107</v>
      </c>
      <c r="I77" s="16"/>
      <c r="J77" s="26"/>
      <c r="L77" s="22"/>
      <c r="M77" s="23"/>
      <c r="N77" s="24"/>
    </row>
    <row r="78" spans="1:14" ht="19.5" hidden="1" customHeight="1">
      <c r="A78" s="59"/>
      <c r="B78" s="43" t="s">
        <v>106</v>
      </c>
      <c r="C78" s="44" t="s">
        <v>71</v>
      </c>
      <c r="D78" s="64"/>
      <c r="E78" s="125"/>
      <c r="F78" s="40">
        <v>1</v>
      </c>
      <c r="G78" s="40">
        <v>3619.09</v>
      </c>
      <c r="H78" s="123">
        <f t="shared" ref="H78" si="19">SUM(F78*G78/1000)</f>
        <v>3.6190900000000004</v>
      </c>
      <c r="I78" s="16">
        <v>0</v>
      </c>
      <c r="J78" s="26"/>
      <c r="L78" s="22"/>
      <c r="M78" s="23"/>
      <c r="N78" s="24"/>
    </row>
    <row r="79" spans="1:14" ht="20.25" hidden="1" customHeight="1">
      <c r="A79" s="59"/>
      <c r="B79" s="70" t="s">
        <v>100</v>
      </c>
      <c r="C79" s="19"/>
      <c r="D79" s="17"/>
      <c r="E79" s="21"/>
      <c r="F79" s="16"/>
      <c r="G79" s="16"/>
      <c r="H79" s="93">
        <f>SUM(H57:H78)</f>
        <v>178.05144663999997</v>
      </c>
      <c r="I79" s="16"/>
      <c r="J79" s="26"/>
      <c r="L79" s="22"/>
      <c r="M79" s="23"/>
      <c r="N79" s="24"/>
    </row>
    <row r="80" spans="1:14" ht="16.5" hidden="1" customHeight="1">
      <c r="A80" s="59">
        <v>19</v>
      </c>
      <c r="B80" s="60" t="s">
        <v>101</v>
      </c>
      <c r="C80" s="19"/>
      <c r="D80" s="17"/>
      <c r="E80" s="95"/>
      <c r="F80" s="16">
        <v>1</v>
      </c>
      <c r="G80" s="16">
        <v>22892</v>
      </c>
      <c r="H80" s="93">
        <f>G80*F80/1000</f>
        <v>22.891999999999999</v>
      </c>
      <c r="I80" s="16">
        <f>G80</f>
        <v>22892</v>
      </c>
      <c r="J80" s="26"/>
      <c r="L80" s="22"/>
      <c r="M80" s="23"/>
      <c r="N80" s="24"/>
    </row>
    <row r="81" spans="1:14" ht="15.75" customHeight="1">
      <c r="A81" s="190" t="s">
        <v>131</v>
      </c>
      <c r="B81" s="195"/>
      <c r="C81" s="195"/>
      <c r="D81" s="195"/>
      <c r="E81" s="195"/>
      <c r="F81" s="195"/>
      <c r="G81" s="195"/>
      <c r="H81" s="195"/>
      <c r="I81" s="196"/>
      <c r="J81" s="26"/>
      <c r="L81" s="22"/>
      <c r="M81" s="23"/>
      <c r="N81" s="24"/>
    </row>
    <row r="82" spans="1:14" ht="15.75" customHeight="1">
      <c r="A82" s="59">
        <v>23</v>
      </c>
      <c r="B82" s="36" t="s">
        <v>126</v>
      </c>
      <c r="C82" s="42" t="s">
        <v>52</v>
      </c>
      <c r="D82" s="62" t="s">
        <v>53</v>
      </c>
      <c r="E82" s="39">
        <v>2566.6</v>
      </c>
      <c r="F82" s="39">
        <f>SUM(E82*12)</f>
        <v>30799.199999999997</v>
      </c>
      <c r="G82" s="39">
        <v>3.1</v>
      </c>
      <c r="H82" s="123">
        <f>SUM(F82*G82/1000)</f>
        <v>95.477519999999984</v>
      </c>
      <c r="I82" s="16">
        <f>F82/12*G82</f>
        <v>7956.46</v>
      </c>
      <c r="J82" s="26"/>
      <c r="L82" s="22"/>
      <c r="M82" s="23"/>
      <c r="N82" s="24"/>
    </row>
    <row r="83" spans="1:14" ht="31.5" customHeight="1">
      <c r="A83" s="59">
        <v>24</v>
      </c>
      <c r="B83" s="41" t="s">
        <v>72</v>
      </c>
      <c r="C83" s="42"/>
      <c r="D83" s="62" t="s">
        <v>53</v>
      </c>
      <c r="E83" s="120">
        <v>2566.6</v>
      </c>
      <c r="F83" s="39">
        <f>E83*12</f>
        <v>30799.199999999997</v>
      </c>
      <c r="G83" s="39">
        <v>3.5</v>
      </c>
      <c r="H83" s="123">
        <f>F83*G83/1000</f>
        <v>107.79719999999999</v>
      </c>
      <c r="I83" s="16">
        <f>F83/12*G83</f>
        <v>8983.1</v>
      </c>
      <c r="J83" s="26"/>
      <c r="L83" s="22"/>
      <c r="M83" s="23"/>
      <c r="N83" s="24"/>
    </row>
    <row r="84" spans="1:14" ht="15.75" customHeight="1">
      <c r="A84" s="59"/>
      <c r="B84" s="45" t="s">
        <v>75</v>
      </c>
      <c r="C84" s="19"/>
      <c r="D84" s="52"/>
      <c r="E84" s="16"/>
      <c r="F84" s="16"/>
      <c r="G84" s="16"/>
      <c r="H84" s="93">
        <f>H83</f>
        <v>107.79719999999999</v>
      </c>
      <c r="I84" s="100">
        <f>I83+I82+I76+I75+I71+I70+I61+I54+I53+I49+I48+I47+I46+I45+I33+I31+I30+I27+I26+I21+I20+I18+I17+I16</f>
        <v>72295.805562311099</v>
      </c>
      <c r="J84" s="26"/>
      <c r="L84" s="22"/>
      <c r="M84" s="23"/>
      <c r="N84" s="24"/>
    </row>
    <row r="85" spans="1:14" ht="15.75" customHeight="1">
      <c r="A85" s="197" t="s">
        <v>57</v>
      </c>
      <c r="B85" s="198"/>
      <c r="C85" s="198"/>
      <c r="D85" s="198"/>
      <c r="E85" s="198"/>
      <c r="F85" s="198"/>
      <c r="G85" s="198"/>
      <c r="H85" s="198"/>
      <c r="I85" s="199"/>
      <c r="J85" s="26"/>
      <c r="L85" s="22"/>
      <c r="M85" s="23"/>
      <c r="N85" s="24"/>
    </row>
    <row r="86" spans="1:14" ht="31.5" customHeight="1">
      <c r="A86" s="59">
        <v>25</v>
      </c>
      <c r="B86" s="58" t="s">
        <v>162</v>
      </c>
      <c r="C86" s="68" t="s">
        <v>127</v>
      </c>
      <c r="D86" s="41"/>
      <c r="E86" s="20"/>
      <c r="F86" s="39">
        <v>2</v>
      </c>
      <c r="G86" s="39">
        <v>613.44000000000005</v>
      </c>
      <c r="H86" s="123">
        <f t="shared" ref="H86" si="20">G86*F86/1000</f>
        <v>1.2268800000000002</v>
      </c>
      <c r="I86" s="134">
        <f>G86*1</f>
        <v>613.44000000000005</v>
      </c>
      <c r="J86" s="26"/>
      <c r="L86" s="22"/>
      <c r="M86" s="23"/>
      <c r="N86" s="24"/>
    </row>
    <row r="87" spans="1:14" ht="18.75" customHeight="1">
      <c r="A87" s="59">
        <v>26</v>
      </c>
      <c r="B87" s="124" t="s">
        <v>224</v>
      </c>
      <c r="C87" s="65" t="s">
        <v>86</v>
      </c>
      <c r="D87" s="17"/>
      <c r="E87" s="21"/>
      <c r="F87" s="16">
        <v>1</v>
      </c>
      <c r="G87" s="40">
        <v>151.31</v>
      </c>
      <c r="H87" s="93">
        <f>G87*F87/1000</f>
        <v>0.15131</v>
      </c>
      <c r="I87" s="134">
        <f>G87*1</f>
        <v>151.31</v>
      </c>
      <c r="J87" s="26"/>
      <c r="L87" s="22"/>
      <c r="M87" s="23"/>
      <c r="N87" s="24"/>
    </row>
    <row r="88" spans="1:14" ht="15" customHeight="1">
      <c r="A88" s="59">
        <v>27</v>
      </c>
      <c r="B88" s="124" t="s">
        <v>225</v>
      </c>
      <c r="C88" s="65" t="s">
        <v>86</v>
      </c>
      <c r="D88" s="17"/>
      <c r="E88" s="21"/>
      <c r="F88" s="16">
        <v>0.5</v>
      </c>
      <c r="G88" s="40">
        <v>225.51</v>
      </c>
      <c r="H88" s="93">
        <f>G88*F88/1000</f>
        <v>0.11275499999999999</v>
      </c>
      <c r="I88" s="134">
        <f>G88*1</f>
        <v>225.51</v>
      </c>
      <c r="J88" s="26"/>
      <c r="L88" s="22"/>
      <c r="M88" s="23"/>
      <c r="N88" s="24"/>
    </row>
    <row r="89" spans="1:14" ht="15.75" customHeight="1">
      <c r="A89" s="59">
        <v>28</v>
      </c>
      <c r="B89" s="124" t="s">
        <v>226</v>
      </c>
      <c r="C89" s="65" t="s">
        <v>86</v>
      </c>
      <c r="D89" s="41"/>
      <c r="E89" s="20"/>
      <c r="F89" s="39">
        <v>30</v>
      </c>
      <c r="G89" s="40">
        <v>196.01</v>
      </c>
      <c r="H89" s="123">
        <f>G89*F89/1000</f>
        <v>5.8802999999999992</v>
      </c>
      <c r="I89" s="134">
        <f>G89*1</f>
        <v>196.01</v>
      </c>
      <c r="J89" s="26"/>
      <c r="L89" s="22"/>
      <c r="M89" s="23"/>
      <c r="N89" s="24"/>
    </row>
    <row r="90" spans="1:14" ht="15.75" customHeight="1">
      <c r="A90" s="59">
        <v>29</v>
      </c>
      <c r="B90" s="124" t="s">
        <v>227</v>
      </c>
      <c r="C90" s="65" t="s">
        <v>86</v>
      </c>
      <c r="D90" s="17"/>
      <c r="E90" s="21"/>
      <c r="F90" s="16">
        <v>1</v>
      </c>
      <c r="G90" s="40">
        <v>8.44</v>
      </c>
      <c r="H90" s="93">
        <f t="shared" ref="H90:H91" si="21">G90*F90/1000</f>
        <v>8.4399999999999996E-3</v>
      </c>
      <c r="I90" s="134">
        <f>G90*4</f>
        <v>33.76</v>
      </c>
      <c r="J90" s="26"/>
      <c r="L90" s="22"/>
      <c r="M90" s="23"/>
      <c r="N90" s="24"/>
    </row>
    <row r="91" spans="1:14" ht="15.75" customHeight="1">
      <c r="A91" s="148">
        <v>30</v>
      </c>
      <c r="B91" s="124" t="s">
        <v>228</v>
      </c>
      <c r="C91" s="65" t="s">
        <v>86</v>
      </c>
      <c r="D91" s="41"/>
      <c r="E91" s="20"/>
      <c r="F91" s="39">
        <v>1</v>
      </c>
      <c r="G91" s="40">
        <v>8.44</v>
      </c>
      <c r="H91" s="123">
        <f t="shared" si="21"/>
        <v>8.4399999999999996E-3</v>
      </c>
      <c r="I91" s="134">
        <f>G91*1</f>
        <v>8.44</v>
      </c>
      <c r="J91" s="26"/>
      <c r="L91" s="22"/>
      <c r="M91" s="23"/>
      <c r="N91" s="24"/>
    </row>
    <row r="92" spans="1:14" ht="15.75" customHeight="1">
      <c r="A92" s="30">
        <v>31</v>
      </c>
      <c r="B92" s="124" t="s">
        <v>229</v>
      </c>
      <c r="C92" s="65" t="s">
        <v>86</v>
      </c>
      <c r="D92" s="41"/>
      <c r="E92" s="20"/>
      <c r="F92" s="39"/>
      <c r="G92" s="40">
        <v>10</v>
      </c>
      <c r="H92" s="123"/>
      <c r="I92" s="134">
        <f>G92*1</f>
        <v>10</v>
      </c>
      <c r="J92" s="26"/>
      <c r="L92" s="22"/>
      <c r="M92" s="23"/>
      <c r="N92" s="24"/>
    </row>
    <row r="93" spans="1:14" ht="15.75" customHeight="1">
      <c r="A93" s="30">
        <v>32</v>
      </c>
      <c r="B93" s="124" t="s">
        <v>168</v>
      </c>
      <c r="C93" s="65" t="s">
        <v>86</v>
      </c>
      <c r="D93" s="41"/>
      <c r="E93" s="20"/>
      <c r="F93" s="39"/>
      <c r="G93" s="39">
        <v>192.49</v>
      </c>
      <c r="H93" s="123"/>
      <c r="I93" s="134">
        <f>G93*1</f>
        <v>192.49</v>
      </c>
      <c r="J93" s="26"/>
      <c r="L93" s="22"/>
      <c r="M93" s="23"/>
      <c r="N93" s="24"/>
    </row>
    <row r="94" spans="1:14" ht="15.75" customHeight="1">
      <c r="A94" s="30">
        <v>33</v>
      </c>
      <c r="B94" s="58" t="s">
        <v>158</v>
      </c>
      <c r="C94" s="68" t="s">
        <v>86</v>
      </c>
      <c r="D94" s="41"/>
      <c r="E94" s="20"/>
      <c r="F94" s="39"/>
      <c r="G94" s="39">
        <v>197.48</v>
      </c>
      <c r="H94" s="123"/>
      <c r="I94" s="134">
        <f>G94*2</f>
        <v>394.96</v>
      </c>
      <c r="J94" s="26"/>
      <c r="L94" s="22"/>
      <c r="M94" s="23"/>
      <c r="N94" s="24"/>
    </row>
    <row r="95" spans="1:14" ht="15.75" hidden="1" customHeight="1">
      <c r="A95" s="30"/>
      <c r="B95" s="41"/>
      <c r="C95" s="42"/>
      <c r="D95" s="41"/>
      <c r="E95" s="20"/>
      <c r="F95" s="39"/>
      <c r="G95" s="39"/>
      <c r="H95" s="123"/>
      <c r="I95" s="134"/>
      <c r="J95" s="26"/>
      <c r="L95" s="22"/>
      <c r="M95" s="23"/>
      <c r="N95" s="24"/>
    </row>
    <row r="96" spans="1:14" ht="15.75" hidden="1" customHeight="1">
      <c r="A96" s="30"/>
      <c r="B96" s="41"/>
      <c r="C96" s="42"/>
      <c r="D96" s="41"/>
      <c r="E96" s="20"/>
      <c r="F96" s="39"/>
      <c r="G96" s="39"/>
      <c r="H96" s="123"/>
      <c r="I96" s="134"/>
      <c r="J96" s="26"/>
      <c r="L96" s="22"/>
      <c r="M96" s="23"/>
      <c r="N96" s="24"/>
    </row>
    <row r="97" spans="1:22" ht="15.75" customHeight="1">
      <c r="A97" s="30">
        <v>34</v>
      </c>
      <c r="B97" s="58" t="s">
        <v>230</v>
      </c>
      <c r="C97" s="68" t="s">
        <v>76</v>
      </c>
      <c r="D97" s="41"/>
      <c r="E97" s="20"/>
      <c r="F97" s="39"/>
      <c r="G97" s="39">
        <v>1206</v>
      </c>
      <c r="H97" s="123"/>
      <c r="I97" s="134">
        <f>G97*2</f>
        <v>2412</v>
      </c>
      <c r="J97" s="26"/>
      <c r="L97" s="22"/>
      <c r="M97" s="23"/>
      <c r="N97" s="24"/>
    </row>
    <row r="98" spans="1:22" ht="15.75" customHeight="1">
      <c r="A98" s="30">
        <v>35</v>
      </c>
      <c r="B98" s="124" t="s">
        <v>173</v>
      </c>
      <c r="C98" s="65" t="s">
        <v>174</v>
      </c>
      <c r="D98" s="41"/>
      <c r="E98" s="20"/>
      <c r="F98" s="39"/>
      <c r="G98" s="39">
        <v>134.12</v>
      </c>
      <c r="H98" s="123"/>
      <c r="I98" s="134">
        <f>G98*7</f>
        <v>938.84</v>
      </c>
      <c r="J98" s="26"/>
      <c r="L98" s="22"/>
      <c r="M98" s="23"/>
      <c r="N98" s="24"/>
    </row>
    <row r="99" spans="1:22" ht="15.75" customHeight="1">
      <c r="A99" s="30">
        <v>36</v>
      </c>
      <c r="B99" s="124" t="s">
        <v>231</v>
      </c>
      <c r="C99" s="65" t="s">
        <v>232</v>
      </c>
      <c r="D99" s="41"/>
      <c r="E99" s="20"/>
      <c r="F99" s="39"/>
      <c r="G99" s="39">
        <v>45</v>
      </c>
      <c r="H99" s="123"/>
      <c r="I99" s="134">
        <f>G99*50</f>
        <v>2250</v>
      </c>
      <c r="J99" s="26"/>
      <c r="L99" s="22"/>
      <c r="M99" s="23"/>
      <c r="N99" s="24"/>
    </row>
    <row r="100" spans="1:22" ht="15.75" customHeight="1">
      <c r="A100" s="30">
        <v>37</v>
      </c>
      <c r="B100" s="58" t="s">
        <v>233</v>
      </c>
      <c r="C100" s="68" t="s">
        <v>76</v>
      </c>
      <c r="D100" s="41"/>
      <c r="E100" s="20"/>
      <c r="F100" s="39"/>
      <c r="G100" s="39">
        <v>1272</v>
      </c>
      <c r="H100" s="123"/>
      <c r="I100" s="134">
        <f>G100*1</f>
        <v>1272</v>
      </c>
      <c r="J100" s="26"/>
      <c r="L100" s="22"/>
      <c r="M100" s="23"/>
      <c r="N100" s="24"/>
    </row>
    <row r="101" spans="1:22" ht="15.75" customHeight="1">
      <c r="A101" s="30">
        <v>38</v>
      </c>
      <c r="B101" s="66" t="s">
        <v>218</v>
      </c>
      <c r="C101" s="67" t="s">
        <v>86</v>
      </c>
      <c r="D101" s="41"/>
      <c r="E101" s="20"/>
      <c r="F101" s="39"/>
      <c r="G101" s="39">
        <v>169.24</v>
      </c>
      <c r="H101" s="123"/>
      <c r="I101" s="134">
        <f>G101*2</f>
        <v>338.48</v>
      </c>
      <c r="J101" s="26"/>
      <c r="L101" s="22"/>
      <c r="M101" s="23"/>
      <c r="N101" s="24"/>
    </row>
    <row r="102" spans="1:22" ht="15.75" customHeight="1">
      <c r="A102" s="30"/>
      <c r="B102" s="50" t="s">
        <v>49</v>
      </c>
      <c r="C102" s="46"/>
      <c r="D102" s="57"/>
      <c r="E102" s="46">
        <v>1</v>
      </c>
      <c r="F102" s="46"/>
      <c r="G102" s="34"/>
      <c r="H102" s="46"/>
      <c r="I102" s="34">
        <f>SUM(I86:I101)</f>
        <v>9037.24</v>
      </c>
      <c r="J102" s="26"/>
      <c r="L102" s="22"/>
      <c r="M102" s="23"/>
      <c r="N102" s="24"/>
    </row>
    <row r="103" spans="1:22" ht="15.75" customHeight="1">
      <c r="A103" s="30"/>
      <c r="B103" s="52" t="s">
        <v>73</v>
      </c>
      <c r="C103" s="18"/>
      <c r="D103" s="18"/>
      <c r="E103" s="47"/>
      <c r="F103" s="48"/>
      <c r="G103" s="20"/>
      <c r="H103" s="76"/>
      <c r="I103" s="21">
        <v>0</v>
      </c>
      <c r="J103" s="26"/>
      <c r="L103" s="22"/>
      <c r="M103" s="23"/>
      <c r="N103" s="24"/>
    </row>
    <row r="104" spans="1:22" ht="15.75" customHeight="1">
      <c r="A104" s="77"/>
      <c r="B104" s="51" t="s">
        <v>145</v>
      </c>
      <c r="C104" s="37"/>
      <c r="D104" s="37"/>
      <c r="E104" s="37"/>
      <c r="F104" s="37"/>
      <c r="G104" s="49"/>
      <c r="H104" s="38"/>
      <c r="I104" s="34">
        <f>I84+I102</f>
        <v>81333.045562311105</v>
      </c>
      <c r="J104" s="26"/>
      <c r="L104" s="22"/>
      <c r="M104" s="23"/>
      <c r="N104" s="24"/>
    </row>
    <row r="105" spans="1:22" ht="15.75" customHeight="1">
      <c r="A105" s="186" t="s">
        <v>234</v>
      </c>
      <c r="B105" s="186"/>
      <c r="C105" s="186"/>
      <c r="D105" s="186"/>
      <c r="E105" s="186"/>
      <c r="F105" s="186"/>
      <c r="G105" s="186"/>
      <c r="H105" s="186"/>
      <c r="I105" s="186"/>
      <c r="J105" s="26"/>
      <c r="L105" s="22"/>
      <c r="M105" s="23"/>
      <c r="N105" s="24"/>
    </row>
    <row r="106" spans="1:22" ht="15.75" customHeight="1">
      <c r="A106" s="12"/>
      <c r="B106" s="200" t="s">
        <v>235</v>
      </c>
      <c r="C106" s="200"/>
      <c r="D106" s="200"/>
      <c r="E106" s="200"/>
      <c r="F106" s="200"/>
      <c r="G106" s="200"/>
      <c r="H106" s="107"/>
      <c r="I106" s="4"/>
      <c r="J106" s="26"/>
      <c r="L106" s="22"/>
    </row>
    <row r="107" spans="1:22" ht="15.75" customHeight="1">
      <c r="A107" s="69"/>
      <c r="B107" s="201" t="s">
        <v>6</v>
      </c>
      <c r="C107" s="201"/>
      <c r="D107" s="201"/>
      <c r="E107" s="201"/>
      <c r="F107" s="201"/>
      <c r="G107" s="201"/>
      <c r="H107" s="27"/>
      <c r="I107" s="54"/>
    </row>
    <row r="108" spans="1:22" ht="15.75" customHeight="1">
      <c r="A108" s="55"/>
      <c r="B108" s="55"/>
      <c r="C108" s="55"/>
      <c r="D108" s="55"/>
      <c r="E108" s="55"/>
      <c r="F108" s="55"/>
      <c r="G108" s="55"/>
      <c r="H108" s="55"/>
      <c r="I108" s="55"/>
    </row>
    <row r="109" spans="1:22" ht="15.75" customHeight="1">
      <c r="A109" s="202" t="s">
        <v>7</v>
      </c>
      <c r="B109" s="202"/>
      <c r="C109" s="202"/>
      <c r="D109" s="202"/>
      <c r="E109" s="202"/>
      <c r="F109" s="202"/>
      <c r="G109" s="202"/>
      <c r="H109" s="202"/>
      <c r="I109" s="202"/>
    </row>
    <row r="110" spans="1:22" ht="15.75" customHeight="1">
      <c r="A110" s="202" t="s">
        <v>8</v>
      </c>
      <c r="B110" s="202"/>
      <c r="C110" s="202"/>
      <c r="D110" s="202"/>
      <c r="E110" s="202"/>
      <c r="F110" s="202"/>
      <c r="G110" s="202"/>
      <c r="H110" s="202"/>
      <c r="I110" s="202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11"/>
    </row>
    <row r="111" spans="1:22" ht="15.75" customHeight="1">
      <c r="A111" s="186" t="s">
        <v>9</v>
      </c>
      <c r="B111" s="186"/>
      <c r="C111" s="186"/>
      <c r="D111" s="186"/>
      <c r="E111" s="186"/>
      <c r="F111" s="186"/>
      <c r="G111" s="186"/>
      <c r="H111" s="186"/>
      <c r="I111" s="186"/>
      <c r="J111" s="28"/>
      <c r="K111" s="28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2" ht="15.75" customHeight="1">
      <c r="A112" s="14"/>
      <c r="B112" s="53"/>
      <c r="C112" s="53"/>
      <c r="D112" s="53"/>
      <c r="E112" s="53"/>
      <c r="F112" s="53"/>
      <c r="G112" s="53"/>
      <c r="H112" s="53"/>
      <c r="I112" s="53"/>
      <c r="J112" s="6"/>
      <c r="K112" s="6"/>
      <c r="L112" s="6"/>
      <c r="M112" s="6"/>
      <c r="N112" s="6"/>
      <c r="O112" s="6"/>
      <c r="P112" s="6"/>
      <c r="Q112" s="6"/>
      <c r="R112" s="204"/>
      <c r="S112" s="204"/>
      <c r="T112" s="204"/>
      <c r="U112" s="204"/>
    </row>
    <row r="113" spans="1:21" ht="15.75" customHeight="1">
      <c r="A113" s="205" t="s">
        <v>10</v>
      </c>
      <c r="B113" s="205"/>
      <c r="C113" s="205"/>
      <c r="D113" s="205"/>
      <c r="E113" s="205"/>
      <c r="F113" s="205"/>
      <c r="G113" s="205"/>
      <c r="H113" s="205"/>
      <c r="I113" s="205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1:21" ht="15.75" customHeight="1">
      <c r="A114" s="5"/>
      <c r="B114" s="53"/>
      <c r="C114" s="53"/>
      <c r="D114" s="53"/>
      <c r="E114" s="53"/>
      <c r="F114" s="53"/>
      <c r="G114" s="53"/>
      <c r="H114" s="53"/>
      <c r="I114" s="53"/>
    </row>
    <row r="115" spans="1:21" ht="15.75" customHeight="1">
      <c r="A115" s="186" t="s">
        <v>11</v>
      </c>
      <c r="B115" s="186"/>
      <c r="C115" s="206" t="s">
        <v>84</v>
      </c>
      <c r="D115" s="206"/>
      <c r="E115" s="206"/>
      <c r="F115" s="71"/>
      <c r="I115" s="110"/>
    </row>
    <row r="116" spans="1:21" ht="15.75" customHeight="1">
      <c r="A116" s="69"/>
      <c r="B116" s="53"/>
      <c r="C116" s="201" t="s">
        <v>12</v>
      </c>
      <c r="D116" s="201"/>
      <c r="E116" s="201"/>
      <c r="F116" s="27"/>
      <c r="I116" s="108" t="s">
        <v>13</v>
      </c>
    </row>
    <row r="117" spans="1:21" ht="15.75" customHeight="1">
      <c r="A117" s="28"/>
      <c r="B117" s="53"/>
      <c r="C117" s="15"/>
      <c r="D117" s="15"/>
      <c r="G117" s="15"/>
      <c r="H117" s="15"/>
    </row>
    <row r="118" spans="1:21" ht="15.75" customHeight="1">
      <c r="A118" s="186" t="s">
        <v>14</v>
      </c>
      <c r="B118" s="186"/>
      <c r="C118" s="207"/>
      <c r="D118" s="207"/>
      <c r="E118" s="207"/>
      <c r="F118" s="72"/>
      <c r="I118" s="110"/>
    </row>
    <row r="119" spans="1:21" ht="15.75" customHeight="1">
      <c r="A119" s="111"/>
      <c r="C119" s="204" t="s">
        <v>12</v>
      </c>
      <c r="D119" s="204"/>
      <c r="E119" s="204"/>
      <c r="F119" s="111"/>
      <c r="I119" s="108" t="s">
        <v>13</v>
      </c>
    </row>
    <row r="120" spans="1:21" ht="15.75" customHeight="1">
      <c r="A120" s="5" t="s">
        <v>15</v>
      </c>
    </row>
    <row r="121" spans="1:21">
      <c r="A121" s="208" t="s">
        <v>16</v>
      </c>
      <c r="B121" s="208"/>
      <c r="C121" s="208"/>
      <c r="D121" s="208"/>
      <c r="E121" s="208"/>
      <c r="F121" s="208"/>
      <c r="G121" s="208"/>
      <c r="H121" s="208"/>
      <c r="I121" s="208"/>
    </row>
    <row r="122" spans="1:21" ht="45" customHeight="1">
      <c r="A122" s="203" t="s">
        <v>17</v>
      </c>
      <c r="B122" s="203"/>
      <c r="C122" s="203"/>
      <c r="D122" s="203"/>
      <c r="E122" s="203"/>
      <c r="F122" s="203"/>
      <c r="G122" s="203"/>
      <c r="H122" s="203"/>
      <c r="I122" s="203"/>
    </row>
    <row r="123" spans="1:21" ht="30" customHeight="1">
      <c r="A123" s="203" t="s">
        <v>18</v>
      </c>
      <c r="B123" s="203"/>
      <c r="C123" s="203"/>
      <c r="D123" s="203"/>
      <c r="E123" s="203"/>
      <c r="F123" s="203"/>
      <c r="G123" s="203"/>
      <c r="H123" s="203"/>
      <c r="I123" s="203"/>
    </row>
    <row r="124" spans="1:21" ht="30" customHeight="1">
      <c r="A124" s="203" t="s">
        <v>22</v>
      </c>
      <c r="B124" s="203"/>
      <c r="C124" s="203"/>
      <c r="D124" s="203"/>
      <c r="E124" s="203"/>
      <c r="F124" s="203"/>
      <c r="G124" s="203"/>
      <c r="H124" s="203"/>
      <c r="I124" s="203"/>
    </row>
    <row r="125" spans="1:21" ht="15" customHeight="1">
      <c r="A125" s="203" t="s">
        <v>21</v>
      </c>
      <c r="B125" s="203"/>
      <c r="C125" s="203"/>
      <c r="D125" s="203"/>
      <c r="E125" s="203"/>
      <c r="F125" s="203"/>
      <c r="G125" s="203"/>
      <c r="H125" s="203"/>
      <c r="I125" s="203"/>
    </row>
  </sheetData>
  <autoFilter ref="I15:I108"/>
  <mergeCells count="31">
    <mergeCell ref="A125:I125"/>
    <mergeCell ref="R112:U112"/>
    <mergeCell ref="A113:I113"/>
    <mergeCell ref="A115:B115"/>
    <mergeCell ref="C115:E115"/>
    <mergeCell ref="C116:E116"/>
    <mergeCell ref="A118:B118"/>
    <mergeCell ref="C118:E118"/>
    <mergeCell ref="C119:E119"/>
    <mergeCell ref="A121:I121"/>
    <mergeCell ref="A122:I122"/>
    <mergeCell ref="A123:I123"/>
    <mergeCell ref="A124:I124"/>
    <mergeCell ref="A111:I111"/>
    <mergeCell ref="A15:I15"/>
    <mergeCell ref="A28:I28"/>
    <mergeCell ref="A44:I44"/>
    <mergeCell ref="A55:I55"/>
    <mergeCell ref="A81:I81"/>
    <mergeCell ref="A85:I85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2017-11-28T12:56:41Z</cp:lastPrinted>
  <dcterms:created xsi:type="dcterms:W3CDTF">2016-03-25T08:33:47Z</dcterms:created>
  <dcterms:modified xsi:type="dcterms:W3CDTF">2019-02-05T05:28:21Z</dcterms:modified>
</cp:coreProperties>
</file>