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Нефт.,6" sheetId="1" r:id="rId1"/>
  </sheets>
  <definedNames>
    <definedName name="_xlnm.Print_Area" localSheetId="0">'Нефт.,6'!$A$1:$U$147</definedName>
  </definedNames>
  <calcPr calcId="124519"/>
</workbook>
</file>

<file path=xl/calcChain.xml><?xml version="1.0" encoding="utf-8"?>
<calcChain xmlns="http://schemas.openxmlformats.org/spreadsheetml/2006/main">
  <c r="Q118" i="1"/>
  <c r="H118"/>
  <c r="U119"/>
  <c r="Q119"/>
  <c r="P117"/>
  <c r="H117"/>
  <c r="H119"/>
  <c r="T62"/>
  <c r="Q62"/>
  <c r="Q101"/>
  <c r="R62"/>
  <c r="F122"/>
  <c r="H122" s="1"/>
  <c r="S90"/>
  <c r="S101"/>
  <c r="S62"/>
  <c r="S57"/>
  <c r="T133"/>
  <c r="U133" s="1"/>
  <c r="H133"/>
  <c r="H131"/>
  <c r="R131"/>
  <c r="U131" s="1"/>
  <c r="C145"/>
  <c r="C142"/>
  <c r="T121"/>
  <c r="T134"/>
  <c r="U134" s="1"/>
  <c r="F134"/>
  <c r="H134" s="1"/>
  <c r="T71"/>
  <c r="R122" l="1"/>
  <c r="U122" s="1"/>
  <c r="T41"/>
  <c r="T35"/>
  <c r="S35"/>
  <c r="F129" l="1"/>
  <c r="R129" s="1"/>
  <c r="U129" s="1"/>
  <c r="F130"/>
  <c r="H130" s="1"/>
  <c r="Q116"/>
  <c r="H116"/>
  <c r="F132"/>
  <c r="H132" s="1"/>
  <c r="H129" l="1"/>
  <c r="R130"/>
  <c r="U130" s="1"/>
  <c r="S132"/>
  <c r="U132" s="1"/>
  <c r="S108"/>
  <c r="S99"/>
  <c r="F99"/>
  <c r="S92"/>
  <c r="S102"/>
  <c r="F102"/>
  <c r="R92"/>
  <c r="R124"/>
  <c r="R125"/>
  <c r="U125" s="1"/>
  <c r="R126"/>
  <c r="R127"/>
  <c r="U127" s="1"/>
  <c r="R128"/>
  <c r="U124"/>
  <c r="U126"/>
  <c r="U128"/>
  <c r="R123"/>
  <c r="U123" s="1"/>
  <c r="H128"/>
  <c r="H126"/>
  <c r="H125"/>
  <c r="H124"/>
  <c r="H127"/>
  <c r="H123"/>
  <c r="Q121" l="1"/>
  <c r="U121" s="1"/>
  <c r="H121"/>
  <c r="Q99"/>
  <c r="Q92"/>
  <c r="Q71"/>
  <c r="U116"/>
  <c r="U117"/>
  <c r="Q120"/>
  <c r="U120" s="1"/>
  <c r="H120"/>
  <c r="Q69" l="1"/>
  <c r="R51"/>
  <c r="S41"/>
  <c r="L35"/>
  <c r="Q27"/>
  <c r="R27"/>
  <c r="Q28"/>
  <c r="R28"/>
  <c r="O112"/>
  <c r="U112" s="1"/>
  <c r="O113"/>
  <c r="U113" s="1"/>
  <c r="H113"/>
  <c r="H112"/>
  <c r="O62"/>
  <c r="N62"/>
  <c r="P115"/>
  <c r="U115" s="1"/>
  <c r="H115"/>
  <c r="P92"/>
  <c r="P102"/>
  <c r="P52" l="1"/>
  <c r="P27"/>
  <c r="P28"/>
  <c r="F107" l="1"/>
  <c r="N107" s="1"/>
  <c r="U107" s="1"/>
  <c r="N106"/>
  <c r="N108"/>
  <c r="U108" s="1"/>
  <c r="H106"/>
  <c r="H108"/>
  <c r="O114"/>
  <c r="U114" s="1"/>
  <c r="H114"/>
  <c r="O91"/>
  <c r="O102"/>
  <c r="O111"/>
  <c r="O110"/>
  <c r="U110" s="1"/>
  <c r="H110"/>
  <c r="H107" l="1"/>
  <c r="O28"/>
  <c r="O27"/>
  <c r="U106"/>
  <c r="N105"/>
  <c r="U105" s="1"/>
  <c r="F105"/>
  <c r="H105" s="1"/>
  <c r="N109"/>
  <c r="F109"/>
  <c r="H109" s="1"/>
  <c r="H111"/>
  <c r="U109"/>
  <c r="N92"/>
  <c r="U111" l="1"/>
  <c r="N27"/>
  <c r="N28"/>
  <c r="M104"/>
  <c r="U104" s="1"/>
  <c r="H104"/>
  <c r="L51" l="1"/>
  <c r="M92"/>
  <c r="M90"/>
  <c r="M103"/>
  <c r="U103" s="1"/>
  <c r="F103"/>
  <c r="H103" s="1"/>
  <c r="I52"/>
  <c r="M27"/>
  <c r="M28"/>
  <c r="L100"/>
  <c r="U100" s="1"/>
  <c r="H100"/>
  <c r="L102" l="1"/>
  <c r="U102" s="1"/>
  <c r="H102"/>
  <c r="L101"/>
  <c r="U101" s="1"/>
  <c r="H101"/>
  <c r="L95"/>
  <c r="L52"/>
  <c r="L41" l="1"/>
  <c r="K35"/>
  <c r="K92"/>
  <c r="K99"/>
  <c r="U99" s="1"/>
  <c r="H99"/>
  <c r="K62"/>
  <c r="K98"/>
  <c r="U98" s="1"/>
  <c r="K41"/>
  <c r="J35" l="1"/>
  <c r="I94"/>
  <c r="U94" s="1"/>
  <c r="H94"/>
  <c r="H98"/>
  <c r="J92"/>
  <c r="J71"/>
  <c r="J97"/>
  <c r="H97"/>
  <c r="J62"/>
  <c r="I92"/>
  <c r="U92" s="1"/>
  <c r="G96"/>
  <c r="I96" s="1"/>
  <c r="U96" s="1"/>
  <c r="I91"/>
  <c r="U91" s="1"/>
  <c r="H91"/>
  <c r="K97" l="1"/>
  <c r="U97" s="1"/>
  <c r="H96"/>
  <c r="I90"/>
  <c r="I95"/>
  <c r="U95" s="1"/>
  <c r="I62"/>
  <c r="I93" l="1"/>
  <c r="U93" s="1"/>
  <c r="P79"/>
  <c r="U79" s="1"/>
  <c r="H95" l="1"/>
  <c r="H79" l="1"/>
  <c r="H93" l="1"/>
  <c r="H92"/>
  <c r="F59"/>
  <c r="J41"/>
  <c r="U90"/>
  <c r="U135" s="1"/>
  <c r="H90"/>
  <c r="H135" s="1"/>
  <c r="U77"/>
  <c r="U75"/>
  <c r="U74"/>
  <c r="U73"/>
  <c r="U72"/>
  <c r="U71"/>
  <c r="U69"/>
  <c r="U63"/>
  <c r="U62"/>
  <c r="U60"/>
  <c r="U52"/>
  <c r="U37"/>
  <c r="U31"/>
  <c r="U30"/>
  <c r="U28"/>
  <c r="U27"/>
  <c r="I57"/>
  <c r="U57" s="1"/>
  <c r="U51"/>
  <c r="I41"/>
  <c r="U41" s="1"/>
  <c r="I35"/>
  <c r="U35" s="1"/>
  <c r="H73"/>
  <c r="H72"/>
  <c r="H71"/>
  <c r="T59" l="1"/>
  <c r="S59"/>
  <c r="Q59"/>
  <c r="R59"/>
  <c r="P59"/>
  <c r="O59"/>
  <c r="N59"/>
  <c r="M59"/>
  <c r="L59"/>
  <c r="K59"/>
  <c r="J59"/>
  <c r="H59"/>
  <c r="F60"/>
  <c r="H60" s="1"/>
  <c r="I59" l="1"/>
  <c r="U59" s="1"/>
  <c r="F56"/>
  <c r="S56" l="1"/>
  <c r="T56"/>
  <c r="J56"/>
  <c r="L56"/>
  <c r="K56"/>
  <c r="H56"/>
  <c r="I56"/>
  <c r="F55"/>
  <c r="F39"/>
  <c r="H28"/>
  <c r="S39" l="1"/>
  <c r="T39"/>
  <c r="S55"/>
  <c r="T55"/>
  <c r="L55"/>
  <c r="L39"/>
  <c r="K39"/>
  <c r="U56"/>
  <c r="K55"/>
  <c r="J55"/>
  <c r="I39"/>
  <c r="J39"/>
  <c r="I55"/>
  <c r="F24"/>
  <c r="F21"/>
  <c r="M21" s="1"/>
  <c r="U21" s="1"/>
  <c r="F20"/>
  <c r="M20" s="1"/>
  <c r="U20" s="1"/>
  <c r="F19"/>
  <c r="M19" s="1"/>
  <c r="U19" s="1"/>
  <c r="F17"/>
  <c r="M17" s="1"/>
  <c r="U17" s="1"/>
  <c r="F16"/>
  <c r="M16" s="1"/>
  <c r="U16" s="1"/>
  <c r="F15"/>
  <c r="M15" s="1"/>
  <c r="U15" s="1"/>
  <c r="H57"/>
  <c r="R24" l="1"/>
  <c r="P24"/>
  <c r="Q24"/>
  <c r="O24"/>
  <c r="N24"/>
  <c r="M24"/>
  <c r="U55"/>
  <c r="U39"/>
  <c r="F52"/>
  <c r="U24" l="1"/>
  <c r="H20"/>
  <c r="H19"/>
  <c r="H55"/>
  <c r="H37" l="1"/>
  <c r="H75" l="1"/>
  <c r="C144" l="1"/>
  <c r="H137"/>
  <c r="F138"/>
  <c r="E82"/>
  <c r="H86" s="1"/>
  <c r="F80"/>
  <c r="H77"/>
  <c r="F74"/>
  <c r="H74" s="1"/>
  <c r="F69"/>
  <c r="H69" s="1"/>
  <c r="F68"/>
  <c r="F67"/>
  <c r="F66"/>
  <c r="F65"/>
  <c r="F64"/>
  <c r="H63"/>
  <c r="H62"/>
  <c r="H52"/>
  <c r="H51"/>
  <c r="F50"/>
  <c r="F49"/>
  <c r="F48"/>
  <c r="F47"/>
  <c r="F46"/>
  <c r="F45"/>
  <c r="F44"/>
  <c r="H41"/>
  <c r="F40"/>
  <c r="H39"/>
  <c r="F38"/>
  <c r="F36"/>
  <c r="H35"/>
  <c r="F32"/>
  <c r="T32" s="1"/>
  <c r="H31"/>
  <c r="H30"/>
  <c r="F29"/>
  <c r="F26"/>
  <c r="F25"/>
  <c r="H24"/>
  <c r="H21"/>
  <c r="F18"/>
  <c r="H17"/>
  <c r="F14"/>
  <c r="M14" s="1"/>
  <c r="E13"/>
  <c r="F13" s="1"/>
  <c r="T13" s="1"/>
  <c r="F12"/>
  <c r="T12" s="1"/>
  <c r="F11"/>
  <c r="S29" l="1"/>
  <c r="T29"/>
  <c r="S36"/>
  <c r="T36"/>
  <c r="S80"/>
  <c r="T80"/>
  <c r="S11"/>
  <c r="T11"/>
  <c r="S38"/>
  <c r="T38"/>
  <c r="S40"/>
  <c r="T40"/>
  <c r="T48"/>
  <c r="Q48"/>
  <c r="O13"/>
  <c r="Q13"/>
  <c r="S13"/>
  <c r="R13"/>
  <c r="P13"/>
  <c r="O12"/>
  <c r="R12"/>
  <c r="Q12"/>
  <c r="S12"/>
  <c r="P12"/>
  <c r="Q32"/>
  <c r="S32"/>
  <c r="R32"/>
  <c r="P32"/>
  <c r="M45"/>
  <c r="Q45"/>
  <c r="M47"/>
  <c r="Q47"/>
  <c r="R49"/>
  <c r="L49"/>
  <c r="R80"/>
  <c r="P80"/>
  <c r="Q80"/>
  <c r="O80"/>
  <c r="R11"/>
  <c r="P11"/>
  <c r="Q11"/>
  <c r="O11"/>
  <c r="O25"/>
  <c r="Q25"/>
  <c r="R25"/>
  <c r="P25"/>
  <c r="R29"/>
  <c r="Q29"/>
  <c r="P29"/>
  <c r="Q44"/>
  <c r="M44"/>
  <c r="M46"/>
  <c r="Q46"/>
  <c r="M48"/>
  <c r="L50"/>
  <c r="R50"/>
  <c r="O32"/>
  <c r="N32"/>
  <c r="N80"/>
  <c r="N11"/>
  <c r="O29"/>
  <c r="N29"/>
  <c r="M11"/>
  <c r="L11"/>
  <c r="H25"/>
  <c r="N25"/>
  <c r="M25"/>
  <c r="N12"/>
  <c r="M12"/>
  <c r="H14"/>
  <c r="U14"/>
  <c r="H18"/>
  <c r="M18"/>
  <c r="U18" s="1"/>
  <c r="H26"/>
  <c r="M26"/>
  <c r="U26" s="1"/>
  <c r="M32"/>
  <c r="H64"/>
  <c r="M64"/>
  <c r="U64" s="1"/>
  <c r="H66"/>
  <c r="M66"/>
  <c r="U66" s="1"/>
  <c r="H68"/>
  <c r="M68"/>
  <c r="U68" s="1"/>
  <c r="M80"/>
  <c r="L80"/>
  <c r="N13"/>
  <c r="M13"/>
  <c r="M29"/>
  <c r="H65"/>
  <c r="M65"/>
  <c r="U65" s="1"/>
  <c r="H67"/>
  <c r="M67"/>
  <c r="U67" s="1"/>
  <c r="K11"/>
  <c r="J11"/>
  <c r="L29"/>
  <c r="K29"/>
  <c r="J29"/>
  <c r="L12"/>
  <c r="K12"/>
  <c r="L32"/>
  <c r="K32"/>
  <c r="J32"/>
  <c r="L36"/>
  <c r="K36"/>
  <c r="H45"/>
  <c r="U45"/>
  <c r="H47"/>
  <c r="U47"/>
  <c r="K80"/>
  <c r="J80"/>
  <c r="L13"/>
  <c r="K13"/>
  <c r="J38"/>
  <c r="L38"/>
  <c r="K38"/>
  <c r="J40"/>
  <c r="L40"/>
  <c r="K40"/>
  <c r="H44"/>
  <c r="H46"/>
  <c r="U46"/>
  <c r="I11"/>
  <c r="U11" s="1"/>
  <c r="I12"/>
  <c r="J12"/>
  <c r="I32"/>
  <c r="I36"/>
  <c r="J36"/>
  <c r="I80"/>
  <c r="I13"/>
  <c r="J13"/>
  <c r="I29"/>
  <c r="I48"/>
  <c r="J48"/>
  <c r="H49"/>
  <c r="U49"/>
  <c r="H38"/>
  <c r="I38"/>
  <c r="U38" s="1"/>
  <c r="H40"/>
  <c r="I40"/>
  <c r="U40" s="1"/>
  <c r="H50"/>
  <c r="U50"/>
  <c r="H32"/>
  <c r="H36"/>
  <c r="H80"/>
  <c r="H29"/>
  <c r="H48"/>
  <c r="H53" s="1"/>
  <c r="H11"/>
  <c r="H12"/>
  <c r="H16"/>
  <c r="H13"/>
  <c r="H15"/>
  <c r="H81"/>
  <c r="F82"/>
  <c r="T82" s="1"/>
  <c r="H78"/>
  <c r="U44" l="1"/>
  <c r="T138"/>
  <c r="R82"/>
  <c r="P82"/>
  <c r="P138" s="1"/>
  <c r="S82"/>
  <c r="S138" s="1"/>
  <c r="Q82"/>
  <c r="O82"/>
  <c r="Q138"/>
  <c r="R138"/>
  <c r="N82"/>
  <c r="N138" s="1"/>
  <c r="U25"/>
  <c r="O138"/>
  <c r="M82"/>
  <c r="L82"/>
  <c r="L138" s="1"/>
  <c r="H33"/>
  <c r="H42"/>
  <c r="M138"/>
  <c r="U78"/>
  <c r="K82"/>
  <c r="K138"/>
  <c r="I82"/>
  <c r="J82"/>
  <c r="U48"/>
  <c r="U53" s="1"/>
  <c r="U29"/>
  <c r="U13"/>
  <c r="U80"/>
  <c r="U81" s="1"/>
  <c r="U36"/>
  <c r="U42" s="1"/>
  <c r="U32"/>
  <c r="U12"/>
  <c r="J138"/>
  <c r="H22"/>
  <c r="H82"/>
  <c r="H83" s="1"/>
  <c r="U22" l="1"/>
  <c r="H84"/>
  <c r="H87" s="1"/>
  <c r="G138" s="1"/>
  <c r="H138" s="1"/>
  <c r="U82"/>
  <c r="U83" s="1"/>
  <c r="U33"/>
  <c r="I138"/>
  <c r="U84" l="1"/>
  <c r="U138" s="1"/>
  <c r="C147" s="1"/>
  <c r="C143" l="1"/>
</calcChain>
</file>

<file path=xl/sharedStrings.xml><?xml version="1.0" encoding="utf-8"?>
<sst xmlns="http://schemas.openxmlformats.org/spreadsheetml/2006/main" count="410" uniqueCount="294">
  <si>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</si>
  <si>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</si>
  <si>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</si>
  <si>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</si>
  <si>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</si>
  <si>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</si>
  <si>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</si>
  <si>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</si>
  <si>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</si>
  <si>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</si>
  <si>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</si>
  <si>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</si>
  <si>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</si>
  <si>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</si>
  <si>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</si>
  <si>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</si>
  <si>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</si>
  <si>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</si>
  <si>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</si>
  <si>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</si>
  <si>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</si>
  <si>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</si>
  <si>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</si>
  <si>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</si>
  <si>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</si>
  <si>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</si>
  <si>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</si>
  <si>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</si>
  <si>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</si>
  <si>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</si>
  <si>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</si>
  <si>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</si>
  <si>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</si>
  <si>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</si>
  <si>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</si>
  <si>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</si>
  <si>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</si>
  <si>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</si>
  <si>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</si>
  <si>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</si>
  <si>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</si>
  <si>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</si>
  <si>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</si>
  <si>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</si>
  <si>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</si>
  <si>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</si>
  <si>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 xml:space="preserve">Сдвигание снега в дни снегопада </t>
  </si>
  <si>
    <t>1000 м2</t>
  </si>
  <si>
    <t>50 раз за сезон</t>
  </si>
  <si>
    <t>155 раз за сезон</t>
  </si>
  <si>
    <t>45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</si>
  <si>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</si>
  <si>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</si>
  <si>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</si>
  <si>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</si>
  <si>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</si>
  <si>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</si>
  <si>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</si>
  <si>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</si>
  <si>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</si>
  <si>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</si>
  <si>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</si>
  <si>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</si>
  <si>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</si>
  <si>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</si>
  <si>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</si>
  <si>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</si>
  <si>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>Чердак, подвал, технический этаж</t>
  </si>
  <si>
    <t>м2</t>
  </si>
  <si>
    <t>12 раз в год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</si>
  <si>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</si>
  <si>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</si>
  <si>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</si>
  <si>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</si>
  <si>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</si>
  <si>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</si>
  <si>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</si>
  <si>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</si>
  <si>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</si>
  <si>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</si>
  <si>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</si>
  <si>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</si>
  <si>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</si>
  <si>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выключателей</t>
  </si>
  <si>
    <t>Смена патронов</t>
  </si>
  <si>
    <t>Замена ламп ДРЛ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</si>
  <si>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</si>
  <si>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</si>
  <si>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</si>
  <si>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</si>
  <si>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</si>
  <si>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</si>
  <si>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</si>
  <si>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</si>
  <si>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</si>
  <si>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</si>
  <si>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</si>
  <si>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</si>
  <si>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</si>
  <si>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</si>
  <si>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</si>
  <si>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</si>
  <si>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3 раза в год</t>
  </si>
  <si>
    <t>Вода для промывки СО</t>
  </si>
  <si>
    <t>Спуск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</si>
  <si>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</si>
  <si>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</si>
  <si>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Вывоз снега с придомовой территории</t>
  </si>
  <si>
    <t>Очистка внутреннего водостока</t>
  </si>
  <si>
    <t>водосток</t>
  </si>
  <si>
    <t>Дератизация</t>
  </si>
  <si>
    <t>Влажная протирка подоконников</t>
  </si>
  <si>
    <t xml:space="preserve">6 раз за сезон </t>
  </si>
  <si>
    <t>Очистка водостоков от наледи</t>
  </si>
  <si>
    <t>Очистка от мусора</t>
  </si>
  <si>
    <t>Влажная протирка шкафов для щитов и слаботочн.устройств</t>
  </si>
  <si>
    <t>2 раза в неделю 52 раза в сезон</t>
  </si>
  <si>
    <t>Очистка урн от мусора</t>
  </si>
  <si>
    <t>155 раз в год</t>
  </si>
  <si>
    <t>20 раз за сезон</t>
  </si>
  <si>
    <t>Смена ламп накаливания</t>
  </si>
  <si>
    <t>10 шт.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</si>
  <si>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</si>
  <si>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</si>
  <si>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</si>
  <si>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</si>
  <si>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</si>
  <si>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</si>
  <si>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</si>
  <si>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</si>
  <si>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</si>
  <si>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</si>
  <si>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</si>
  <si>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Подключение и отключение сварочного аппарата</t>
  </si>
  <si>
    <t>С учетом показателя инфляции ( К=1,064)</t>
  </si>
  <si>
    <t>Ремонт групповых щитков на лестничной клетке без ремонта автоматов</t>
  </si>
  <si>
    <t>калькуляция</t>
  </si>
  <si>
    <t>1шт.</t>
  </si>
  <si>
    <t>Смена сгонов у трубопроводов диаметром до 32 мм</t>
  </si>
  <si>
    <t>1 сгон</t>
  </si>
  <si>
    <t>5 этажей, 8 подъездов</t>
  </si>
  <si>
    <t>Стоимость (руб.)</t>
  </si>
  <si>
    <t>договор</t>
  </si>
  <si>
    <t>ТО внутридомового газ.оборудования</t>
  </si>
  <si>
    <t>1 м</t>
  </si>
  <si>
    <t>Выполне ние    июнь</t>
  </si>
  <si>
    <t>Баланс выполненных работ на 01.01.2016 г. ( -долг за предприятием, +долг за населением)</t>
  </si>
  <si>
    <t>Ремонт и регулировка доводчика (со стоимостью доводчика)</t>
  </si>
  <si>
    <t>Выполнено работ по содержанию за       2016 г.</t>
  </si>
  <si>
    <t>Выполнено работ по текущему ремонту за 2016 г.</t>
  </si>
  <si>
    <t>Фактически оплачено за 2016 г.</t>
  </si>
  <si>
    <t>Мелкий ремонт электропроводки</t>
  </si>
  <si>
    <t>Смена автомата на ток до 25А</t>
  </si>
  <si>
    <t>Смена арматуры - вентилей и клапанов обратных муфтовых диаметром до 20 мм</t>
  </si>
  <si>
    <t>1 шт</t>
  </si>
  <si>
    <t xml:space="preserve">Смена сгонов у трубопроводов диаметром до 20 мм </t>
  </si>
  <si>
    <t>Замена циркуляционного насоса на центральной трубе ГВС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</si>
  <si>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Нефтяников, 6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2016 год</t>
    </r>
  </si>
  <si>
    <t>С учетом показателя инфляции (К=1,094)</t>
  </si>
  <si>
    <t>Внеплановый осмотр электросетей, армазуры и электрооборудования на лестничных клетках</t>
  </si>
  <si>
    <t>место</t>
  </si>
  <si>
    <t>Прочистка засоров ГВС, XВC</t>
  </si>
  <si>
    <t>3м</t>
  </si>
  <si>
    <t xml:space="preserve">Смена переходника у трубопроводов диаметром до 20 мм 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</si>
  <si>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</si>
  <si>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</si>
  <si>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</si>
  <si>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</si>
  <si>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</si>
  <si>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</si>
  <si>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</si>
  <si>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</si>
  <si>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Осмотр рулонной кровли</t>
  </si>
  <si>
    <t>Очистка края кровли от слежавшегося снега со сбрасыванием сосулек (козырьки)</t>
  </si>
  <si>
    <t>6 раз в год</t>
  </si>
  <si>
    <t>100шт</t>
  </si>
  <si>
    <t>Настройка таймера освещения ТО-2</t>
  </si>
  <si>
    <t>смета</t>
  </si>
  <si>
    <t>Ремонт ограждений контейнерной площадки</t>
  </si>
  <si>
    <t>тыс.руб.</t>
  </si>
  <si>
    <t>Устройство хомута диаметром до 50 мм</t>
  </si>
  <si>
    <t>Начислено за содержание и текущий ремонт за 2016  г.</t>
  </si>
  <si>
    <t>Ремонт ступеней фанерой</t>
  </si>
  <si>
    <t>Ремонт оголовков</t>
  </si>
  <si>
    <t>10 м2</t>
  </si>
  <si>
    <t>Ремонт отдельными местами рулонного покрытия, промазка битумными составами отдельными местами рулонного покрытия, замена 2 слоев.</t>
  </si>
  <si>
    <t xml:space="preserve">Смена трубопроводов на металл-полимерные трубы д=20 </t>
  </si>
  <si>
    <t>Смена вентилей диаметром до 20 мм (без материала)</t>
  </si>
  <si>
    <t>Смена дверных приборов (замки навесные)</t>
  </si>
  <si>
    <t xml:space="preserve">Работа автовышки </t>
  </si>
  <si>
    <t>маш/ч</t>
  </si>
  <si>
    <t>Очистка кровли от сроительного мусора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</si>
  <si>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</si>
  <si>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</si>
  <si>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</si>
  <si>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</si>
  <si>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</si>
  <si>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</si>
  <si>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</si>
  <si>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</si>
  <si>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</si>
  <si>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</si>
  <si>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</si>
  <si>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</si>
  <si>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</si>
  <si>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55-003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</si>
  <si>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</si>
  <si>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</si>
  <si>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</si>
  <si>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</si>
  <si>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</si>
  <si>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</si>
  <si>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</si>
  <si>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42-002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</si>
  <si>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</si>
  <si>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</si>
  <si>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</si>
  <si>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</si>
  <si>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</si>
  <si>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</si>
  <si>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</si>
  <si>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>ТЕР 54-041 и 42</t>
  </si>
  <si>
    <t>пр.ТЕР 54-041</t>
  </si>
  <si>
    <t>ТЕР 31-066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</si>
  <si>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</si>
  <si>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</si>
  <si>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</si>
  <si>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</si>
  <si>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</si>
  <si>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</si>
  <si>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</si>
  <si>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</si>
  <si>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33-028</t>
  </si>
  <si>
    <t>ТЕР 33-049</t>
  </si>
  <si>
    <t>ТЕР 33-043</t>
  </si>
  <si>
    <t>ТЕР 33-060</t>
  </si>
  <si>
    <t>ТЕР Q2-2-1-3-3</t>
  </si>
  <si>
    <t>ТЕР 33-030</t>
  </si>
  <si>
    <t xml:space="preserve">ТЕР 31-010 </t>
  </si>
  <si>
    <t>пр.ТЕР 32-012</t>
  </si>
  <si>
    <t>ТЕР 33-046</t>
  </si>
  <si>
    <t>ТЕР 32-027</t>
  </si>
  <si>
    <t>ТЕР 31-009</t>
  </si>
  <si>
    <t>пр.ТЕР 31-009</t>
  </si>
  <si>
    <t>пр.ТЕР 32-098</t>
  </si>
  <si>
    <t>ТЕР 32-101</t>
  </si>
  <si>
    <t>пр.ТЕР 42-014</t>
  </si>
  <si>
    <t>ТЕР 17-014</t>
  </si>
  <si>
    <t>пр.ТЕР 17-071</t>
  </si>
  <si>
    <t>пр.ТЕР 11-013</t>
  </si>
  <si>
    <t>ТЕР 15-051</t>
  </si>
  <si>
    <t>пр.ТЕР 31-065</t>
  </si>
  <si>
    <t>Ликвидация воздушных пробок в стояках ХВС</t>
  </si>
  <si>
    <t>ТЕР 33-025</t>
  </si>
  <si>
    <t>м</t>
  </si>
  <si>
    <t>ТЕР 33-034</t>
  </si>
  <si>
    <t>ТЕР 33-033</t>
  </si>
  <si>
    <t>Смена трубопроводов на полипропиленовые трубы PN25 диаметром 20 мм</t>
  </si>
  <si>
    <t>ТЕР 2-1-1б</t>
  </si>
  <si>
    <t>Внеплановая проверка вентканалов</t>
  </si>
  <si>
    <t>пр.ТЕР 32-082</t>
  </si>
  <si>
    <t>Смена полиэтиленовых канализационных труб 50×1000 мм</t>
  </si>
  <si>
    <t>счёт</t>
  </si>
  <si>
    <t>Тройник 50</t>
  </si>
  <si>
    <t>Переход чугун-пластик Ду 50 с манжетой</t>
  </si>
  <si>
    <t>Заглушка Ду 50</t>
  </si>
  <si>
    <r>
      <t xml:space="preserve">Отвод 50 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 xml:space="preserve"> 45гр.</t>
    </r>
  </si>
  <si>
    <r>
      <t>Манжета 75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50 мм</t>
    </r>
  </si>
  <si>
    <t>пр.ТЕР 07-05-039-7</t>
  </si>
  <si>
    <t xml:space="preserve">Устройство герметизации горизонтальных и вертикальных стыков стеновых панелей </t>
  </si>
  <si>
    <t>100 м шва</t>
  </si>
  <si>
    <t>Зачеканка раструбов канализационных труб д=до 100 мм</t>
  </si>
  <si>
    <t>ТЕР 32-072</t>
  </si>
  <si>
    <t>Обшивка каркасных стен плитами древесноволокнистыми твердыми 4-5 мм</t>
  </si>
  <si>
    <t>Обшивка каркасных стен досками под штукатурку</t>
  </si>
  <si>
    <t>пр.ТЕР 14-005</t>
  </si>
  <si>
    <t>пр.ТЕР 14-006</t>
  </si>
  <si>
    <t>Внеплановая осмотр элекгросетей, арматуры и электрооборудования на чердаках и подвалах</t>
  </si>
  <si>
    <t>Просроченная задолженность по Вашему дому по статье "Содержание и текущий ремонт МКД" на конец декабря 2016 г., составляет:</t>
  </si>
  <si>
    <t>Баланс выполненных работ на 01.01.2017 г. ( -долг за предприятием, +долг за населением)</t>
  </si>
  <si>
    <t>Смена отдельных участков наружной проводки (без тоимости материала)</t>
  </si>
  <si>
    <t>Смена отдельных участков внутренней проводки (без стоимости материала)</t>
  </si>
  <si>
    <t>Замена оборудования (под.№8)</t>
  </si>
  <si>
    <t>ТЕР 32-088</t>
  </si>
  <si>
    <t>Смена внутренних трубопроводов из стальных труб диаметром до 40 мм</t>
  </si>
  <si>
    <t>Водоотлив из подвала электрическими (механическими) насосами (100 м3 воды)</t>
  </si>
  <si>
    <t>10 м3</t>
  </si>
  <si>
    <t>ТЕР 11-012</t>
  </si>
  <si>
    <t>пр.ТЕР 32-086</t>
  </si>
  <si>
    <t>Смена внутренних трубопроводов из стальных труб диаметром до 25 мм (без стоимости материала)</t>
  </si>
  <si>
    <t>пр.ТЕР 15-006</t>
  </si>
  <si>
    <t>Ремонт железной двери</t>
  </si>
  <si>
    <t>Смена фитингов диаметром до 20 мм</t>
  </si>
  <si>
    <t>пр.ТЕР 32-027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</si>
</sst>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41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" fillId="0" borderId="0" xfId="0" applyFont="1"/>
    <xf numFmtId="0" fontId="1" fillId="8" borderId="3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center" vertical="center" wrapText="1"/>
    </xf>
    <xf numFmtId="4" fontId="1" fillId="4" borderId="1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6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4" fontId="14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7" fillId="0" borderId="3" xfId="0" applyFont="1" applyBorder="1" applyAlignment="1">
      <alignment horizontal="center" wrapText="1"/>
    </xf>
    <xf numFmtId="0" fontId="17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1" fillId="12" borderId="3" xfId="0" applyNumberFormat="1" applyFont="1" applyFill="1" applyBorder="1" applyAlignment="1" applyProtection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center" vertical="center"/>
    </xf>
    <xf numFmtId="4" fontId="3" fillId="13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9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8" fillId="0" borderId="0" xfId="0" applyFont="1" applyAlignment="1"/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1" fillId="4" borderId="12" xfId="0" applyNumberFormat="1" applyFont="1" applyFill="1" applyBorder="1" applyAlignment="1" applyProtection="1">
      <alignment horizontal="center" vertical="center" wrapText="1"/>
    </xf>
    <xf numFmtId="0" fontId="1" fillId="4" borderId="12" xfId="0" applyNumberFormat="1" applyFont="1" applyFill="1" applyBorder="1" applyAlignment="1" applyProtection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vertical="center"/>
    </xf>
    <xf numFmtId="4" fontId="1" fillId="2" borderId="16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4" fontId="1" fillId="0" borderId="3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165" fontId="1" fillId="4" borderId="3" xfId="0" applyNumberFormat="1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0" fillId="2" borderId="0" xfId="0" applyFill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51"/>
  <sheetViews>
    <sheetView tabSelected="1" view="pageBreakPreview" zoomScaleNormal="75" zoomScaleSheetLayoutView="100" workbookViewId="0">
      <pane ySplit="7" topLeftCell="A119" activePane="bottomLeft" state="frozen"/>
      <selection activeCell="B1" sqref="B1"/>
      <selection pane="bottomLeft" activeCell="H125" sqref="H125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20" width="9.85546875" customWidth="1"/>
    <col min="21" max="21" width="12.28515625" customWidth="1"/>
  </cols>
  <sheetData>
    <row r="1" spans="1:21" ht="14.25" customHeight="1"/>
    <row r="3" spans="1:21" ht="18">
      <c r="A3" s="134"/>
      <c r="B3" s="173" t="s">
        <v>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28"/>
      <c r="N3" s="28"/>
      <c r="O3" s="28"/>
      <c r="P3" s="28"/>
      <c r="Q3" s="28"/>
      <c r="R3" s="28"/>
      <c r="S3" s="28"/>
      <c r="T3" s="28"/>
      <c r="U3" s="28"/>
    </row>
    <row r="4" spans="1:21" ht="36" customHeight="1">
      <c r="A4" s="28"/>
      <c r="B4" s="174" t="s">
        <v>1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28"/>
      <c r="N4" s="28"/>
      <c r="O4" s="28"/>
      <c r="P4" s="28"/>
      <c r="Q4" s="28"/>
      <c r="R4" s="28"/>
      <c r="S4" s="28"/>
      <c r="T4" s="28"/>
      <c r="U4" s="28"/>
    </row>
    <row r="5" spans="1:21" ht="18">
      <c r="A5" s="28"/>
      <c r="B5" s="174" t="s">
        <v>157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28"/>
      <c r="N5" s="28"/>
      <c r="O5" s="28"/>
      <c r="P5" s="28"/>
      <c r="Q5" s="28"/>
      <c r="R5" s="28"/>
      <c r="S5" s="28"/>
      <c r="T5" s="28"/>
      <c r="U5" s="28"/>
    </row>
    <row r="6" spans="1:21" ht="14.25">
      <c r="A6" s="28"/>
      <c r="B6" s="175" t="s">
        <v>140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28"/>
      <c r="N6" s="28"/>
      <c r="O6" s="28"/>
      <c r="P6" s="28"/>
      <c r="Q6" s="28"/>
      <c r="R6" s="28"/>
      <c r="S6" s="28"/>
      <c r="T6" s="28"/>
      <c r="U6" s="28"/>
    </row>
    <row r="7" spans="1:21" ht="54" customHeight="1">
      <c r="A7" s="150" t="s">
        <v>2</v>
      </c>
      <c r="B7" s="151" t="s">
        <v>3</v>
      </c>
      <c r="C7" s="151" t="s">
        <v>4</v>
      </c>
      <c r="D7" s="151" t="s">
        <v>5</v>
      </c>
      <c r="E7" s="151" t="s">
        <v>6</v>
      </c>
      <c r="F7" s="151" t="s">
        <v>7</v>
      </c>
      <c r="G7" s="151" t="s">
        <v>8</v>
      </c>
      <c r="H7" s="152" t="s">
        <v>9</v>
      </c>
      <c r="I7" s="27" t="s">
        <v>122</v>
      </c>
      <c r="J7" s="27" t="s">
        <v>123</v>
      </c>
      <c r="K7" s="27" t="s">
        <v>124</v>
      </c>
      <c r="L7" s="27" t="s">
        <v>125</v>
      </c>
      <c r="M7" s="27" t="s">
        <v>126</v>
      </c>
      <c r="N7" s="27" t="s">
        <v>145</v>
      </c>
      <c r="O7" s="27" t="s">
        <v>127</v>
      </c>
      <c r="P7" s="27" t="s">
        <v>128</v>
      </c>
      <c r="Q7" s="27" t="s">
        <v>129</v>
      </c>
      <c r="R7" s="27" t="s">
        <v>130</v>
      </c>
      <c r="S7" s="27" t="s">
        <v>131</v>
      </c>
      <c r="T7" s="27" t="s">
        <v>132</v>
      </c>
      <c r="U7" s="27" t="s">
        <v>141</v>
      </c>
    </row>
    <row r="8" spans="1:21">
      <c r="A8" s="153">
        <v>1</v>
      </c>
      <c r="B8" s="8">
        <v>2</v>
      </c>
      <c r="C8" s="30">
        <v>3</v>
      </c>
      <c r="D8" s="8">
        <v>4</v>
      </c>
      <c r="E8" s="8">
        <v>5</v>
      </c>
      <c r="F8" s="30">
        <v>6</v>
      </c>
      <c r="G8" s="30">
        <v>7</v>
      </c>
      <c r="H8" s="31">
        <v>8</v>
      </c>
      <c r="I8" s="149">
        <v>9</v>
      </c>
      <c r="J8" s="32">
        <v>10</v>
      </c>
      <c r="K8" s="32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  <c r="T8" s="32">
        <v>20</v>
      </c>
      <c r="U8" s="32">
        <v>21</v>
      </c>
    </row>
    <row r="9" spans="1:21" ht="38.25">
      <c r="A9" s="153"/>
      <c r="B9" s="10" t="s">
        <v>10</v>
      </c>
      <c r="C9" s="30"/>
      <c r="D9" s="11"/>
      <c r="E9" s="11"/>
      <c r="F9" s="30"/>
      <c r="G9" s="30"/>
      <c r="H9" s="33"/>
      <c r="I9" s="34"/>
      <c r="J9" s="34"/>
      <c r="K9" s="34"/>
      <c r="L9" s="34"/>
      <c r="M9" s="35"/>
      <c r="N9" s="29"/>
      <c r="O9" s="29"/>
      <c r="P9" s="29"/>
      <c r="Q9" s="29"/>
      <c r="R9" s="29"/>
      <c r="S9" s="29"/>
      <c r="T9" s="29"/>
      <c r="U9" s="29"/>
    </row>
    <row r="10" spans="1:21">
      <c r="A10" s="153"/>
      <c r="B10" s="10" t="s">
        <v>11</v>
      </c>
      <c r="C10" s="30"/>
      <c r="D10" s="11"/>
      <c r="E10" s="11"/>
      <c r="F10" s="30"/>
      <c r="G10" s="30"/>
      <c r="H10" s="33"/>
      <c r="I10" s="34"/>
      <c r="J10" s="34"/>
      <c r="K10" s="34"/>
      <c r="L10" s="34"/>
      <c r="M10" s="35"/>
      <c r="N10" s="29"/>
      <c r="O10" s="29"/>
      <c r="P10" s="29"/>
      <c r="Q10" s="29"/>
      <c r="R10" s="29"/>
      <c r="S10" s="29"/>
      <c r="T10" s="29"/>
      <c r="U10" s="29"/>
    </row>
    <row r="11" spans="1:21" ht="25.5">
      <c r="A11" s="153" t="s">
        <v>192</v>
      </c>
      <c r="B11" s="11" t="s">
        <v>12</v>
      </c>
      <c r="C11" s="30" t="s">
        <v>13</v>
      </c>
      <c r="D11" s="11" t="s">
        <v>14</v>
      </c>
      <c r="E11" s="36">
        <v>164.38</v>
      </c>
      <c r="F11" s="37">
        <f>SUM(E11*156/100)</f>
        <v>256.43279999999999</v>
      </c>
      <c r="G11" s="37">
        <v>175.38</v>
      </c>
      <c r="H11" s="38">
        <f t="shared" ref="H11:H21" si="0">SUM(F11*G11/1000)</f>
        <v>44.973184463999999</v>
      </c>
      <c r="I11" s="39">
        <f>F11/12*G11</f>
        <v>3747.7653719999998</v>
      </c>
      <c r="J11" s="39">
        <f>F11/12*G11</f>
        <v>3747.7653719999998</v>
      </c>
      <c r="K11" s="39">
        <f>F11/12*G11</f>
        <v>3747.7653719999998</v>
      </c>
      <c r="L11" s="39">
        <f>F11/12*G11</f>
        <v>3747.7653719999998</v>
      </c>
      <c r="M11" s="39">
        <f>F11/12*G11</f>
        <v>3747.7653719999998</v>
      </c>
      <c r="N11" s="39">
        <f>F11/12*G11</f>
        <v>3747.7653719999998</v>
      </c>
      <c r="O11" s="39">
        <f>F11/12*G11</f>
        <v>3747.7653719999998</v>
      </c>
      <c r="P11" s="39">
        <f>F11/12*G11</f>
        <v>3747.7653719999998</v>
      </c>
      <c r="Q11" s="39">
        <f>F11/12*G11</f>
        <v>3747.7653719999998</v>
      </c>
      <c r="R11" s="39">
        <f>F11/12*G11</f>
        <v>3747.7653719999998</v>
      </c>
      <c r="S11" s="39">
        <f>F11/12*G11</f>
        <v>3747.7653719999998</v>
      </c>
      <c r="T11" s="39">
        <f>F11/12*G11</f>
        <v>3747.7653719999998</v>
      </c>
      <c r="U11" s="39">
        <f>SUM(I11:T11)</f>
        <v>44973.184464000013</v>
      </c>
    </row>
    <row r="12" spans="1:21" ht="25.5">
      <c r="A12" s="153" t="s">
        <v>192</v>
      </c>
      <c r="B12" s="11" t="s">
        <v>15</v>
      </c>
      <c r="C12" s="30" t="s">
        <v>13</v>
      </c>
      <c r="D12" s="11" t="s">
        <v>16</v>
      </c>
      <c r="E12" s="36">
        <v>657.52</v>
      </c>
      <c r="F12" s="37">
        <f>SUM(E12*104/100)</f>
        <v>683.82079999999996</v>
      </c>
      <c r="G12" s="37">
        <v>175.38</v>
      </c>
      <c r="H12" s="38">
        <f t="shared" si="0"/>
        <v>119.928491904</v>
      </c>
      <c r="I12" s="39">
        <f>F12/12*G12</f>
        <v>9994.0409919999984</v>
      </c>
      <c r="J12" s="39">
        <f>F12/12*G12</f>
        <v>9994.0409919999984</v>
      </c>
      <c r="K12" s="39">
        <f t="shared" ref="K12:K13" si="1">F12/12*G12</f>
        <v>9994.0409919999984</v>
      </c>
      <c r="L12" s="39">
        <f t="shared" ref="L12:L13" si="2">F12/12*G12</f>
        <v>9994.0409919999984</v>
      </c>
      <c r="M12" s="39">
        <f t="shared" ref="M12:M13" si="3">F12/12*G12</f>
        <v>9994.0409919999984</v>
      </c>
      <c r="N12" s="39">
        <f t="shared" ref="N12:N13" si="4">F12/12*G12</f>
        <v>9994.0409919999984</v>
      </c>
      <c r="O12" s="39">
        <f t="shared" ref="O12:O13" si="5">F12/12*G12</f>
        <v>9994.0409919999984</v>
      </c>
      <c r="P12" s="39">
        <f t="shared" ref="P12:P13" si="6">F12/12*G12</f>
        <v>9994.0409919999984</v>
      </c>
      <c r="Q12" s="39">
        <f t="shared" ref="Q12:Q13" si="7">F12/12*G12</f>
        <v>9994.0409919999984</v>
      </c>
      <c r="R12" s="39">
        <f t="shared" ref="R12:R13" si="8">F12/12*G12</f>
        <v>9994.0409919999984</v>
      </c>
      <c r="S12" s="39">
        <f t="shared" ref="S12:S13" si="9">F12/12*G12</f>
        <v>9994.0409919999984</v>
      </c>
      <c r="T12" s="39">
        <f t="shared" ref="T12:T13" si="10">F12/12*G12</f>
        <v>9994.0409919999984</v>
      </c>
      <c r="U12" s="39">
        <f t="shared" ref="U12:U21" si="11">SUM(I12:T12)</f>
        <v>119928.49190399995</v>
      </c>
    </row>
    <row r="13" spans="1:21" ht="25.5">
      <c r="A13" s="153" t="s">
        <v>193</v>
      </c>
      <c r="B13" s="11" t="s">
        <v>17</v>
      </c>
      <c r="C13" s="30" t="s">
        <v>13</v>
      </c>
      <c r="D13" s="11" t="s">
        <v>18</v>
      </c>
      <c r="E13" s="36">
        <f>SUM(E11+E12)</f>
        <v>821.9</v>
      </c>
      <c r="F13" s="37">
        <f>SUM(E13*24/100)</f>
        <v>197.25599999999997</v>
      </c>
      <c r="G13" s="37">
        <v>504.5</v>
      </c>
      <c r="H13" s="38">
        <f t="shared" si="0"/>
        <v>99.515651999999989</v>
      </c>
      <c r="I13" s="39">
        <f>F13/12*G13</f>
        <v>8292.9709999999995</v>
      </c>
      <c r="J13" s="39">
        <f>F13/12*G13</f>
        <v>8292.9709999999995</v>
      </c>
      <c r="K13" s="39">
        <f t="shared" si="1"/>
        <v>8292.9709999999995</v>
      </c>
      <c r="L13" s="39">
        <f t="shared" si="2"/>
        <v>8292.9709999999995</v>
      </c>
      <c r="M13" s="39">
        <f t="shared" si="3"/>
        <v>8292.9709999999995</v>
      </c>
      <c r="N13" s="39">
        <f t="shared" si="4"/>
        <v>8292.9709999999995</v>
      </c>
      <c r="O13" s="39">
        <f t="shared" si="5"/>
        <v>8292.9709999999995</v>
      </c>
      <c r="P13" s="39">
        <f t="shared" si="6"/>
        <v>8292.9709999999995</v>
      </c>
      <c r="Q13" s="39">
        <f t="shared" si="7"/>
        <v>8292.9709999999995</v>
      </c>
      <c r="R13" s="39">
        <f t="shared" si="8"/>
        <v>8292.9709999999995</v>
      </c>
      <c r="S13" s="39">
        <f t="shared" si="9"/>
        <v>8292.9709999999995</v>
      </c>
      <c r="T13" s="39">
        <f t="shared" si="10"/>
        <v>8292.9709999999995</v>
      </c>
      <c r="U13" s="39">
        <f t="shared" si="11"/>
        <v>99515.652000000016</v>
      </c>
    </row>
    <row r="14" spans="1:21">
      <c r="A14" s="153" t="s">
        <v>194</v>
      </c>
      <c r="B14" s="11" t="s">
        <v>19</v>
      </c>
      <c r="C14" s="30" t="s">
        <v>20</v>
      </c>
      <c r="D14" s="11" t="s">
        <v>101</v>
      </c>
      <c r="E14" s="36">
        <v>51.2</v>
      </c>
      <c r="F14" s="37">
        <f>SUM(E14/10)</f>
        <v>5.12</v>
      </c>
      <c r="G14" s="37">
        <v>170.16</v>
      </c>
      <c r="H14" s="38">
        <f t="shared" si="0"/>
        <v>0.87121919999999997</v>
      </c>
      <c r="I14" s="39">
        <v>0</v>
      </c>
      <c r="J14" s="39">
        <v>0</v>
      </c>
      <c r="K14" s="39">
        <v>0</v>
      </c>
      <c r="L14" s="39">
        <v>0</v>
      </c>
      <c r="M14" s="39">
        <f>F14/2*G14</f>
        <v>435.6096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f t="shared" si="11"/>
        <v>435.6096</v>
      </c>
    </row>
    <row r="15" spans="1:21">
      <c r="A15" s="153" t="s">
        <v>195</v>
      </c>
      <c r="B15" s="11" t="s">
        <v>21</v>
      </c>
      <c r="C15" s="30" t="s">
        <v>13</v>
      </c>
      <c r="D15" s="11" t="s">
        <v>32</v>
      </c>
      <c r="E15" s="36">
        <v>58.4</v>
      </c>
      <c r="F15" s="37">
        <f>SUM(E15/100)</f>
        <v>0.58399999999999996</v>
      </c>
      <c r="G15" s="37">
        <v>217.88</v>
      </c>
      <c r="H15" s="38">
        <f t="shared" si="0"/>
        <v>0.12724191999999998</v>
      </c>
      <c r="I15" s="39">
        <v>0</v>
      </c>
      <c r="J15" s="39">
        <v>0</v>
      </c>
      <c r="K15" s="39">
        <v>0</v>
      </c>
      <c r="L15" s="39">
        <v>0</v>
      </c>
      <c r="M15" s="39">
        <f t="shared" ref="M15:M21" si="12">F15*G15</f>
        <v>127.24191999999999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f t="shared" si="11"/>
        <v>127.24191999999999</v>
      </c>
    </row>
    <row r="16" spans="1:21">
      <c r="A16" s="153" t="s">
        <v>196</v>
      </c>
      <c r="B16" s="11" t="s">
        <v>22</v>
      </c>
      <c r="C16" s="30" t="s">
        <v>13</v>
      </c>
      <c r="D16" s="11" t="s">
        <v>32</v>
      </c>
      <c r="E16" s="36">
        <v>13.41</v>
      </c>
      <c r="F16" s="37">
        <f>SUM(E16/100)</f>
        <v>0.1341</v>
      </c>
      <c r="G16" s="37">
        <v>216.12</v>
      </c>
      <c r="H16" s="38">
        <f t="shared" si="0"/>
        <v>2.8981692E-2</v>
      </c>
      <c r="I16" s="39">
        <v>0</v>
      </c>
      <c r="J16" s="39">
        <v>0</v>
      </c>
      <c r="K16" s="39">
        <v>0</v>
      </c>
      <c r="L16" s="39">
        <v>0</v>
      </c>
      <c r="M16" s="39">
        <f t="shared" si="12"/>
        <v>28.981691999999999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f t="shared" si="11"/>
        <v>28.981691999999999</v>
      </c>
    </row>
    <row r="17" spans="1:21">
      <c r="A17" s="153" t="s">
        <v>197</v>
      </c>
      <c r="B17" s="11" t="s">
        <v>23</v>
      </c>
      <c r="C17" s="30" t="s">
        <v>24</v>
      </c>
      <c r="D17" s="11" t="s">
        <v>101</v>
      </c>
      <c r="E17" s="36">
        <v>1025.5999999999999</v>
      </c>
      <c r="F17" s="37">
        <f>SUM(E17/100)</f>
        <v>10.255999999999998</v>
      </c>
      <c r="G17" s="37">
        <v>269.26</v>
      </c>
      <c r="H17" s="38">
        <f t="shared" si="0"/>
        <v>2.7615305599999997</v>
      </c>
      <c r="I17" s="39">
        <v>0</v>
      </c>
      <c r="J17" s="39">
        <v>0</v>
      </c>
      <c r="K17" s="39">
        <v>0</v>
      </c>
      <c r="L17" s="39">
        <v>0</v>
      </c>
      <c r="M17" s="39">
        <f t="shared" si="12"/>
        <v>2761.5305599999997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f t="shared" si="11"/>
        <v>2761.5305599999997</v>
      </c>
    </row>
    <row r="18" spans="1:21">
      <c r="A18" s="153" t="s">
        <v>198</v>
      </c>
      <c r="B18" s="11" t="s">
        <v>25</v>
      </c>
      <c r="C18" s="30" t="s">
        <v>24</v>
      </c>
      <c r="D18" s="11" t="s">
        <v>101</v>
      </c>
      <c r="E18" s="41">
        <v>60.5</v>
      </c>
      <c r="F18" s="37">
        <f>SUM(E18/100)</f>
        <v>0.60499999999999998</v>
      </c>
      <c r="G18" s="37">
        <v>44.29</v>
      </c>
      <c r="H18" s="38">
        <f t="shared" si="0"/>
        <v>2.6795449999999998E-2</v>
      </c>
      <c r="I18" s="39">
        <v>0</v>
      </c>
      <c r="J18" s="39">
        <v>0</v>
      </c>
      <c r="K18" s="39">
        <v>0</v>
      </c>
      <c r="L18" s="39">
        <v>0</v>
      </c>
      <c r="M18" s="39">
        <f t="shared" si="12"/>
        <v>26.795449999999999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f t="shared" si="11"/>
        <v>26.795449999999999</v>
      </c>
    </row>
    <row r="19" spans="1:21">
      <c r="A19" s="153" t="s">
        <v>199</v>
      </c>
      <c r="B19" s="11" t="s">
        <v>111</v>
      </c>
      <c r="C19" s="30" t="s">
        <v>24</v>
      </c>
      <c r="D19" s="11" t="s">
        <v>32</v>
      </c>
      <c r="E19" s="42">
        <v>19.149999999999999</v>
      </c>
      <c r="F19" s="37">
        <f>E19/100</f>
        <v>0.19149999999999998</v>
      </c>
      <c r="G19" s="37">
        <v>389.42</v>
      </c>
      <c r="H19" s="38">
        <f>G19*F19/100</f>
        <v>0.74573929999999988</v>
      </c>
      <c r="I19" s="39">
        <v>0</v>
      </c>
      <c r="J19" s="39">
        <v>0</v>
      </c>
      <c r="K19" s="39">
        <v>0</v>
      </c>
      <c r="L19" s="39">
        <v>0</v>
      </c>
      <c r="M19" s="39">
        <f t="shared" si="12"/>
        <v>74.57392999999999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f t="shared" si="11"/>
        <v>74.57392999999999</v>
      </c>
    </row>
    <row r="20" spans="1:21" ht="25.5">
      <c r="A20" s="153" t="s">
        <v>200</v>
      </c>
      <c r="B20" s="11" t="s">
        <v>115</v>
      </c>
      <c r="C20" s="30" t="s">
        <v>24</v>
      </c>
      <c r="D20" s="11" t="s">
        <v>32</v>
      </c>
      <c r="E20" s="43">
        <v>31.5</v>
      </c>
      <c r="F20" s="37">
        <f>E20/100</f>
        <v>0.315</v>
      </c>
      <c r="G20" s="37">
        <v>216.12</v>
      </c>
      <c r="H20" s="38">
        <f>G20*F20/1000</f>
        <v>6.8077799999999994E-2</v>
      </c>
      <c r="I20" s="39">
        <v>0</v>
      </c>
      <c r="J20" s="39">
        <v>0</v>
      </c>
      <c r="K20" s="39">
        <v>0</v>
      </c>
      <c r="L20" s="39">
        <v>0</v>
      </c>
      <c r="M20" s="39">
        <f t="shared" si="12"/>
        <v>68.077799999999996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f t="shared" si="11"/>
        <v>68.077799999999996</v>
      </c>
    </row>
    <row r="21" spans="1:21">
      <c r="A21" s="153" t="s">
        <v>201</v>
      </c>
      <c r="B21" s="11" t="s">
        <v>26</v>
      </c>
      <c r="C21" s="30" t="s">
        <v>24</v>
      </c>
      <c r="D21" s="11" t="s">
        <v>32</v>
      </c>
      <c r="E21" s="36">
        <v>37.5</v>
      </c>
      <c r="F21" s="37">
        <f>SUM(E21/100)</f>
        <v>0.375</v>
      </c>
      <c r="G21" s="37">
        <v>520.79999999999995</v>
      </c>
      <c r="H21" s="38">
        <f t="shared" si="0"/>
        <v>0.19529999999999997</v>
      </c>
      <c r="I21" s="39">
        <v>0</v>
      </c>
      <c r="J21" s="39">
        <v>0</v>
      </c>
      <c r="K21" s="39">
        <v>0</v>
      </c>
      <c r="L21" s="39">
        <v>0</v>
      </c>
      <c r="M21" s="39">
        <f t="shared" si="12"/>
        <v>195.29999999999998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f t="shared" si="11"/>
        <v>195.29999999999998</v>
      </c>
    </row>
    <row r="22" spans="1:21" s="19" customFormat="1">
      <c r="A22" s="154"/>
      <c r="B22" s="20" t="s">
        <v>27</v>
      </c>
      <c r="C22" s="44"/>
      <c r="D22" s="20"/>
      <c r="E22" s="45"/>
      <c r="F22" s="46"/>
      <c r="G22" s="46"/>
      <c r="H22" s="47">
        <f>SUM(H11:H21)</f>
        <v>269.24221428999999</v>
      </c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>SUM(U11:U21)</f>
        <v>268135.43932</v>
      </c>
    </row>
    <row r="23" spans="1:21">
      <c r="A23" s="153"/>
      <c r="B23" s="12" t="s">
        <v>28</v>
      </c>
      <c r="C23" s="30"/>
      <c r="D23" s="11"/>
      <c r="E23" s="36"/>
      <c r="F23" s="37"/>
      <c r="G23" s="37"/>
      <c r="H23" s="38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25.5" customHeight="1">
      <c r="A24" s="153" t="s">
        <v>202</v>
      </c>
      <c r="B24" s="11" t="s">
        <v>164</v>
      </c>
      <c r="C24" s="30" t="s">
        <v>29</v>
      </c>
      <c r="D24" s="11" t="s">
        <v>116</v>
      </c>
      <c r="E24" s="37">
        <v>659.5</v>
      </c>
      <c r="F24" s="37">
        <f>SUM(E24*52/1000)</f>
        <v>34.293999999999997</v>
      </c>
      <c r="G24" s="37">
        <v>155.88999999999999</v>
      </c>
      <c r="H24" s="38">
        <f t="shared" ref="H24:H32" si="13">SUM(F24*G24/1000)</f>
        <v>5.346091659999999</v>
      </c>
      <c r="I24" s="39">
        <v>0</v>
      </c>
      <c r="J24" s="39">
        <v>0</v>
      </c>
      <c r="K24" s="39">
        <v>0</v>
      </c>
      <c r="L24" s="39">
        <v>0</v>
      </c>
      <c r="M24" s="39">
        <f>F24/6*G24</f>
        <v>891.01527666666652</v>
      </c>
      <c r="N24" s="39">
        <f>F24/6*G24</f>
        <v>891.01527666666652</v>
      </c>
      <c r="O24" s="39">
        <f>F24/6*G24</f>
        <v>891.01527666666652</v>
      </c>
      <c r="P24" s="39">
        <f>F24/6*G24</f>
        <v>891.01527666666652</v>
      </c>
      <c r="Q24" s="39">
        <f>F24/6*G24</f>
        <v>891.01527666666652</v>
      </c>
      <c r="R24" s="39">
        <f>F24/6*G24</f>
        <v>891.01527666666652</v>
      </c>
      <c r="S24" s="39">
        <v>0</v>
      </c>
      <c r="T24" s="39">
        <v>0</v>
      </c>
      <c r="U24" s="39">
        <f>SUM(I24:T24)</f>
        <v>5346.09166</v>
      </c>
    </row>
    <row r="25" spans="1:21" ht="38.25" customHeight="1">
      <c r="A25" s="153" t="s">
        <v>203</v>
      </c>
      <c r="B25" s="11" t="s">
        <v>165</v>
      </c>
      <c r="C25" s="30" t="s">
        <v>29</v>
      </c>
      <c r="D25" s="11" t="s">
        <v>30</v>
      </c>
      <c r="E25" s="37">
        <v>567.9</v>
      </c>
      <c r="F25" s="37">
        <f>SUM(E25*78/1000)</f>
        <v>44.296199999999999</v>
      </c>
      <c r="G25" s="37">
        <v>258.63</v>
      </c>
      <c r="H25" s="38">
        <f t="shared" si="13"/>
        <v>11.456326206</v>
      </c>
      <c r="I25" s="39">
        <v>0</v>
      </c>
      <c r="J25" s="39">
        <v>0</v>
      </c>
      <c r="K25" s="39">
        <v>0</v>
      </c>
      <c r="L25" s="39">
        <v>0</v>
      </c>
      <c r="M25" s="39">
        <f>F25/6*G25</f>
        <v>1909.3877009999999</v>
      </c>
      <c r="N25" s="39">
        <f t="shared" ref="N25:N28" si="14">F25/6*G25</f>
        <v>1909.3877009999999</v>
      </c>
      <c r="O25" s="39">
        <f t="shared" ref="O25:O27" si="15">F25/6*G25</f>
        <v>1909.3877009999999</v>
      </c>
      <c r="P25" s="39">
        <f t="shared" ref="P25:P28" si="16">F25/6*G25</f>
        <v>1909.3877009999999</v>
      </c>
      <c r="Q25" s="39">
        <f t="shared" ref="Q25:Q28" si="17">F25/6*G25</f>
        <v>1909.3877009999999</v>
      </c>
      <c r="R25" s="39">
        <f t="shared" ref="R25:R28" si="18">F25/6*G25</f>
        <v>1909.3877009999999</v>
      </c>
      <c r="S25" s="39">
        <v>0</v>
      </c>
      <c r="T25" s="39">
        <v>0</v>
      </c>
      <c r="U25" s="39">
        <f t="shared" ref="U25:U32" si="19">SUM(I25:T25)</f>
        <v>11456.326206</v>
      </c>
    </row>
    <row r="26" spans="1:21">
      <c r="A26" s="153" t="s">
        <v>204</v>
      </c>
      <c r="B26" s="11" t="s">
        <v>31</v>
      </c>
      <c r="C26" s="30" t="s">
        <v>29</v>
      </c>
      <c r="D26" s="11" t="s">
        <v>32</v>
      </c>
      <c r="E26" s="37">
        <v>659.5</v>
      </c>
      <c r="F26" s="37">
        <f>SUM(E26/1000)</f>
        <v>0.65949999999999998</v>
      </c>
      <c r="G26" s="37">
        <v>3020.33</v>
      </c>
      <c r="H26" s="38">
        <f t="shared" si="13"/>
        <v>1.9919076349999998</v>
      </c>
      <c r="I26" s="39">
        <v>0</v>
      </c>
      <c r="J26" s="39">
        <v>0</v>
      </c>
      <c r="K26" s="39">
        <v>0</v>
      </c>
      <c r="L26" s="39">
        <v>0</v>
      </c>
      <c r="M26" s="39">
        <f>F26*G26</f>
        <v>1991.9076349999998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f t="shared" si="19"/>
        <v>1991.9076349999998</v>
      </c>
    </row>
    <row r="27" spans="1:21">
      <c r="A27" s="153" t="s">
        <v>205</v>
      </c>
      <c r="B27" s="11" t="s">
        <v>117</v>
      </c>
      <c r="C27" s="30" t="s">
        <v>62</v>
      </c>
      <c r="D27" s="11" t="s">
        <v>118</v>
      </c>
      <c r="E27" s="37">
        <v>8</v>
      </c>
      <c r="F27" s="37">
        <v>12.4</v>
      </c>
      <c r="G27" s="37">
        <v>1302.02</v>
      </c>
      <c r="H27" s="38">
        <v>16.145</v>
      </c>
      <c r="I27" s="39">
        <v>0</v>
      </c>
      <c r="J27" s="39">
        <v>0</v>
      </c>
      <c r="K27" s="39">
        <v>0</v>
      </c>
      <c r="L27" s="39">
        <v>0</v>
      </c>
      <c r="M27" s="39">
        <f t="shared" ref="M27:M28" si="20">F27/6*G27</f>
        <v>2690.8413333333338</v>
      </c>
      <c r="N27" s="39">
        <f t="shared" si="14"/>
        <v>2690.8413333333338</v>
      </c>
      <c r="O27" s="39">
        <f t="shared" si="15"/>
        <v>2690.8413333333338</v>
      </c>
      <c r="P27" s="39">
        <f t="shared" si="16"/>
        <v>2690.8413333333338</v>
      </c>
      <c r="Q27" s="39">
        <f t="shared" si="17"/>
        <v>2690.8413333333338</v>
      </c>
      <c r="R27" s="39">
        <f t="shared" si="18"/>
        <v>2690.8413333333338</v>
      </c>
      <c r="S27" s="39">
        <v>0</v>
      </c>
      <c r="T27" s="39">
        <v>0</v>
      </c>
      <c r="U27" s="39">
        <f t="shared" si="19"/>
        <v>16145.048000000003</v>
      </c>
    </row>
    <row r="28" spans="1:21">
      <c r="A28" s="153" t="s">
        <v>206</v>
      </c>
      <c r="B28" s="11" t="s">
        <v>33</v>
      </c>
      <c r="C28" s="30" t="s">
        <v>34</v>
      </c>
      <c r="D28" s="11" t="s">
        <v>35</v>
      </c>
      <c r="E28" s="50">
        <v>0.33</v>
      </c>
      <c r="F28" s="37">
        <v>51.666666666666664</v>
      </c>
      <c r="G28" s="37">
        <v>56.69</v>
      </c>
      <c r="H28" s="38">
        <f>SUM(G28*155/3/1000)</f>
        <v>2.9289833333333331</v>
      </c>
      <c r="I28" s="39">
        <v>0</v>
      </c>
      <c r="J28" s="39">
        <v>0</v>
      </c>
      <c r="K28" s="39">
        <v>0</v>
      </c>
      <c r="L28" s="39">
        <v>0</v>
      </c>
      <c r="M28" s="39">
        <f t="shared" si="20"/>
        <v>488.16388888888883</v>
      </c>
      <c r="N28" s="39">
        <f t="shared" si="14"/>
        <v>488.16388888888883</v>
      </c>
      <c r="O28" s="39">
        <f>F28/6*G28</f>
        <v>488.16388888888883</v>
      </c>
      <c r="P28" s="39">
        <f t="shared" si="16"/>
        <v>488.16388888888883</v>
      </c>
      <c r="Q28" s="39">
        <f t="shared" si="17"/>
        <v>488.16388888888883</v>
      </c>
      <c r="R28" s="39">
        <f t="shared" si="18"/>
        <v>488.16388888888883</v>
      </c>
      <c r="S28" s="39">
        <v>0</v>
      </c>
      <c r="T28" s="39">
        <v>0</v>
      </c>
      <c r="U28" s="39">
        <f t="shared" si="19"/>
        <v>2928.9833333333331</v>
      </c>
    </row>
    <row r="29" spans="1:21" ht="12.75" customHeight="1">
      <c r="A29" s="153" t="s">
        <v>207</v>
      </c>
      <c r="B29" s="11" t="s">
        <v>36</v>
      </c>
      <c r="C29" s="30" t="s">
        <v>37</v>
      </c>
      <c r="D29" s="11" t="s">
        <v>38</v>
      </c>
      <c r="E29" s="51">
        <v>0.1</v>
      </c>
      <c r="F29" s="37">
        <f>SUM(E29*365)</f>
        <v>36.5</v>
      </c>
      <c r="G29" s="37">
        <v>147.03</v>
      </c>
      <c r="H29" s="38">
        <f t="shared" si="13"/>
        <v>5.3665950000000002</v>
      </c>
      <c r="I29" s="39">
        <f>F29/12*G29</f>
        <v>447.21625</v>
      </c>
      <c r="J29" s="39">
        <f>F29/12*G29</f>
        <v>447.21625</v>
      </c>
      <c r="K29" s="39">
        <f>F29/12*G29</f>
        <v>447.21625</v>
      </c>
      <c r="L29" s="39">
        <f>F29/12*G29</f>
        <v>447.21625</v>
      </c>
      <c r="M29" s="39">
        <f>F29/12*G29</f>
        <v>447.21625</v>
      </c>
      <c r="N29" s="39">
        <f>F29/12*G29</f>
        <v>447.21625</v>
      </c>
      <c r="O29" s="39">
        <f>F29/12*G29</f>
        <v>447.21625</v>
      </c>
      <c r="P29" s="39">
        <f>F29/12*G29</f>
        <v>447.21625</v>
      </c>
      <c r="Q29" s="39">
        <f>F29/12*G29</f>
        <v>447.21625</v>
      </c>
      <c r="R29" s="39">
        <f>F29/12*G29</f>
        <v>447.21625</v>
      </c>
      <c r="S29" s="39">
        <f>F29/12*G29</f>
        <v>447.21625</v>
      </c>
      <c r="T29" s="39">
        <f>F29/12*G29</f>
        <v>447.21625</v>
      </c>
      <c r="U29" s="39">
        <f t="shared" si="19"/>
        <v>5366.5950000000012</v>
      </c>
    </row>
    <row r="30" spans="1:21" ht="12.75" customHeight="1">
      <c r="A30" s="153" t="s">
        <v>208</v>
      </c>
      <c r="B30" s="11" t="s">
        <v>166</v>
      </c>
      <c r="C30" s="30" t="s">
        <v>37</v>
      </c>
      <c r="D30" s="11" t="s">
        <v>39</v>
      </c>
      <c r="E30" s="36"/>
      <c r="F30" s="37">
        <v>4</v>
      </c>
      <c r="G30" s="37">
        <v>191.32</v>
      </c>
      <c r="H30" s="38">
        <f t="shared" si="13"/>
        <v>0.76527999999999996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f t="shared" si="19"/>
        <v>0</v>
      </c>
    </row>
    <row r="31" spans="1:21" ht="12.75" customHeight="1">
      <c r="A31" s="153" t="s">
        <v>136</v>
      </c>
      <c r="B31" s="11" t="s">
        <v>167</v>
      </c>
      <c r="C31" s="30" t="s">
        <v>40</v>
      </c>
      <c r="D31" s="11" t="s">
        <v>39</v>
      </c>
      <c r="E31" s="36"/>
      <c r="F31" s="37">
        <v>3</v>
      </c>
      <c r="G31" s="37">
        <v>1136.32</v>
      </c>
      <c r="H31" s="38">
        <f t="shared" si="13"/>
        <v>3.40896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f t="shared" si="19"/>
        <v>0</v>
      </c>
    </row>
    <row r="32" spans="1:21">
      <c r="A32" s="153"/>
      <c r="B32" s="52" t="s">
        <v>41</v>
      </c>
      <c r="C32" s="30" t="s">
        <v>42</v>
      </c>
      <c r="D32" s="52" t="s">
        <v>38</v>
      </c>
      <c r="E32" s="36">
        <v>5836.1</v>
      </c>
      <c r="F32" s="37">
        <f>SUM(E32*12)</f>
        <v>70033.200000000012</v>
      </c>
      <c r="G32" s="37">
        <v>3.33</v>
      </c>
      <c r="H32" s="38">
        <f t="shared" si="13"/>
        <v>233.21055600000005</v>
      </c>
      <c r="I32" s="39">
        <f>F32/12*G32</f>
        <v>19434.213000000003</v>
      </c>
      <c r="J32" s="39">
        <f>F32/12*G32</f>
        <v>19434.213000000003</v>
      </c>
      <c r="K32" s="39">
        <f>F32/12*G32</f>
        <v>19434.213000000003</v>
      </c>
      <c r="L32" s="39">
        <f>F32/12*G32</f>
        <v>19434.213000000003</v>
      </c>
      <c r="M32" s="39">
        <f>F32/12*G32</f>
        <v>19434.213000000003</v>
      </c>
      <c r="N32" s="39">
        <f>F32/12*G32</f>
        <v>19434.213000000003</v>
      </c>
      <c r="O32" s="39">
        <f>F32/12*G32</f>
        <v>19434.213000000003</v>
      </c>
      <c r="P32" s="39">
        <f>F32/12*G32</f>
        <v>19434.213000000003</v>
      </c>
      <c r="Q32" s="39">
        <f t="shared" ref="Q32" si="21">F32/12*G32</f>
        <v>19434.213000000003</v>
      </c>
      <c r="R32" s="39">
        <f t="shared" ref="R32" si="22">F32/12*G32</f>
        <v>19434.213000000003</v>
      </c>
      <c r="S32" s="39">
        <f t="shared" ref="S32" si="23">F32/12*G32</f>
        <v>19434.213000000003</v>
      </c>
      <c r="T32" s="39">
        <f t="shared" ref="T32" si="24">F32/12*G32</f>
        <v>19434.213000000003</v>
      </c>
      <c r="U32" s="39">
        <f t="shared" si="19"/>
        <v>233210.55599999998</v>
      </c>
    </row>
    <row r="33" spans="1:21" s="19" customFormat="1">
      <c r="A33" s="154"/>
      <c r="B33" s="20" t="s">
        <v>27</v>
      </c>
      <c r="C33" s="44"/>
      <c r="D33" s="20"/>
      <c r="E33" s="45"/>
      <c r="F33" s="46"/>
      <c r="G33" s="46"/>
      <c r="H33" s="53">
        <f>SUM(H24:H32)</f>
        <v>280.6196998343334</v>
      </c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>
        <f>SUM(U24:U32)</f>
        <v>276445.50783433334</v>
      </c>
    </row>
    <row r="34" spans="1:21">
      <c r="A34" s="153"/>
      <c r="B34" s="12" t="s">
        <v>44</v>
      </c>
      <c r="C34" s="30"/>
      <c r="D34" s="11"/>
      <c r="E34" s="36"/>
      <c r="F34" s="37"/>
      <c r="G34" s="37"/>
      <c r="H34" s="38" t="s">
        <v>43</v>
      </c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2.75" customHeight="1">
      <c r="A35" s="153" t="s">
        <v>136</v>
      </c>
      <c r="B35" s="13" t="s">
        <v>45</v>
      </c>
      <c r="C35" s="30" t="s">
        <v>40</v>
      </c>
      <c r="D35" s="11"/>
      <c r="E35" s="36"/>
      <c r="F35" s="37">
        <v>10</v>
      </c>
      <c r="G35" s="37">
        <v>1527.22</v>
      </c>
      <c r="H35" s="38">
        <f t="shared" ref="H35:H41" si="25">SUM(F35*G35/1000)</f>
        <v>15.272200000000002</v>
      </c>
      <c r="I35" s="39">
        <f>F35/6*G35</f>
        <v>2545.3666666666668</v>
      </c>
      <c r="J35" s="39">
        <f>F35/6*G35</f>
        <v>2545.3666666666668</v>
      </c>
      <c r="K35" s="39">
        <f>F35/6*G35</f>
        <v>2545.3666666666668</v>
      </c>
      <c r="L35" s="39">
        <f>F35/6*G35</f>
        <v>2545.3666666666668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f>F35/6*G35</f>
        <v>2545.3666666666668</v>
      </c>
      <c r="T35" s="39">
        <f>F35/6*G35</f>
        <v>2545.3666666666668</v>
      </c>
      <c r="U35" s="39">
        <f t="shared" ref="U35:U41" si="26">SUM(I35:T35)</f>
        <v>15272.2</v>
      </c>
    </row>
    <row r="36" spans="1:21" s="1" customFormat="1">
      <c r="A36" s="155" t="s">
        <v>209</v>
      </c>
      <c r="B36" s="13" t="s">
        <v>46</v>
      </c>
      <c r="C36" s="54" t="s">
        <v>47</v>
      </c>
      <c r="D36" s="13" t="s">
        <v>48</v>
      </c>
      <c r="E36" s="55">
        <v>567.9</v>
      </c>
      <c r="F36" s="55">
        <f>SUM(E36*50/1000)</f>
        <v>28.395</v>
      </c>
      <c r="G36" s="55">
        <v>2102.71</v>
      </c>
      <c r="H36" s="38">
        <f t="shared" si="25"/>
        <v>59.706450449999998</v>
      </c>
      <c r="I36" s="56">
        <f>F36/6*G36</f>
        <v>9951.0750750000007</v>
      </c>
      <c r="J36" s="56">
        <f>F36/6*G36</f>
        <v>9951.0750750000007</v>
      </c>
      <c r="K36" s="39">
        <f>F36/6*G36</f>
        <v>9951.0750750000007</v>
      </c>
      <c r="L36" s="39">
        <f t="shared" ref="L36:L41" si="27">F36/6*G36</f>
        <v>9951.0750750000007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f t="shared" ref="S36:S41" si="28">F36/6*G36</f>
        <v>9951.0750750000007</v>
      </c>
      <c r="T36" s="39">
        <f t="shared" ref="T36:T41" si="29">F36/6*G36</f>
        <v>9951.0750750000007</v>
      </c>
      <c r="U36" s="39">
        <f t="shared" si="26"/>
        <v>59706.450450000004</v>
      </c>
    </row>
    <row r="37" spans="1:21">
      <c r="A37" s="153" t="s">
        <v>136</v>
      </c>
      <c r="B37" s="11" t="s">
        <v>107</v>
      </c>
      <c r="C37" s="30" t="s">
        <v>70</v>
      </c>
      <c r="D37" s="11" t="s">
        <v>39</v>
      </c>
      <c r="E37" s="36"/>
      <c r="F37" s="55">
        <v>66</v>
      </c>
      <c r="G37" s="37">
        <v>213.2</v>
      </c>
      <c r="H37" s="38">
        <f>G37*F37/1000</f>
        <v>14.071199999999999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f t="shared" si="26"/>
        <v>0</v>
      </c>
    </row>
    <row r="38" spans="1:21" ht="24.75" customHeight="1">
      <c r="A38" s="153" t="s">
        <v>210</v>
      </c>
      <c r="B38" s="11" t="s">
        <v>168</v>
      </c>
      <c r="C38" s="30" t="s">
        <v>47</v>
      </c>
      <c r="D38" s="11" t="s">
        <v>49</v>
      </c>
      <c r="E38" s="37">
        <v>108</v>
      </c>
      <c r="F38" s="55">
        <f>SUM(E38*155/1000)</f>
        <v>16.739999999999998</v>
      </c>
      <c r="G38" s="37">
        <v>350.75</v>
      </c>
      <c r="H38" s="38">
        <f t="shared" si="25"/>
        <v>5.871554999999999</v>
      </c>
      <c r="I38" s="39">
        <f>F38/6*G38</f>
        <v>978.59249999999986</v>
      </c>
      <c r="J38" s="39">
        <f>F38/6*G38</f>
        <v>978.59249999999986</v>
      </c>
      <c r="K38" s="39">
        <f t="shared" ref="K38:K41" si="30">F38/6*G38</f>
        <v>978.59249999999986</v>
      </c>
      <c r="L38" s="39">
        <f t="shared" si="27"/>
        <v>978.59249999999986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f t="shared" si="28"/>
        <v>978.59249999999986</v>
      </c>
      <c r="T38" s="39">
        <f t="shared" si="29"/>
        <v>978.59249999999986</v>
      </c>
      <c r="U38" s="39">
        <f t="shared" si="26"/>
        <v>5871.5549999999994</v>
      </c>
    </row>
    <row r="39" spans="1:21" ht="51" customHeight="1">
      <c r="A39" s="153" t="s">
        <v>211</v>
      </c>
      <c r="B39" s="11" t="s">
        <v>169</v>
      </c>
      <c r="C39" s="30" t="s">
        <v>29</v>
      </c>
      <c r="D39" s="11" t="s">
        <v>119</v>
      </c>
      <c r="E39" s="37">
        <v>108</v>
      </c>
      <c r="F39" s="55">
        <f>SUM(E39*20/1000)</f>
        <v>2.16</v>
      </c>
      <c r="G39" s="37">
        <v>5803.28</v>
      </c>
      <c r="H39" s="38">
        <f t="shared" si="25"/>
        <v>12.5350848</v>
      </c>
      <c r="I39" s="39">
        <f>F39/6*G39</f>
        <v>2089.1808000000001</v>
      </c>
      <c r="J39" s="39">
        <f>F39/6*G39</f>
        <v>2089.1808000000001</v>
      </c>
      <c r="K39" s="39">
        <f t="shared" si="30"/>
        <v>2089.1808000000001</v>
      </c>
      <c r="L39" s="39">
        <f t="shared" si="27"/>
        <v>2089.1808000000001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f t="shared" si="28"/>
        <v>2089.1808000000001</v>
      </c>
      <c r="T39" s="39">
        <f t="shared" si="29"/>
        <v>2089.1808000000001</v>
      </c>
      <c r="U39" s="39">
        <f t="shared" si="26"/>
        <v>12535.084800000001</v>
      </c>
    </row>
    <row r="40" spans="1:21" ht="12.75" customHeight="1">
      <c r="A40" s="153" t="s">
        <v>212</v>
      </c>
      <c r="B40" s="11" t="s">
        <v>170</v>
      </c>
      <c r="C40" s="30" t="s">
        <v>29</v>
      </c>
      <c r="D40" s="11" t="s">
        <v>50</v>
      </c>
      <c r="E40" s="37">
        <v>108</v>
      </c>
      <c r="F40" s="55">
        <f>SUM(E40*45/1000)</f>
        <v>4.8600000000000003</v>
      </c>
      <c r="G40" s="37">
        <v>428.7</v>
      </c>
      <c r="H40" s="38">
        <f t="shared" si="25"/>
        <v>2.0834820000000001</v>
      </c>
      <c r="I40" s="39">
        <f>F40/6*G40</f>
        <v>347.24700000000001</v>
      </c>
      <c r="J40" s="39">
        <f>F40/6*G40</f>
        <v>347.24700000000001</v>
      </c>
      <c r="K40" s="39">
        <f t="shared" si="30"/>
        <v>347.24700000000001</v>
      </c>
      <c r="L40" s="39">
        <f t="shared" si="27"/>
        <v>347.24700000000001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f t="shared" si="28"/>
        <v>347.24700000000001</v>
      </c>
      <c r="T40" s="39">
        <f t="shared" si="29"/>
        <v>347.24700000000001</v>
      </c>
      <c r="U40" s="39">
        <f t="shared" si="26"/>
        <v>2083.482</v>
      </c>
    </row>
    <row r="41" spans="1:21" s="2" customFormat="1">
      <c r="A41" s="155"/>
      <c r="B41" s="13" t="s">
        <v>171</v>
      </c>
      <c r="C41" s="54" t="s">
        <v>37</v>
      </c>
      <c r="D41" s="13"/>
      <c r="E41" s="51"/>
      <c r="F41" s="55">
        <v>0.9</v>
      </c>
      <c r="G41" s="55">
        <v>798</v>
      </c>
      <c r="H41" s="38">
        <f t="shared" si="25"/>
        <v>0.71820000000000006</v>
      </c>
      <c r="I41" s="56">
        <f>F41/6*G41</f>
        <v>119.69999999999999</v>
      </c>
      <c r="J41" s="56">
        <f>F41/6*G41</f>
        <v>119.69999999999999</v>
      </c>
      <c r="K41" s="39">
        <f t="shared" si="30"/>
        <v>119.69999999999999</v>
      </c>
      <c r="L41" s="39">
        <f t="shared" si="27"/>
        <v>119.69999999999999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f t="shared" si="28"/>
        <v>119.69999999999999</v>
      </c>
      <c r="T41" s="39">
        <f t="shared" si="29"/>
        <v>119.69999999999999</v>
      </c>
      <c r="U41" s="39">
        <f t="shared" si="26"/>
        <v>718.2</v>
      </c>
    </row>
    <row r="42" spans="1:21" s="19" customFormat="1">
      <c r="A42" s="154"/>
      <c r="B42" s="20" t="s">
        <v>27</v>
      </c>
      <c r="C42" s="44"/>
      <c r="D42" s="20"/>
      <c r="E42" s="45"/>
      <c r="F42" s="46" t="s">
        <v>43</v>
      </c>
      <c r="G42" s="46"/>
      <c r="H42" s="53">
        <f>SUM(H35:H41)</f>
        <v>110.25817225</v>
      </c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>
        <f>SUM(U35:U41)</f>
        <v>96186.972249999992</v>
      </c>
    </row>
    <row r="43" spans="1:21">
      <c r="A43" s="153"/>
      <c r="B43" s="14" t="s">
        <v>51</v>
      </c>
      <c r="C43" s="30"/>
      <c r="D43" s="11"/>
      <c r="E43" s="36"/>
      <c r="F43" s="37"/>
      <c r="G43" s="37"/>
      <c r="H43" s="38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>
      <c r="A44" s="153" t="s">
        <v>213</v>
      </c>
      <c r="B44" s="11" t="s">
        <v>172</v>
      </c>
      <c r="C44" s="30" t="s">
        <v>29</v>
      </c>
      <c r="D44" s="11" t="s">
        <v>52</v>
      </c>
      <c r="E44" s="36">
        <v>1571.3</v>
      </c>
      <c r="F44" s="37">
        <f>SUM(E44*2/1000)</f>
        <v>3.1425999999999998</v>
      </c>
      <c r="G44" s="57">
        <v>849.49</v>
      </c>
      <c r="H44" s="38">
        <f t="shared" ref="H44:H52" si="31">SUM(F44*G44/1000)</f>
        <v>2.6696072740000001</v>
      </c>
      <c r="I44" s="39">
        <v>0</v>
      </c>
      <c r="J44" s="39">
        <v>0</v>
      </c>
      <c r="K44" s="39">
        <v>0</v>
      </c>
      <c r="L44" s="39">
        <v>0</v>
      </c>
      <c r="M44" s="39">
        <f>F44/2*G44</f>
        <v>1334.803637</v>
      </c>
      <c r="N44" s="39">
        <v>0</v>
      </c>
      <c r="O44" s="39">
        <v>0</v>
      </c>
      <c r="P44" s="39">
        <v>0</v>
      </c>
      <c r="Q44" s="39">
        <f>F44/2*G44</f>
        <v>1334.803637</v>
      </c>
      <c r="R44" s="39">
        <v>0</v>
      </c>
      <c r="S44" s="39">
        <v>0</v>
      </c>
      <c r="T44" s="39">
        <v>0</v>
      </c>
      <c r="U44" s="39">
        <f>SUM(I44:T44)</f>
        <v>2669.607274</v>
      </c>
    </row>
    <row r="45" spans="1:21">
      <c r="A45" s="153" t="s">
        <v>214</v>
      </c>
      <c r="B45" s="11" t="s">
        <v>53</v>
      </c>
      <c r="C45" s="30" t="s">
        <v>29</v>
      </c>
      <c r="D45" s="11" t="s">
        <v>52</v>
      </c>
      <c r="E45" s="36">
        <v>92.8</v>
      </c>
      <c r="F45" s="37">
        <f>SUM(E45*2/1000)</f>
        <v>0.18559999999999999</v>
      </c>
      <c r="G45" s="57">
        <v>579.48</v>
      </c>
      <c r="H45" s="38">
        <f t="shared" si="31"/>
        <v>0.10755148799999999</v>
      </c>
      <c r="I45" s="39">
        <v>0</v>
      </c>
      <c r="J45" s="39">
        <v>0</v>
      </c>
      <c r="K45" s="39">
        <v>0</v>
      </c>
      <c r="L45" s="39">
        <v>0</v>
      </c>
      <c r="M45" s="39">
        <f t="shared" ref="M45:M47" si="32">F45/2*G45</f>
        <v>53.775743999999996</v>
      </c>
      <c r="N45" s="39">
        <v>0</v>
      </c>
      <c r="O45" s="39">
        <v>0</v>
      </c>
      <c r="P45" s="39">
        <v>0</v>
      </c>
      <c r="Q45" s="39">
        <f t="shared" ref="Q45:Q47" si="33">F45/2*G45</f>
        <v>53.775743999999996</v>
      </c>
      <c r="R45" s="39">
        <v>0</v>
      </c>
      <c r="S45" s="39">
        <v>0</v>
      </c>
      <c r="T45" s="39">
        <v>0</v>
      </c>
      <c r="U45" s="39">
        <f t="shared" ref="U45:U52" si="34">SUM(I45:T45)</f>
        <v>107.55148799999999</v>
      </c>
    </row>
    <row r="46" spans="1:21" ht="12.75" customHeight="1">
      <c r="A46" s="153" t="s">
        <v>215</v>
      </c>
      <c r="B46" s="11" t="s">
        <v>54</v>
      </c>
      <c r="C46" s="30" t="s">
        <v>29</v>
      </c>
      <c r="D46" s="11" t="s">
        <v>52</v>
      </c>
      <c r="E46" s="36">
        <v>4737.7</v>
      </c>
      <c r="F46" s="37">
        <f>SUM(E46*2/1000)</f>
        <v>9.4754000000000005</v>
      </c>
      <c r="G46" s="57">
        <v>579.48</v>
      </c>
      <c r="H46" s="38">
        <f t="shared" si="31"/>
        <v>5.4908047920000005</v>
      </c>
      <c r="I46" s="39">
        <v>0</v>
      </c>
      <c r="J46" s="39">
        <v>0</v>
      </c>
      <c r="K46" s="39">
        <v>0</v>
      </c>
      <c r="L46" s="39">
        <v>0</v>
      </c>
      <c r="M46" s="39">
        <f t="shared" si="32"/>
        <v>2745.4023960000004</v>
      </c>
      <c r="N46" s="39">
        <v>0</v>
      </c>
      <c r="O46" s="39">
        <v>0</v>
      </c>
      <c r="P46" s="39">
        <v>0</v>
      </c>
      <c r="Q46" s="39">
        <f t="shared" si="33"/>
        <v>2745.4023960000004</v>
      </c>
      <c r="R46" s="39">
        <v>0</v>
      </c>
      <c r="S46" s="39">
        <v>0</v>
      </c>
      <c r="T46" s="39">
        <v>0</v>
      </c>
      <c r="U46" s="39">
        <f t="shared" si="34"/>
        <v>5490.8047920000008</v>
      </c>
    </row>
    <row r="47" spans="1:21">
      <c r="A47" s="153" t="s">
        <v>216</v>
      </c>
      <c r="B47" s="11" t="s">
        <v>55</v>
      </c>
      <c r="C47" s="30" t="s">
        <v>29</v>
      </c>
      <c r="D47" s="11" t="s">
        <v>52</v>
      </c>
      <c r="E47" s="36">
        <v>2811.99</v>
      </c>
      <c r="F47" s="37">
        <f>SUM(E47*2/1000)</f>
        <v>5.6239799999999995</v>
      </c>
      <c r="G47" s="57">
        <v>606.77</v>
      </c>
      <c r="H47" s="38">
        <f t="shared" si="31"/>
        <v>3.4124623445999998</v>
      </c>
      <c r="I47" s="39">
        <v>0</v>
      </c>
      <c r="J47" s="39">
        <v>0</v>
      </c>
      <c r="K47" s="39">
        <v>0</v>
      </c>
      <c r="L47" s="39">
        <v>0</v>
      </c>
      <c r="M47" s="39">
        <f t="shared" si="32"/>
        <v>1706.2311722999998</v>
      </c>
      <c r="N47" s="39">
        <v>0</v>
      </c>
      <c r="O47" s="39">
        <v>0</v>
      </c>
      <c r="P47" s="39">
        <v>0</v>
      </c>
      <c r="Q47" s="39">
        <f t="shared" si="33"/>
        <v>1706.2311722999998</v>
      </c>
      <c r="R47" s="39">
        <v>0</v>
      </c>
      <c r="S47" s="39">
        <v>0</v>
      </c>
      <c r="T47" s="39">
        <v>0</v>
      </c>
      <c r="U47" s="39">
        <f t="shared" si="34"/>
        <v>3412.4623445999996</v>
      </c>
    </row>
    <row r="48" spans="1:21" ht="25.5">
      <c r="A48" s="153" t="s">
        <v>217</v>
      </c>
      <c r="B48" s="11" t="s">
        <v>56</v>
      </c>
      <c r="C48" s="30" t="s">
        <v>29</v>
      </c>
      <c r="D48" s="11" t="s">
        <v>57</v>
      </c>
      <c r="E48" s="36">
        <v>1571.3</v>
      </c>
      <c r="F48" s="37">
        <f>SUM(E48*5/1000)</f>
        <v>7.8564999999999996</v>
      </c>
      <c r="G48" s="57">
        <v>1213.55</v>
      </c>
      <c r="H48" s="38">
        <f t="shared" si="31"/>
        <v>9.5342555749999995</v>
      </c>
      <c r="I48" s="39">
        <f>F48/5*G48</f>
        <v>1906.8511149999999</v>
      </c>
      <c r="J48" s="39">
        <f>F48/5*G48</f>
        <v>1906.8511149999999</v>
      </c>
      <c r="K48" s="39">
        <v>0</v>
      </c>
      <c r="L48" s="39">
        <v>0</v>
      </c>
      <c r="M48" s="39">
        <f>F48/5*G48</f>
        <v>1906.8511149999999</v>
      </c>
      <c r="N48" s="39">
        <v>0</v>
      </c>
      <c r="O48" s="39">
        <v>0</v>
      </c>
      <c r="P48" s="39">
        <v>0</v>
      </c>
      <c r="Q48" s="39">
        <f>F48/5*G48</f>
        <v>1906.8511149999999</v>
      </c>
      <c r="R48" s="39">
        <v>0</v>
      </c>
      <c r="S48" s="39">
        <v>0</v>
      </c>
      <c r="T48" s="39">
        <f>F48/5*G48</f>
        <v>1906.8511149999999</v>
      </c>
      <c r="U48" s="39">
        <f t="shared" si="34"/>
        <v>9534.2555749999992</v>
      </c>
    </row>
    <row r="49" spans="1:21" ht="38.25" customHeight="1">
      <c r="A49" s="153" t="s">
        <v>218</v>
      </c>
      <c r="B49" s="11" t="s">
        <v>58</v>
      </c>
      <c r="C49" s="30" t="s">
        <v>29</v>
      </c>
      <c r="D49" s="11" t="s">
        <v>52</v>
      </c>
      <c r="E49" s="36">
        <v>1571.3</v>
      </c>
      <c r="F49" s="37">
        <f>SUM(E49*2/1000)</f>
        <v>3.1425999999999998</v>
      </c>
      <c r="G49" s="57">
        <v>1213.55</v>
      </c>
      <c r="H49" s="38">
        <f t="shared" si="31"/>
        <v>3.8137022300000001</v>
      </c>
      <c r="I49" s="39">
        <v>0</v>
      </c>
      <c r="J49" s="39">
        <v>0</v>
      </c>
      <c r="K49" s="39">
        <v>0</v>
      </c>
      <c r="L49" s="39">
        <f>F49/2*G49</f>
        <v>1906.8511149999999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f>F49/2*G49</f>
        <v>1906.8511149999999</v>
      </c>
      <c r="S49" s="39">
        <v>0</v>
      </c>
      <c r="T49" s="39">
        <v>0</v>
      </c>
      <c r="U49" s="39">
        <f t="shared" si="34"/>
        <v>3813.7022299999999</v>
      </c>
    </row>
    <row r="50" spans="1:21" ht="25.5" customHeight="1">
      <c r="A50" s="153" t="s">
        <v>219</v>
      </c>
      <c r="B50" s="11" t="s">
        <v>59</v>
      </c>
      <c r="C50" s="30" t="s">
        <v>60</v>
      </c>
      <c r="D50" s="11" t="s">
        <v>52</v>
      </c>
      <c r="E50" s="36">
        <v>40</v>
      </c>
      <c r="F50" s="37">
        <f>SUM(E50*2/100)</f>
        <v>0.8</v>
      </c>
      <c r="G50" s="57">
        <v>2730.49</v>
      </c>
      <c r="H50" s="38">
        <f t="shared" si="31"/>
        <v>2.1843919999999999</v>
      </c>
      <c r="I50" s="39">
        <v>0</v>
      </c>
      <c r="J50" s="39">
        <v>0</v>
      </c>
      <c r="K50" s="39">
        <v>0</v>
      </c>
      <c r="L50" s="39">
        <f>F50/2*G50</f>
        <v>1092.1959999999999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f t="shared" ref="R50:R51" si="35">F50/2*G50</f>
        <v>1092.1959999999999</v>
      </c>
      <c r="S50" s="39">
        <v>0</v>
      </c>
      <c r="T50" s="39">
        <v>0</v>
      </c>
      <c r="U50" s="39">
        <f t="shared" si="34"/>
        <v>2184.3919999999998</v>
      </c>
    </row>
    <row r="51" spans="1:21">
      <c r="A51" s="153" t="s">
        <v>220</v>
      </c>
      <c r="B51" s="11" t="s">
        <v>61</v>
      </c>
      <c r="C51" s="30" t="s">
        <v>62</v>
      </c>
      <c r="D51" s="11" t="s">
        <v>52</v>
      </c>
      <c r="E51" s="36">
        <v>1</v>
      </c>
      <c r="F51" s="37">
        <v>0.02</v>
      </c>
      <c r="G51" s="57">
        <v>5652.13</v>
      </c>
      <c r="H51" s="38">
        <f t="shared" si="31"/>
        <v>0.11304260000000001</v>
      </c>
      <c r="I51" s="39">
        <v>0</v>
      </c>
      <c r="J51" s="39">
        <v>0</v>
      </c>
      <c r="K51" s="39">
        <v>0</v>
      </c>
      <c r="L51" s="39">
        <f>F51/2*G51</f>
        <v>56.521300000000004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f t="shared" si="35"/>
        <v>56.521300000000004</v>
      </c>
      <c r="S51" s="39">
        <v>0</v>
      </c>
      <c r="T51" s="39">
        <v>0</v>
      </c>
      <c r="U51" s="39">
        <f t="shared" si="34"/>
        <v>113.04260000000001</v>
      </c>
    </row>
    <row r="52" spans="1:21" ht="13.5" customHeight="1">
      <c r="A52" s="153" t="s">
        <v>64</v>
      </c>
      <c r="B52" s="11" t="s">
        <v>65</v>
      </c>
      <c r="C52" s="30" t="s">
        <v>63</v>
      </c>
      <c r="D52" s="11" t="s">
        <v>102</v>
      </c>
      <c r="E52" s="36">
        <v>238</v>
      </c>
      <c r="F52" s="37">
        <f>SUM(E52)*3</f>
        <v>714</v>
      </c>
      <c r="G52" s="58">
        <v>65.67</v>
      </c>
      <c r="H52" s="38">
        <f t="shared" si="31"/>
        <v>46.888380000000005</v>
      </c>
      <c r="I52" s="39">
        <f>E52*G52</f>
        <v>15629.460000000001</v>
      </c>
      <c r="J52" s="39">
        <v>0</v>
      </c>
      <c r="K52" s="39">
        <v>0</v>
      </c>
      <c r="L52" s="39">
        <f>E52*G52</f>
        <v>15629.460000000001</v>
      </c>
      <c r="M52" s="39">
        <v>0</v>
      </c>
      <c r="N52" s="39">
        <v>0</v>
      </c>
      <c r="O52" s="39">
        <v>0</v>
      </c>
      <c r="P52" s="39">
        <f>E52*G52</f>
        <v>15629.460000000001</v>
      </c>
      <c r="Q52" s="39">
        <v>0</v>
      </c>
      <c r="R52" s="39">
        <v>0</v>
      </c>
      <c r="S52" s="39">
        <v>0</v>
      </c>
      <c r="T52" s="39">
        <v>0</v>
      </c>
      <c r="U52" s="39">
        <f t="shared" si="34"/>
        <v>46888.380000000005</v>
      </c>
    </row>
    <row r="53" spans="1:21" s="21" customFormat="1">
      <c r="A53" s="156"/>
      <c r="B53" s="20" t="s">
        <v>27</v>
      </c>
      <c r="C53" s="59"/>
      <c r="D53" s="20"/>
      <c r="E53" s="60"/>
      <c r="F53" s="61"/>
      <c r="G53" s="61"/>
      <c r="H53" s="53">
        <f>SUM(H44:H52)</f>
        <v>74.2141983036</v>
      </c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>
        <f>SUM(U44:U52)</f>
        <v>74214.198303600002</v>
      </c>
    </row>
    <row r="54" spans="1:21">
      <c r="A54" s="153"/>
      <c r="B54" s="12" t="s">
        <v>66</v>
      </c>
      <c r="C54" s="30"/>
      <c r="D54" s="11"/>
      <c r="E54" s="36"/>
      <c r="F54" s="37"/>
      <c r="G54" s="37"/>
      <c r="H54" s="38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25.5">
      <c r="A55" s="157" t="s">
        <v>221</v>
      </c>
      <c r="B55" s="11" t="s">
        <v>173</v>
      </c>
      <c r="C55" s="30" t="s">
        <v>13</v>
      </c>
      <c r="D55" s="11" t="s">
        <v>112</v>
      </c>
      <c r="E55" s="36">
        <v>48</v>
      </c>
      <c r="F55" s="37">
        <f>E55*6/100</f>
        <v>2.88</v>
      </c>
      <c r="G55" s="63">
        <v>1547.28</v>
      </c>
      <c r="H55" s="38">
        <f>F55*G55/1000</f>
        <v>4.4561663999999999</v>
      </c>
      <c r="I55" s="39">
        <f>F55/6*G55</f>
        <v>742.69439999999997</v>
      </c>
      <c r="J55" s="39">
        <f>F55/6*G55</f>
        <v>742.69439999999997</v>
      </c>
      <c r="K55" s="39">
        <f>F55/6*G55</f>
        <v>742.69439999999997</v>
      </c>
      <c r="L55" s="39">
        <f>F55/6*G55</f>
        <v>742.69439999999997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f>F55/6*G55</f>
        <v>742.69439999999997</v>
      </c>
      <c r="T55" s="39">
        <f>F55/6*G55</f>
        <v>742.69439999999997</v>
      </c>
      <c r="U55" s="39">
        <f>SUM(I55:T55)</f>
        <v>4456.1664000000001</v>
      </c>
    </row>
    <row r="56" spans="1:21" ht="12.75" customHeight="1">
      <c r="A56" s="157" t="s">
        <v>222</v>
      </c>
      <c r="B56" s="24" t="s">
        <v>113</v>
      </c>
      <c r="C56" s="64" t="s">
        <v>13</v>
      </c>
      <c r="D56" s="24" t="s">
        <v>174</v>
      </c>
      <c r="E56" s="65">
        <v>17.579999999999998</v>
      </c>
      <c r="F56" s="66">
        <f>E56*4/100</f>
        <v>0.70319999999999994</v>
      </c>
      <c r="G56" s="63">
        <v>1547.28</v>
      </c>
      <c r="H56" s="67">
        <f>F56*G56/1000</f>
        <v>1.0880472960000001</v>
      </c>
      <c r="I56" s="39">
        <f>F56/6*G56</f>
        <v>181.34121599999997</v>
      </c>
      <c r="J56" s="39">
        <f>F56/6*G56</f>
        <v>181.34121599999997</v>
      </c>
      <c r="K56" s="39">
        <f>F56/6*G56</f>
        <v>181.34121599999997</v>
      </c>
      <c r="L56" s="39">
        <f>F56/6*G56</f>
        <v>181.34121599999997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f t="shared" ref="S56" si="36">F56/6*G56</f>
        <v>181.34121599999997</v>
      </c>
      <c r="T56" s="39">
        <f>F56/6*G56</f>
        <v>181.34121599999997</v>
      </c>
      <c r="U56" s="39">
        <f>SUM(I56:T56)</f>
        <v>1088.047296</v>
      </c>
    </row>
    <row r="57" spans="1:21" ht="12.75" customHeight="1">
      <c r="A57" s="153" t="s">
        <v>223</v>
      </c>
      <c r="B57" s="24" t="s">
        <v>108</v>
      </c>
      <c r="C57" s="64" t="s">
        <v>109</v>
      </c>
      <c r="D57" s="24" t="s">
        <v>52</v>
      </c>
      <c r="E57" s="65">
        <v>8</v>
      </c>
      <c r="F57" s="66">
        <v>16</v>
      </c>
      <c r="G57" s="68">
        <v>180.78</v>
      </c>
      <c r="H57" s="67">
        <f>F57*G57/1000</f>
        <v>2.8924799999999999</v>
      </c>
      <c r="I57" s="39">
        <f>E57*G57</f>
        <v>1446.24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f>F57/2*G57</f>
        <v>1446.24</v>
      </c>
      <c r="T57" s="39">
        <v>0</v>
      </c>
      <c r="U57" s="39">
        <f>SUM(I57:T57)</f>
        <v>2892.48</v>
      </c>
    </row>
    <row r="58" spans="1:21" ht="12.75" customHeight="1">
      <c r="A58" s="158"/>
      <c r="B58" s="25" t="s">
        <v>67</v>
      </c>
      <c r="C58" s="64"/>
      <c r="D58" s="24"/>
      <c r="E58" s="65"/>
      <c r="F58" s="66"/>
      <c r="G58" s="69"/>
      <c r="H58" s="67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2.75" customHeight="1">
      <c r="A59" s="158"/>
      <c r="B59" s="24" t="s">
        <v>110</v>
      </c>
      <c r="C59" s="64" t="s">
        <v>68</v>
      </c>
      <c r="D59" s="24" t="s">
        <v>69</v>
      </c>
      <c r="E59" s="65">
        <v>331.5</v>
      </c>
      <c r="F59" s="66">
        <f>E59*12</f>
        <v>3978</v>
      </c>
      <c r="G59" s="70">
        <v>2.5960000000000001</v>
      </c>
      <c r="H59" s="67">
        <f>G59*F59/1000</f>
        <v>10.326888</v>
      </c>
      <c r="I59" s="39">
        <f>F59/12*G59</f>
        <v>860.57400000000007</v>
      </c>
      <c r="J59" s="39">
        <f>F59/12*G59</f>
        <v>860.57400000000007</v>
      </c>
      <c r="K59" s="39">
        <f>F59/12*G59</f>
        <v>860.57400000000007</v>
      </c>
      <c r="L59" s="39">
        <f>F59/12*G59</f>
        <v>860.57400000000007</v>
      </c>
      <c r="M59" s="39">
        <f>F59/12*G59</f>
        <v>860.57400000000007</v>
      </c>
      <c r="N59" s="39">
        <f>F59/12*G59</f>
        <v>860.57400000000007</v>
      </c>
      <c r="O59" s="39">
        <f>F59/12*G59</f>
        <v>860.57400000000007</v>
      </c>
      <c r="P59" s="39">
        <f>F59/12*G59</f>
        <v>860.57400000000007</v>
      </c>
      <c r="Q59" s="39">
        <f>F59/12*G59</f>
        <v>860.57400000000007</v>
      </c>
      <c r="R59" s="39">
        <f>F59/12*G59</f>
        <v>860.57400000000007</v>
      </c>
      <c r="S59" s="39">
        <f>F59/12*G59</f>
        <v>860.57400000000007</v>
      </c>
      <c r="T59" s="39">
        <f>F59/12*G59</f>
        <v>860.57400000000007</v>
      </c>
      <c r="U59" s="39">
        <f>SUM(I59:T59)</f>
        <v>10326.888000000004</v>
      </c>
    </row>
    <row r="60" spans="1:21" ht="12.75" customHeight="1">
      <c r="A60" s="158" t="s">
        <v>224</v>
      </c>
      <c r="B60" s="24" t="s">
        <v>114</v>
      </c>
      <c r="C60" s="64" t="s">
        <v>68</v>
      </c>
      <c r="D60" s="24" t="s">
        <v>32</v>
      </c>
      <c r="E60" s="65">
        <v>1571.3</v>
      </c>
      <c r="F60" s="66">
        <f>E60/100</f>
        <v>15.712999999999999</v>
      </c>
      <c r="G60" s="71">
        <v>793.61</v>
      </c>
      <c r="H60" s="67">
        <f>G60*F60/1000</f>
        <v>12.469993929999999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f>SUM(I60:T60)</f>
        <v>0</v>
      </c>
    </row>
    <row r="61" spans="1:21">
      <c r="A61" s="158"/>
      <c r="B61" s="15" t="s">
        <v>71</v>
      </c>
      <c r="C61" s="64"/>
      <c r="D61" s="24"/>
      <c r="E61" s="65"/>
      <c r="F61" s="66"/>
      <c r="G61" s="66"/>
      <c r="H61" s="67" t="s">
        <v>43</v>
      </c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2.75" customHeight="1">
      <c r="A62" s="72" t="s">
        <v>225</v>
      </c>
      <c r="B62" s="16" t="s">
        <v>72</v>
      </c>
      <c r="C62" s="72" t="s">
        <v>63</v>
      </c>
      <c r="D62" s="9" t="s">
        <v>39</v>
      </c>
      <c r="E62" s="73">
        <v>35</v>
      </c>
      <c r="F62" s="37">
        <v>35</v>
      </c>
      <c r="G62" s="57">
        <v>222.4</v>
      </c>
      <c r="H62" s="143">
        <f t="shared" ref="H62:H77" si="37">SUM(F62*G62/1000)</f>
        <v>7.7839999999999998</v>
      </c>
      <c r="I62" s="39">
        <f>G62*13</f>
        <v>2891.2000000000003</v>
      </c>
      <c r="J62" s="39">
        <f>G62*4</f>
        <v>889.6</v>
      </c>
      <c r="K62" s="39">
        <f>G62*2</f>
        <v>444.8</v>
      </c>
      <c r="L62" s="39">
        <v>0</v>
      </c>
      <c r="M62" s="39">
        <v>0</v>
      </c>
      <c r="N62" s="39">
        <f>G62*2</f>
        <v>444.8</v>
      </c>
      <c r="O62" s="39">
        <f>G62*8</f>
        <v>1779.2</v>
      </c>
      <c r="P62" s="39">
        <v>0</v>
      </c>
      <c r="Q62" s="39">
        <f>G62*16</f>
        <v>3558.4</v>
      </c>
      <c r="R62" s="39">
        <f>G62*17</f>
        <v>3780.8</v>
      </c>
      <c r="S62" s="39">
        <f>G62*5</f>
        <v>1112</v>
      </c>
      <c r="T62" s="39">
        <f>G62*2</f>
        <v>444.8</v>
      </c>
      <c r="U62" s="39">
        <f t="shared" ref="U62:U69" si="38">SUM(I62:T62)</f>
        <v>15345.599999999999</v>
      </c>
    </row>
    <row r="63" spans="1:21" ht="12.75" customHeight="1">
      <c r="A63" s="72" t="s">
        <v>226</v>
      </c>
      <c r="B63" s="16" t="s">
        <v>73</v>
      </c>
      <c r="C63" s="72" t="s">
        <v>63</v>
      </c>
      <c r="D63" s="9" t="s">
        <v>39</v>
      </c>
      <c r="E63" s="73">
        <v>17</v>
      </c>
      <c r="F63" s="37">
        <v>20</v>
      </c>
      <c r="G63" s="57">
        <v>76.25</v>
      </c>
      <c r="H63" s="143">
        <f t="shared" si="37"/>
        <v>1.5249999999999999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f t="shared" si="38"/>
        <v>0</v>
      </c>
    </row>
    <row r="64" spans="1:21" s="2" customFormat="1">
      <c r="A64" s="74" t="s">
        <v>227</v>
      </c>
      <c r="B64" s="16" t="s">
        <v>74</v>
      </c>
      <c r="C64" s="74" t="s">
        <v>75</v>
      </c>
      <c r="D64" s="9" t="s">
        <v>32</v>
      </c>
      <c r="E64" s="36">
        <v>22639</v>
      </c>
      <c r="F64" s="58">
        <f>SUM(E64/100)</f>
        <v>226.39</v>
      </c>
      <c r="G64" s="57">
        <v>212.15</v>
      </c>
      <c r="H64" s="143">
        <f t="shared" si="37"/>
        <v>48.0286385</v>
      </c>
      <c r="I64" s="56">
        <v>0</v>
      </c>
      <c r="J64" s="56">
        <v>0</v>
      </c>
      <c r="K64" s="39">
        <v>0</v>
      </c>
      <c r="L64" s="39">
        <v>0</v>
      </c>
      <c r="M64" s="39">
        <f>F64*G64</f>
        <v>48028.638500000001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f t="shared" si="38"/>
        <v>48028.638500000001</v>
      </c>
    </row>
    <row r="65" spans="1:21" ht="12.75" customHeight="1">
      <c r="A65" s="72" t="s">
        <v>228</v>
      </c>
      <c r="B65" s="16" t="s">
        <v>76</v>
      </c>
      <c r="C65" s="72" t="s">
        <v>77</v>
      </c>
      <c r="D65" s="9"/>
      <c r="E65" s="36">
        <v>22639</v>
      </c>
      <c r="F65" s="57">
        <f>SUM(E65/1000)</f>
        <v>22.638999999999999</v>
      </c>
      <c r="G65" s="57">
        <v>165.21</v>
      </c>
      <c r="H65" s="143">
        <f t="shared" si="37"/>
        <v>3.7401891900000002</v>
      </c>
      <c r="I65" s="39">
        <v>0</v>
      </c>
      <c r="J65" s="39">
        <v>0</v>
      </c>
      <c r="K65" s="39">
        <v>0</v>
      </c>
      <c r="L65" s="39">
        <v>0</v>
      </c>
      <c r="M65" s="39">
        <f t="shared" ref="M65:M68" si="39">F65*G65</f>
        <v>3740.1891900000001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f t="shared" si="38"/>
        <v>3740.1891900000001</v>
      </c>
    </row>
    <row r="66" spans="1:21">
      <c r="A66" s="72" t="s">
        <v>229</v>
      </c>
      <c r="B66" s="16" t="s">
        <v>78</v>
      </c>
      <c r="C66" s="72" t="s">
        <v>79</v>
      </c>
      <c r="D66" s="9" t="s">
        <v>32</v>
      </c>
      <c r="E66" s="36">
        <v>3145</v>
      </c>
      <c r="F66" s="57">
        <f>SUM(E66/100)</f>
        <v>31.45</v>
      </c>
      <c r="G66" s="57">
        <v>2074.63</v>
      </c>
      <c r="H66" s="143">
        <f t="shared" si="37"/>
        <v>65.247113499999998</v>
      </c>
      <c r="I66" s="39">
        <v>0</v>
      </c>
      <c r="J66" s="39">
        <v>0</v>
      </c>
      <c r="K66" s="39">
        <v>0</v>
      </c>
      <c r="L66" s="39">
        <v>0</v>
      </c>
      <c r="M66" s="39">
        <f>F66*G66</f>
        <v>65247.113499999999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f t="shared" si="38"/>
        <v>65247.113499999999</v>
      </c>
    </row>
    <row r="67" spans="1:21">
      <c r="A67" s="72"/>
      <c r="B67" s="17" t="s">
        <v>103</v>
      </c>
      <c r="C67" s="72" t="s">
        <v>37</v>
      </c>
      <c r="D67" s="9"/>
      <c r="E67" s="36">
        <v>20.28</v>
      </c>
      <c r="F67" s="57">
        <f>SUM(E67)</f>
        <v>20.28</v>
      </c>
      <c r="G67" s="57">
        <v>42.67</v>
      </c>
      <c r="H67" s="143">
        <f t="shared" si="37"/>
        <v>0.86534760000000011</v>
      </c>
      <c r="I67" s="39">
        <v>0</v>
      </c>
      <c r="J67" s="39">
        <v>0</v>
      </c>
      <c r="K67" s="39">
        <v>0</v>
      </c>
      <c r="L67" s="39">
        <v>0</v>
      </c>
      <c r="M67" s="39">
        <f t="shared" si="39"/>
        <v>865.34760000000006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f t="shared" si="38"/>
        <v>865.34760000000006</v>
      </c>
    </row>
    <row r="68" spans="1:21" ht="12.75" customHeight="1">
      <c r="A68" s="169"/>
      <c r="B68" s="17" t="s">
        <v>104</v>
      </c>
      <c r="C68" s="72" t="s">
        <v>37</v>
      </c>
      <c r="D68" s="9"/>
      <c r="E68" s="36">
        <v>20.28</v>
      </c>
      <c r="F68" s="57">
        <f>SUM(E68)</f>
        <v>20.28</v>
      </c>
      <c r="G68" s="57">
        <v>39.81</v>
      </c>
      <c r="H68" s="143">
        <f t="shared" si="37"/>
        <v>0.80734680000000014</v>
      </c>
      <c r="I68" s="39">
        <v>0</v>
      </c>
      <c r="J68" s="39">
        <v>0</v>
      </c>
      <c r="K68" s="39">
        <v>0</v>
      </c>
      <c r="L68" s="39">
        <v>0</v>
      </c>
      <c r="M68" s="39">
        <f t="shared" si="39"/>
        <v>807.34680000000014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f t="shared" si="38"/>
        <v>807.34680000000014</v>
      </c>
    </row>
    <row r="69" spans="1:21">
      <c r="A69" s="72" t="s">
        <v>230</v>
      </c>
      <c r="B69" s="9" t="s">
        <v>80</v>
      </c>
      <c r="C69" s="72" t="s">
        <v>81</v>
      </c>
      <c r="D69" s="9" t="s">
        <v>32</v>
      </c>
      <c r="E69" s="73">
        <v>15</v>
      </c>
      <c r="F69" s="37">
        <f>SUM(E69)</f>
        <v>15</v>
      </c>
      <c r="G69" s="57">
        <v>49.88</v>
      </c>
      <c r="H69" s="143">
        <f t="shared" si="37"/>
        <v>0.74820000000000009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f>G69*15</f>
        <v>748.2</v>
      </c>
      <c r="R69" s="39">
        <v>0</v>
      </c>
      <c r="S69" s="39">
        <v>0</v>
      </c>
      <c r="T69" s="39">
        <v>0</v>
      </c>
      <c r="U69" s="39">
        <f t="shared" si="38"/>
        <v>748.2</v>
      </c>
    </row>
    <row r="70" spans="1:21">
      <c r="A70" s="72"/>
      <c r="B70" s="18" t="s">
        <v>82</v>
      </c>
      <c r="C70" s="72"/>
      <c r="D70" s="9"/>
      <c r="E70" s="73"/>
      <c r="F70" s="57"/>
      <c r="G70" s="57"/>
      <c r="H70" s="143" t="s">
        <v>43</v>
      </c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>
      <c r="A71" s="72" t="s">
        <v>231</v>
      </c>
      <c r="B71" s="9" t="s">
        <v>120</v>
      </c>
      <c r="C71" s="72" t="s">
        <v>121</v>
      </c>
      <c r="D71" s="9"/>
      <c r="E71" s="73">
        <v>5</v>
      </c>
      <c r="F71" s="69">
        <v>0.5</v>
      </c>
      <c r="G71" s="57">
        <v>501.62</v>
      </c>
      <c r="H71" s="143">
        <f>F71*G71/1000</f>
        <v>0.25080999999999998</v>
      </c>
      <c r="I71" s="39">
        <v>0</v>
      </c>
      <c r="J71" s="39">
        <f>G71*0.2</f>
        <v>100.32400000000001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f>G71*0.1</f>
        <v>50.162000000000006</v>
      </c>
      <c r="R71" s="39">
        <v>0</v>
      </c>
      <c r="S71" s="39">
        <v>0</v>
      </c>
      <c r="T71" s="39">
        <f>G71*0.2</f>
        <v>100.32400000000001</v>
      </c>
      <c r="U71" s="39">
        <f>SUM(I71:T71)</f>
        <v>250.81000000000003</v>
      </c>
    </row>
    <row r="72" spans="1:21">
      <c r="A72" s="72" t="s">
        <v>232</v>
      </c>
      <c r="B72" s="9" t="s">
        <v>84</v>
      </c>
      <c r="C72" s="72" t="s">
        <v>34</v>
      </c>
      <c r="D72" s="9"/>
      <c r="E72" s="73">
        <v>1</v>
      </c>
      <c r="F72" s="57">
        <v>1</v>
      </c>
      <c r="G72" s="57">
        <v>120.26</v>
      </c>
      <c r="H72" s="143">
        <f>G72*F72/1000</f>
        <v>0.12026000000000001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f>SUM(I72:T72)</f>
        <v>0</v>
      </c>
    </row>
    <row r="73" spans="1:21">
      <c r="A73" s="72" t="s">
        <v>253</v>
      </c>
      <c r="B73" s="9" t="s">
        <v>83</v>
      </c>
      <c r="C73" s="72" t="s">
        <v>34</v>
      </c>
      <c r="D73" s="9"/>
      <c r="E73" s="73">
        <v>1</v>
      </c>
      <c r="F73" s="69">
        <v>1</v>
      </c>
      <c r="G73" s="57">
        <v>99.85</v>
      </c>
      <c r="H73" s="143">
        <f>G73*F73/1000</f>
        <v>9.9849999999999994E-2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f>SUM(I73:T73)</f>
        <v>0</v>
      </c>
    </row>
    <row r="74" spans="1:21">
      <c r="A74" s="72" t="s">
        <v>233</v>
      </c>
      <c r="B74" s="9" t="s">
        <v>85</v>
      </c>
      <c r="C74" s="72" t="s">
        <v>34</v>
      </c>
      <c r="D74" s="9"/>
      <c r="E74" s="73">
        <v>2</v>
      </c>
      <c r="F74" s="37">
        <f>SUM(E74)</f>
        <v>2</v>
      </c>
      <c r="G74" s="57">
        <v>358.51</v>
      </c>
      <c r="H74" s="143">
        <f t="shared" si="37"/>
        <v>0.71701999999999999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f>SUM(I74:T74)</f>
        <v>0</v>
      </c>
    </row>
    <row r="75" spans="1:21">
      <c r="A75" s="72" t="s">
        <v>234</v>
      </c>
      <c r="B75" s="9" t="s">
        <v>105</v>
      </c>
      <c r="C75" s="72" t="s">
        <v>34</v>
      </c>
      <c r="D75" s="9"/>
      <c r="E75" s="73">
        <v>2</v>
      </c>
      <c r="F75" s="57">
        <v>2</v>
      </c>
      <c r="G75" s="57">
        <v>852.99</v>
      </c>
      <c r="H75" s="143">
        <f>F75*G75/1000</f>
        <v>1.7059800000000001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f>SUM(I75:T75)</f>
        <v>0</v>
      </c>
    </row>
    <row r="76" spans="1:21">
      <c r="A76" s="72"/>
      <c r="B76" s="75" t="s">
        <v>86</v>
      </c>
      <c r="C76" s="72"/>
      <c r="D76" s="9"/>
      <c r="E76" s="73"/>
      <c r="F76" s="57"/>
      <c r="G76" s="57" t="s">
        <v>43</v>
      </c>
      <c r="H76" s="143" t="s">
        <v>43</v>
      </c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s="2" customFormat="1">
      <c r="A77" s="74" t="s">
        <v>87</v>
      </c>
      <c r="B77" s="76" t="s">
        <v>88</v>
      </c>
      <c r="C77" s="74" t="s">
        <v>79</v>
      </c>
      <c r="D77" s="16"/>
      <c r="E77" s="77"/>
      <c r="F77" s="58">
        <v>1.35</v>
      </c>
      <c r="G77" s="58">
        <v>2759.44</v>
      </c>
      <c r="H77" s="143">
        <f t="shared" si="37"/>
        <v>3.725244</v>
      </c>
      <c r="I77" s="56">
        <v>0</v>
      </c>
      <c r="J77" s="56">
        <v>0</v>
      </c>
      <c r="K77" s="56">
        <v>0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56">
        <v>0</v>
      </c>
      <c r="R77" s="56">
        <v>0</v>
      </c>
      <c r="S77" s="56">
        <v>0</v>
      </c>
      <c r="T77" s="56">
        <v>0</v>
      </c>
      <c r="U77" s="39">
        <f>SUM(I77:T77)</f>
        <v>0</v>
      </c>
    </row>
    <row r="78" spans="1:21" s="21" customFormat="1">
      <c r="A78" s="78"/>
      <c r="B78" s="20" t="s">
        <v>27</v>
      </c>
      <c r="C78" s="79"/>
      <c r="D78" s="80"/>
      <c r="E78" s="81"/>
      <c r="F78" s="62"/>
      <c r="G78" s="62"/>
      <c r="H78" s="82">
        <f>SUM(H55:H77)</f>
        <v>166.59857521600003</v>
      </c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>
        <f>SUM(U55:U77)</f>
        <v>153796.82728600001</v>
      </c>
    </row>
    <row r="79" spans="1:21">
      <c r="A79" s="159" t="s">
        <v>142</v>
      </c>
      <c r="B79" s="11" t="s">
        <v>143</v>
      </c>
      <c r="C79" s="84"/>
      <c r="D79" s="85"/>
      <c r="E79" s="139"/>
      <c r="F79" s="86">
        <v>1</v>
      </c>
      <c r="G79" s="87">
        <v>23455</v>
      </c>
      <c r="H79" s="143">
        <f>G79*F79/1000</f>
        <v>23.454999999999998</v>
      </c>
      <c r="I79" s="39">
        <v>0</v>
      </c>
      <c r="J79" s="39">
        <v>0</v>
      </c>
      <c r="K79" s="39">
        <v>0</v>
      </c>
      <c r="L79" s="39">
        <v>0</v>
      </c>
      <c r="M79" s="40">
        <v>0</v>
      </c>
      <c r="N79" s="40">
        <v>0</v>
      </c>
      <c r="O79" s="39">
        <v>0</v>
      </c>
      <c r="P79" s="39">
        <f>G79</f>
        <v>23455</v>
      </c>
      <c r="Q79" s="39">
        <v>0</v>
      </c>
      <c r="R79" s="39">
        <v>0</v>
      </c>
      <c r="S79" s="39">
        <v>0</v>
      </c>
      <c r="T79" s="39">
        <v>0</v>
      </c>
      <c r="U79" s="39">
        <f>SUM(I79:T79)</f>
        <v>23455</v>
      </c>
    </row>
    <row r="80" spans="1:21" ht="12.75" customHeight="1">
      <c r="A80" s="160"/>
      <c r="B80" s="83" t="s">
        <v>89</v>
      </c>
      <c r="C80" s="72" t="s">
        <v>90</v>
      </c>
      <c r="D80" s="88"/>
      <c r="E80" s="57">
        <v>5836.1</v>
      </c>
      <c r="F80" s="57">
        <f>SUM(E80*12)</f>
        <v>70033.200000000012</v>
      </c>
      <c r="G80" s="89">
        <v>2.1</v>
      </c>
      <c r="H80" s="143">
        <f>SUM(F80*G80/1000)</f>
        <v>147.06972000000002</v>
      </c>
      <c r="I80" s="39">
        <f>F80/12*G80</f>
        <v>12255.810000000003</v>
      </c>
      <c r="J80" s="39">
        <f>F80/12*G80</f>
        <v>12255.810000000003</v>
      </c>
      <c r="K80" s="39">
        <f>F80/12*G80</f>
        <v>12255.810000000003</v>
      </c>
      <c r="L80" s="39">
        <f>F80/12*G80</f>
        <v>12255.810000000003</v>
      </c>
      <c r="M80" s="40">
        <f>F80/12*G80</f>
        <v>12255.810000000003</v>
      </c>
      <c r="N80" s="40">
        <f>F80/12*G80</f>
        <v>12255.810000000003</v>
      </c>
      <c r="O80" s="39">
        <f>F80/12*G80</f>
        <v>12255.810000000003</v>
      </c>
      <c r="P80" s="39">
        <f>F80/12*G80</f>
        <v>12255.810000000003</v>
      </c>
      <c r="Q80" s="39">
        <f>F80/12*G80</f>
        <v>12255.810000000003</v>
      </c>
      <c r="R80" s="39">
        <f>F80/12*G80</f>
        <v>12255.810000000003</v>
      </c>
      <c r="S80" s="39">
        <f>F80/12*G80</f>
        <v>12255.810000000003</v>
      </c>
      <c r="T80" s="39">
        <f>F80/12*G80</f>
        <v>12255.810000000003</v>
      </c>
      <c r="U80" s="39">
        <f>SUM(I80:T80)</f>
        <v>147069.72</v>
      </c>
    </row>
    <row r="81" spans="1:27" s="19" customFormat="1">
      <c r="A81" s="90"/>
      <c r="B81" s="20" t="s">
        <v>27</v>
      </c>
      <c r="C81" s="91"/>
      <c r="D81" s="92"/>
      <c r="E81" s="93"/>
      <c r="F81" s="48"/>
      <c r="G81" s="94"/>
      <c r="H81" s="49">
        <f>SUM(H79:H80)</f>
        <v>170.52472</v>
      </c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>
        <f>SUM(U79:U80)</f>
        <v>170524.72</v>
      </c>
    </row>
    <row r="82" spans="1:27" ht="25.5" customHeight="1">
      <c r="A82" s="95"/>
      <c r="B82" s="9" t="s">
        <v>91</v>
      </c>
      <c r="C82" s="72"/>
      <c r="D82" s="96"/>
      <c r="E82" s="36">
        <f>E80</f>
        <v>5836.1</v>
      </c>
      <c r="F82" s="57">
        <f>E82*12</f>
        <v>70033.200000000012</v>
      </c>
      <c r="G82" s="57">
        <v>1.63</v>
      </c>
      <c r="H82" s="143">
        <f>F82*G82/1000</f>
        <v>114.15411600000002</v>
      </c>
      <c r="I82" s="39">
        <f>F82/12*G82</f>
        <v>9512.8430000000008</v>
      </c>
      <c r="J82" s="39">
        <f>F82/12*G82</f>
        <v>9512.8430000000008</v>
      </c>
      <c r="K82" s="39">
        <f>F82/12*G82</f>
        <v>9512.8430000000008</v>
      </c>
      <c r="L82" s="39">
        <f>F82/12*G82</f>
        <v>9512.8430000000008</v>
      </c>
      <c r="M82" s="39">
        <f>F82/12*G82</f>
        <v>9512.8430000000008</v>
      </c>
      <c r="N82" s="39">
        <f>F82/12*G82</f>
        <v>9512.8430000000008</v>
      </c>
      <c r="O82" s="39">
        <f>F82/12*G82</f>
        <v>9512.8430000000008</v>
      </c>
      <c r="P82" s="39">
        <f>F82/12*G82</f>
        <v>9512.8430000000008</v>
      </c>
      <c r="Q82" s="39">
        <f>F82/12*G82</f>
        <v>9512.8430000000008</v>
      </c>
      <c r="R82" s="39">
        <f>F82/12*G82</f>
        <v>9512.8430000000008</v>
      </c>
      <c r="S82" s="39">
        <f>F82/12*G82</f>
        <v>9512.8430000000008</v>
      </c>
      <c r="T82" s="39">
        <f t="shared" ref="T82" si="40">F82/12*G82</f>
        <v>9512.8430000000008</v>
      </c>
      <c r="U82" s="39">
        <f>SUM(I82:T82)</f>
        <v>114154.11599999998</v>
      </c>
    </row>
    <row r="83" spans="1:27" s="19" customFormat="1">
      <c r="A83" s="90"/>
      <c r="B83" s="97" t="s">
        <v>92</v>
      </c>
      <c r="C83" s="98"/>
      <c r="D83" s="97"/>
      <c r="E83" s="48"/>
      <c r="F83" s="48"/>
      <c r="G83" s="48"/>
      <c r="H83" s="82">
        <f>H82</f>
        <v>114.15411600000002</v>
      </c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135">
        <f>U82</f>
        <v>114154.11599999998</v>
      </c>
      <c r="X83" s="176" t="s">
        <v>134</v>
      </c>
      <c r="Y83" s="176"/>
      <c r="Z83" s="176"/>
      <c r="AA83" s="176"/>
    </row>
    <row r="84" spans="1:27" s="19" customFormat="1">
      <c r="A84" s="90"/>
      <c r="B84" s="97" t="s">
        <v>93</v>
      </c>
      <c r="C84" s="99"/>
      <c r="D84" s="100"/>
      <c r="E84" s="101"/>
      <c r="F84" s="101"/>
      <c r="G84" s="101"/>
      <c r="H84" s="82">
        <f>SUM(H83+H81+H78+H53+H42+H33+H22)</f>
        <v>1185.6116958939335</v>
      </c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35">
        <f>SUM(U83+U81+U78+U53+U42+U33+U22)*1.094</f>
        <v>1261882.8124073632</v>
      </c>
    </row>
    <row r="85" spans="1:27" s="130" customFormat="1" ht="51" customHeight="1">
      <c r="A85" s="95"/>
      <c r="B85" s="75"/>
      <c r="C85" s="72"/>
      <c r="D85" s="96"/>
      <c r="E85" s="57"/>
      <c r="F85" s="57"/>
      <c r="G85" s="57"/>
      <c r="H85" s="129"/>
      <c r="I85" s="57"/>
      <c r="J85" s="57"/>
      <c r="K85" s="57"/>
      <c r="L85" s="57"/>
      <c r="M85" s="57"/>
      <c r="N85" s="57"/>
      <c r="O85" s="57"/>
      <c r="P85" s="57"/>
      <c r="Q85" s="57"/>
      <c r="R85" s="145"/>
      <c r="S85" s="145"/>
      <c r="T85" s="145"/>
      <c r="U85" s="144" t="s">
        <v>158</v>
      </c>
    </row>
    <row r="86" spans="1:27">
      <c r="A86" s="95"/>
      <c r="B86" s="96" t="s">
        <v>94</v>
      </c>
      <c r="C86" s="72"/>
      <c r="D86" s="96"/>
      <c r="E86" s="57"/>
      <c r="F86" s="57"/>
      <c r="G86" s="57" t="s">
        <v>95</v>
      </c>
      <c r="H86" s="102">
        <f>E82</f>
        <v>5836.1</v>
      </c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7" s="19" customFormat="1">
      <c r="A87" s="90"/>
      <c r="B87" s="100" t="s">
        <v>96</v>
      </c>
      <c r="C87" s="99"/>
      <c r="D87" s="100"/>
      <c r="E87" s="101"/>
      <c r="F87" s="101"/>
      <c r="G87" s="101"/>
      <c r="H87" s="103">
        <f>SUM(H84/H86/12*1000)</f>
        <v>16.929280625388152</v>
      </c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36"/>
    </row>
    <row r="88" spans="1:27">
      <c r="A88" s="95"/>
      <c r="B88" s="96"/>
      <c r="C88" s="72"/>
      <c r="D88" s="96"/>
      <c r="E88" s="57"/>
      <c r="F88" s="57"/>
      <c r="G88" s="57"/>
      <c r="H88" s="104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137"/>
    </row>
    <row r="89" spans="1:27">
      <c r="A89" s="95"/>
      <c r="B89" s="75" t="s">
        <v>97</v>
      </c>
      <c r="C89" s="72"/>
      <c r="D89" s="96"/>
      <c r="E89" s="57"/>
      <c r="F89" s="57"/>
      <c r="G89" s="57"/>
      <c r="H89" s="57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7" ht="25.5">
      <c r="A90" s="126" t="s">
        <v>235</v>
      </c>
      <c r="B90" s="127" t="s">
        <v>133</v>
      </c>
      <c r="C90" s="126" t="s">
        <v>63</v>
      </c>
      <c r="D90" s="146"/>
      <c r="E90" s="57"/>
      <c r="F90" s="57">
        <v>4</v>
      </c>
      <c r="G90" s="57">
        <v>180.15</v>
      </c>
      <c r="H90" s="143">
        <f t="shared" ref="H90:H94" si="41">G90*F90/1000</f>
        <v>0.72060000000000002</v>
      </c>
      <c r="I90" s="39">
        <f>G90*2</f>
        <v>360.3</v>
      </c>
      <c r="J90" s="39">
        <v>0</v>
      </c>
      <c r="K90" s="39">
        <v>0</v>
      </c>
      <c r="L90" s="39">
        <v>0</v>
      </c>
      <c r="M90" s="39">
        <f>G90</f>
        <v>180.15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f>G90</f>
        <v>180.15</v>
      </c>
      <c r="T90" s="39">
        <v>0</v>
      </c>
      <c r="U90" s="39">
        <f t="shared" ref="U90:U109" si="42">SUM(I90:T90)</f>
        <v>720.6</v>
      </c>
    </row>
    <row r="91" spans="1:27">
      <c r="A91" s="142" t="s">
        <v>236</v>
      </c>
      <c r="B91" s="141" t="s">
        <v>151</v>
      </c>
      <c r="C91" s="140" t="s">
        <v>144</v>
      </c>
      <c r="D91" s="146"/>
      <c r="E91" s="57"/>
      <c r="F91" s="57">
        <v>2</v>
      </c>
      <c r="G91" s="57">
        <v>18</v>
      </c>
      <c r="H91" s="143">
        <f t="shared" si="41"/>
        <v>3.5999999999999997E-2</v>
      </c>
      <c r="I91" s="39">
        <f>G91*1</f>
        <v>18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f>G91</f>
        <v>18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f t="shared" si="42"/>
        <v>36</v>
      </c>
    </row>
    <row r="92" spans="1:27" ht="25.5">
      <c r="A92" s="128" t="s">
        <v>237</v>
      </c>
      <c r="B92" s="127" t="s">
        <v>135</v>
      </c>
      <c r="C92" s="126" t="s">
        <v>63</v>
      </c>
      <c r="D92" s="146"/>
      <c r="E92" s="57"/>
      <c r="F92" s="57">
        <v>12</v>
      </c>
      <c r="G92" s="57">
        <v>79.09</v>
      </c>
      <c r="H92" s="143">
        <f t="shared" si="41"/>
        <v>0.94908000000000003</v>
      </c>
      <c r="I92" s="39">
        <f>G92*3</f>
        <v>237.27</v>
      </c>
      <c r="J92" s="39">
        <f>G92</f>
        <v>79.09</v>
      </c>
      <c r="K92" s="39">
        <f>G92*2</f>
        <v>158.18</v>
      </c>
      <c r="L92" s="39">
        <v>0</v>
      </c>
      <c r="M92" s="39">
        <f>G92</f>
        <v>79.09</v>
      </c>
      <c r="N92" s="39">
        <f>G92</f>
        <v>79.09</v>
      </c>
      <c r="O92" s="39">
        <v>0</v>
      </c>
      <c r="P92" s="39">
        <f>G92</f>
        <v>79.09</v>
      </c>
      <c r="Q92" s="39">
        <f>G92</f>
        <v>79.09</v>
      </c>
      <c r="R92" s="39">
        <f>G92</f>
        <v>79.09</v>
      </c>
      <c r="S92" s="39">
        <f>G92</f>
        <v>79.09</v>
      </c>
      <c r="T92" s="39">
        <v>0</v>
      </c>
      <c r="U92" s="39">
        <f t="shared" si="42"/>
        <v>949.08000000000015</v>
      </c>
    </row>
    <row r="93" spans="1:27" ht="25.5">
      <c r="A93" s="126" t="s">
        <v>238</v>
      </c>
      <c r="B93" s="127" t="s">
        <v>138</v>
      </c>
      <c r="C93" s="126" t="s">
        <v>139</v>
      </c>
      <c r="D93" s="146"/>
      <c r="E93" s="57"/>
      <c r="F93" s="57">
        <v>2</v>
      </c>
      <c r="G93" s="57">
        <v>290.67</v>
      </c>
      <c r="H93" s="143">
        <f t="shared" si="41"/>
        <v>0.58134000000000008</v>
      </c>
      <c r="I93" s="39">
        <f>G93*2</f>
        <v>581.34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f t="shared" si="42"/>
        <v>581.34</v>
      </c>
    </row>
    <row r="94" spans="1:27" ht="25.5">
      <c r="A94" s="142" t="s">
        <v>239</v>
      </c>
      <c r="B94" s="141" t="s">
        <v>156</v>
      </c>
      <c r="C94" s="142" t="s">
        <v>63</v>
      </c>
      <c r="D94" s="146"/>
      <c r="E94" s="57"/>
      <c r="F94" s="57">
        <v>1</v>
      </c>
      <c r="G94" s="57">
        <v>5689.35</v>
      </c>
      <c r="H94" s="143">
        <f t="shared" si="41"/>
        <v>5.6893500000000001</v>
      </c>
      <c r="I94" s="39">
        <f>G94</f>
        <v>5689.35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f t="shared" si="42"/>
        <v>5689.35</v>
      </c>
    </row>
    <row r="95" spans="1:27" ht="25.5" customHeight="1">
      <c r="A95" s="131" t="s">
        <v>136</v>
      </c>
      <c r="B95" s="26" t="s">
        <v>147</v>
      </c>
      <c r="C95" s="132" t="s">
        <v>137</v>
      </c>
      <c r="D95" s="146"/>
      <c r="E95" s="57"/>
      <c r="F95" s="57">
        <v>3</v>
      </c>
      <c r="G95" s="57">
        <v>1835.8</v>
      </c>
      <c r="H95" s="143">
        <f t="shared" ref="H95" si="43">G95*F95/1000</f>
        <v>5.5073999999999996</v>
      </c>
      <c r="I95" s="39">
        <f>G95*2</f>
        <v>3671.6</v>
      </c>
      <c r="J95" s="39">
        <v>0</v>
      </c>
      <c r="K95" s="39">
        <v>0</v>
      </c>
      <c r="L95" s="39">
        <f>G95</f>
        <v>1835.8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f t="shared" si="42"/>
        <v>5507.4</v>
      </c>
    </row>
    <row r="96" spans="1:27" ht="12.75" customHeight="1">
      <c r="A96" s="142" t="s">
        <v>240</v>
      </c>
      <c r="B96" s="141" t="s">
        <v>152</v>
      </c>
      <c r="C96" s="142" t="s">
        <v>63</v>
      </c>
      <c r="D96" s="146"/>
      <c r="E96" s="57"/>
      <c r="F96" s="57">
        <v>1</v>
      </c>
      <c r="G96" s="57">
        <f>620.95</f>
        <v>620.95000000000005</v>
      </c>
      <c r="H96" s="143">
        <f t="shared" ref="H96:H97" si="44">G96*F96/1000</f>
        <v>0.62095</v>
      </c>
      <c r="I96" s="39">
        <f>G96*1</f>
        <v>620.95000000000005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f t="shared" si="42"/>
        <v>620.95000000000005</v>
      </c>
    </row>
    <row r="97" spans="1:21" ht="25.5" customHeight="1">
      <c r="A97" s="140" t="s">
        <v>241</v>
      </c>
      <c r="B97" s="141" t="s">
        <v>153</v>
      </c>
      <c r="C97" s="142" t="s">
        <v>154</v>
      </c>
      <c r="D97" s="146"/>
      <c r="E97" s="57"/>
      <c r="F97" s="57">
        <v>2</v>
      </c>
      <c r="G97" s="57">
        <v>559.62</v>
      </c>
      <c r="H97" s="143">
        <f t="shared" si="44"/>
        <v>1.11924</v>
      </c>
      <c r="I97" s="39">
        <v>0</v>
      </c>
      <c r="J97" s="39">
        <f>G97</f>
        <v>559.62</v>
      </c>
      <c r="K97" s="39">
        <f>J97</f>
        <v>559.62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f t="shared" si="42"/>
        <v>1119.24</v>
      </c>
    </row>
    <row r="98" spans="1:21" ht="25.5">
      <c r="A98" s="142" t="s">
        <v>242</v>
      </c>
      <c r="B98" s="141" t="s">
        <v>155</v>
      </c>
      <c r="C98" s="142" t="s">
        <v>139</v>
      </c>
      <c r="D98" s="146"/>
      <c r="E98" s="57"/>
      <c r="F98" s="57">
        <v>2</v>
      </c>
      <c r="G98" s="57">
        <v>195.95</v>
      </c>
      <c r="H98" s="143">
        <f t="shared" ref="H98:H109" si="45">G98*F98/1000</f>
        <v>0.39189999999999997</v>
      </c>
      <c r="I98" s="39">
        <v>0</v>
      </c>
      <c r="J98" s="39">
        <v>0</v>
      </c>
      <c r="K98" s="39">
        <f>G98*2</f>
        <v>391.9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f t="shared" si="42"/>
        <v>391.9</v>
      </c>
    </row>
    <row r="99" spans="1:21" ht="25.5" customHeight="1">
      <c r="A99" s="142" t="s">
        <v>219</v>
      </c>
      <c r="B99" s="141" t="s">
        <v>159</v>
      </c>
      <c r="C99" s="142" t="s">
        <v>60</v>
      </c>
      <c r="D99" s="146"/>
      <c r="E99" s="57"/>
      <c r="F99" s="57">
        <f>3/100</f>
        <v>0.03</v>
      </c>
      <c r="G99" s="57">
        <v>3397.65</v>
      </c>
      <c r="H99" s="143">
        <f t="shared" si="45"/>
        <v>0.10192950000000001</v>
      </c>
      <c r="I99" s="39">
        <v>0</v>
      </c>
      <c r="J99" s="39">
        <v>0</v>
      </c>
      <c r="K99" s="39">
        <f>G99*0.01</f>
        <v>33.976500000000001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f>G99*0.01</f>
        <v>33.976500000000001</v>
      </c>
      <c r="R99" s="39">
        <v>0</v>
      </c>
      <c r="S99" s="39">
        <f>G99*0.01</f>
        <v>33.976500000000001</v>
      </c>
      <c r="T99" s="39">
        <v>0</v>
      </c>
      <c r="U99" s="39">
        <f t="shared" si="42"/>
        <v>101.9295</v>
      </c>
    </row>
    <row r="100" spans="1:21" ht="25.5">
      <c r="A100" s="142" t="s">
        <v>243</v>
      </c>
      <c r="B100" s="141" t="s">
        <v>163</v>
      </c>
      <c r="C100" s="142" t="s">
        <v>154</v>
      </c>
      <c r="D100" s="146"/>
      <c r="E100" s="57"/>
      <c r="F100" s="57">
        <v>1</v>
      </c>
      <c r="G100" s="57">
        <v>201.13</v>
      </c>
      <c r="H100" s="143">
        <f t="shared" si="45"/>
        <v>0.20113</v>
      </c>
      <c r="I100" s="39">
        <v>0</v>
      </c>
      <c r="J100" s="39">
        <v>0</v>
      </c>
      <c r="K100" s="39">
        <v>0</v>
      </c>
      <c r="L100" s="39">
        <f>G100</f>
        <v>201.13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f t="shared" si="42"/>
        <v>201.13</v>
      </c>
    </row>
    <row r="101" spans="1:21" ht="12.75" customHeight="1">
      <c r="A101" s="142" t="s">
        <v>244</v>
      </c>
      <c r="B101" s="141" t="s">
        <v>180</v>
      </c>
      <c r="C101" s="142" t="s">
        <v>160</v>
      </c>
      <c r="D101" s="146"/>
      <c r="E101" s="57"/>
      <c r="F101" s="57">
        <v>4</v>
      </c>
      <c r="G101" s="57">
        <v>185.81</v>
      </c>
      <c r="H101" s="143">
        <f t="shared" si="45"/>
        <v>0.74324000000000001</v>
      </c>
      <c r="I101" s="39">
        <v>0</v>
      </c>
      <c r="J101" s="39">
        <v>0</v>
      </c>
      <c r="K101" s="39">
        <v>0</v>
      </c>
      <c r="L101" s="39">
        <f>G101</f>
        <v>185.81</v>
      </c>
      <c r="M101" s="39">
        <v>0</v>
      </c>
      <c r="N101" s="39">
        <v>0</v>
      </c>
      <c r="O101" s="39">
        <v>0</v>
      </c>
      <c r="P101" s="39">
        <v>0</v>
      </c>
      <c r="Q101" s="39">
        <f>G101*2</f>
        <v>371.62</v>
      </c>
      <c r="R101" s="39">
        <v>0</v>
      </c>
      <c r="S101" s="39">
        <f>G101</f>
        <v>185.81</v>
      </c>
      <c r="T101" s="39">
        <v>0</v>
      </c>
      <c r="U101" s="39">
        <f t="shared" si="42"/>
        <v>743.24</v>
      </c>
    </row>
    <row r="102" spans="1:21" ht="12.75" customHeight="1">
      <c r="A102" s="147" t="s">
        <v>245</v>
      </c>
      <c r="B102" s="148" t="s">
        <v>161</v>
      </c>
      <c r="C102" s="147" t="s">
        <v>162</v>
      </c>
      <c r="D102" s="146"/>
      <c r="E102" s="57"/>
      <c r="F102" s="57">
        <f>17/3</f>
        <v>5.666666666666667</v>
      </c>
      <c r="G102" s="57">
        <v>1063.47</v>
      </c>
      <c r="H102" s="143">
        <f t="shared" si="45"/>
        <v>6.0263300000000006</v>
      </c>
      <c r="I102" s="39">
        <v>0</v>
      </c>
      <c r="J102" s="39">
        <v>0</v>
      </c>
      <c r="K102" s="39">
        <v>0</v>
      </c>
      <c r="L102" s="39">
        <f>G102</f>
        <v>1063.47</v>
      </c>
      <c r="M102" s="39">
        <v>0</v>
      </c>
      <c r="N102" s="39">
        <v>0</v>
      </c>
      <c r="O102" s="39">
        <f>G102*(8/3)</f>
        <v>2835.92</v>
      </c>
      <c r="P102" s="39">
        <f>G102</f>
        <v>1063.47</v>
      </c>
      <c r="Q102" s="39">
        <v>0</v>
      </c>
      <c r="R102" s="39">
        <v>0</v>
      </c>
      <c r="S102" s="39">
        <f>G102</f>
        <v>1063.47</v>
      </c>
      <c r="T102" s="39">
        <v>0</v>
      </c>
      <c r="U102" s="39">
        <f t="shared" si="42"/>
        <v>6026.3300000000008</v>
      </c>
    </row>
    <row r="103" spans="1:21" ht="12.75" customHeight="1">
      <c r="A103" s="142" t="s">
        <v>246</v>
      </c>
      <c r="B103" s="141" t="s">
        <v>176</v>
      </c>
      <c r="C103" s="142" t="s">
        <v>175</v>
      </c>
      <c r="D103" s="146"/>
      <c r="E103" s="57"/>
      <c r="F103" s="57">
        <f>1/100</f>
        <v>0.01</v>
      </c>
      <c r="G103" s="57">
        <v>7033.13</v>
      </c>
      <c r="H103" s="143">
        <f t="shared" si="45"/>
        <v>7.0331299999999999E-2</v>
      </c>
      <c r="I103" s="39">
        <v>0</v>
      </c>
      <c r="J103" s="39">
        <v>0</v>
      </c>
      <c r="K103" s="39">
        <v>0</v>
      </c>
      <c r="L103" s="39">
        <v>0</v>
      </c>
      <c r="M103" s="39">
        <f>G103*0.01</f>
        <v>70.331299999999999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f t="shared" si="42"/>
        <v>70.331299999999999</v>
      </c>
    </row>
    <row r="104" spans="1:21" ht="12.75" customHeight="1">
      <c r="A104" s="142" t="s">
        <v>177</v>
      </c>
      <c r="B104" s="141" t="s">
        <v>178</v>
      </c>
      <c r="C104" s="142" t="s">
        <v>179</v>
      </c>
      <c r="D104" s="146"/>
      <c r="E104" s="57"/>
      <c r="F104" s="57">
        <v>1</v>
      </c>
      <c r="G104" s="57">
        <v>1729</v>
      </c>
      <c r="H104" s="143">
        <f t="shared" si="45"/>
        <v>1.7290000000000001</v>
      </c>
      <c r="I104" s="39">
        <v>0</v>
      </c>
      <c r="J104" s="39">
        <v>0</v>
      </c>
      <c r="K104" s="39">
        <v>0</v>
      </c>
      <c r="L104" s="39">
        <v>0</v>
      </c>
      <c r="M104" s="39">
        <f>G104</f>
        <v>1729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f t="shared" si="42"/>
        <v>1729</v>
      </c>
    </row>
    <row r="105" spans="1:21" ht="51" customHeight="1">
      <c r="A105" s="142" t="s">
        <v>247</v>
      </c>
      <c r="B105" s="141" t="s">
        <v>185</v>
      </c>
      <c r="C105" s="142" t="s">
        <v>184</v>
      </c>
      <c r="D105" s="146"/>
      <c r="E105" s="57"/>
      <c r="F105" s="57">
        <f>30/10</f>
        <v>3</v>
      </c>
      <c r="G105" s="168">
        <v>4451.4399999999996</v>
      </c>
      <c r="H105" s="143">
        <f t="shared" si="45"/>
        <v>13.35432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f>G105*3</f>
        <v>13354.32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f t="shared" si="42"/>
        <v>13354.32</v>
      </c>
    </row>
    <row r="106" spans="1:21" ht="12.75" customHeight="1">
      <c r="A106" s="142" t="s">
        <v>177</v>
      </c>
      <c r="B106" s="141" t="s">
        <v>183</v>
      </c>
      <c r="C106" s="142" t="s">
        <v>179</v>
      </c>
      <c r="D106" s="146"/>
      <c r="E106" s="57"/>
      <c r="F106" s="57">
        <v>1</v>
      </c>
      <c r="G106" s="168">
        <v>6369</v>
      </c>
      <c r="H106" s="143">
        <f t="shared" si="45"/>
        <v>6.3689999999999998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f>G106</f>
        <v>6369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f t="shared" si="42"/>
        <v>6369</v>
      </c>
    </row>
    <row r="107" spans="1:21" ht="12.75" customHeight="1">
      <c r="A107" s="162" t="s">
        <v>248</v>
      </c>
      <c r="B107" s="167" t="s">
        <v>191</v>
      </c>
      <c r="C107" s="140" t="s">
        <v>24</v>
      </c>
      <c r="D107" s="9"/>
      <c r="E107" s="73"/>
      <c r="F107" s="57">
        <f>10/100</f>
        <v>0.1</v>
      </c>
      <c r="G107" s="168">
        <v>588.05999999999995</v>
      </c>
      <c r="H107" s="143">
        <f>G107*F107/1000</f>
        <v>5.8805999999999997E-2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f>G107*F107</f>
        <v>58.805999999999997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f t="shared" ref="U107" si="46">SUM(I107:T107)</f>
        <v>58.805999999999997</v>
      </c>
    </row>
    <row r="108" spans="1:21" ht="12.75" customHeight="1">
      <c r="A108" s="142" t="s">
        <v>136</v>
      </c>
      <c r="B108" s="141" t="s">
        <v>189</v>
      </c>
      <c r="C108" s="142" t="s">
        <v>190</v>
      </c>
      <c r="D108" s="146"/>
      <c r="E108" s="57"/>
      <c r="F108" s="57">
        <v>4</v>
      </c>
      <c r="G108" s="168">
        <v>1501</v>
      </c>
      <c r="H108" s="143">
        <f t="shared" si="45"/>
        <v>6.0039999999999996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f>G108*3</f>
        <v>4503</v>
      </c>
      <c r="O108" s="39">
        <v>0</v>
      </c>
      <c r="P108" s="39">
        <v>0</v>
      </c>
      <c r="Q108" s="39">
        <v>0</v>
      </c>
      <c r="R108" s="39">
        <v>0</v>
      </c>
      <c r="S108" s="39">
        <f>G108</f>
        <v>1501</v>
      </c>
      <c r="T108" s="39">
        <v>0</v>
      </c>
      <c r="U108" s="39">
        <f t="shared" si="42"/>
        <v>6004</v>
      </c>
    </row>
    <row r="109" spans="1:21" ht="12.75" customHeight="1">
      <c r="A109" s="162" t="s">
        <v>249</v>
      </c>
      <c r="B109" s="163" t="s">
        <v>182</v>
      </c>
      <c r="C109" s="164" t="s">
        <v>20</v>
      </c>
      <c r="D109" s="146"/>
      <c r="E109" s="57"/>
      <c r="F109" s="57">
        <f>1/10</f>
        <v>0.1</v>
      </c>
      <c r="G109" s="57">
        <v>3113.97</v>
      </c>
      <c r="H109" s="143">
        <f t="shared" si="45"/>
        <v>0.31139699999999998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f>G109*0.1</f>
        <v>311.39699999999999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f t="shared" si="42"/>
        <v>311.39699999999999</v>
      </c>
    </row>
    <row r="110" spans="1:21" ht="25.5" customHeight="1">
      <c r="A110" s="128" t="s">
        <v>177</v>
      </c>
      <c r="B110" s="127" t="s">
        <v>186</v>
      </c>
      <c r="C110" s="126" t="s">
        <v>144</v>
      </c>
      <c r="D110" s="146"/>
      <c r="E110" s="57"/>
      <c r="F110" s="57">
        <v>0.5</v>
      </c>
      <c r="G110" s="57">
        <v>2057</v>
      </c>
      <c r="H110" s="143">
        <f t="shared" ref="H110" si="47">G110*F110/1000</f>
        <v>1.0285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f>G110*0.5</f>
        <v>1028.5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f>SUM(I110:T110)</f>
        <v>1028.5</v>
      </c>
    </row>
    <row r="111" spans="1:21" ht="25.5" customHeight="1">
      <c r="A111" s="140" t="s">
        <v>241</v>
      </c>
      <c r="B111" s="141" t="s">
        <v>187</v>
      </c>
      <c r="C111" s="142" t="s">
        <v>154</v>
      </c>
      <c r="D111" s="146"/>
      <c r="E111" s="57"/>
      <c r="F111" s="57">
        <v>1</v>
      </c>
      <c r="G111" s="57">
        <v>476.76</v>
      </c>
      <c r="H111" s="143">
        <f>G111*F111/1000</f>
        <v>0.47676000000000002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f>G111</f>
        <v>476.76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f t="shared" ref="U111:U134" si="48">SUM(I111:T111)</f>
        <v>476.76</v>
      </c>
    </row>
    <row r="112" spans="1:21" ht="25.5" customHeight="1">
      <c r="A112" s="140" t="s">
        <v>255</v>
      </c>
      <c r="B112" s="141" t="s">
        <v>280</v>
      </c>
      <c r="C112" s="142" t="s">
        <v>254</v>
      </c>
      <c r="D112" s="146"/>
      <c r="E112" s="57"/>
      <c r="F112" s="57">
        <v>6</v>
      </c>
      <c r="G112" s="57">
        <v>73.69</v>
      </c>
      <c r="H112" s="143">
        <f>G112*F112/1000</f>
        <v>0.44213999999999998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f>G112*6</f>
        <v>442.14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f t="shared" si="48"/>
        <v>442.14</v>
      </c>
    </row>
    <row r="113" spans="1:21" ht="25.5" customHeight="1">
      <c r="A113" s="140" t="s">
        <v>256</v>
      </c>
      <c r="B113" s="141" t="s">
        <v>281</v>
      </c>
      <c r="C113" s="142" t="s">
        <v>254</v>
      </c>
      <c r="D113" s="146"/>
      <c r="E113" s="57"/>
      <c r="F113" s="57">
        <v>5</v>
      </c>
      <c r="G113" s="57">
        <v>119.1</v>
      </c>
      <c r="H113" s="143">
        <f>G113*F113/1000</f>
        <v>0.59550000000000003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f>G113*5</f>
        <v>595.5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f t="shared" si="48"/>
        <v>595.5</v>
      </c>
    </row>
    <row r="114" spans="1:21" ht="12.75" customHeight="1">
      <c r="A114" s="131" t="s">
        <v>250</v>
      </c>
      <c r="B114" s="165" t="s">
        <v>188</v>
      </c>
      <c r="C114" s="166" t="s">
        <v>63</v>
      </c>
      <c r="D114" s="146"/>
      <c r="E114" s="57"/>
      <c r="F114" s="57">
        <v>2</v>
      </c>
      <c r="G114" s="57">
        <v>179.96</v>
      </c>
      <c r="H114" s="143">
        <f>G114*F114/1000</f>
        <v>0.35992000000000002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f>G114*2</f>
        <v>359.92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f t="shared" si="48"/>
        <v>359.92</v>
      </c>
    </row>
    <row r="115" spans="1:21" ht="12.75" customHeight="1">
      <c r="A115" s="72" t="s">
        <v>251</v>
      </c>
      <c r="B115" s="16" t="s">
        <v>252</v>
      </c>
      <c r="C115" s="72" t="s">
        <v>63</v>
      </c>
      <c r="D115" s="9"/>
      <c r="E115" s="73"/>
      <c r="F115" s="37">
        <v>1</v>
      </c>
      <c r="G115" s="57">
        <v>276.74</v>
      </c>
      <c r="H115" s="143">
        <f t="shared" ref="H115:H119" si="49">SUM(F115*G115/1000)</f>
        <v>0.27673999999999999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f>G115</f>
        <v>276.74</v>
      </c>
      <c r="Q115" s="39">
        <v>0</v>
      </c>
      <c r="R115" s="39">
        <v>0</v>
      </c>
      <c r="S115" s="39">
        <v>0</v>
      </c>
      <c r="T115" s="39">
        <v>0</v>
      </c>
      <c r="U115" s="39">
        <f t="shared" si="48"/>
        <v>276.74</v>
      </c>
    </row>
    <row r="116" spans="1:21" ht="25.5" customHeight="1">
      <c r="A116" s="142" t="s">
        <v>272</v>
      </c>
      <c r="B116" s="141" t="s">
        <v>271</v>
      </c>
      <c r="C116" s="142" t="s">
        <v>154</v>
      </c>
      <c r="D116" s="9"/>
      <c r="E116" s="73"/>
      <c r="F116" s="73">
        <v>1</v>
      </c>
      <c r="G116" s="57">
        <v>297.44</v>
      </c>
      <c r="H116" s="143">
        <f t="shared" si="49"/>
        <v>0.29743999999999998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f>G116</f>
        <v>297.44</v>
      </c>
      <c r="R116" s="39">
        <v>0</v>
      </c>
      <c r="S116" s="39">
        <v>0</v>
      </c>
      <c r="T116" s="39">
        <v>0</v>
      </c>
      <c r="U116" s="39">
        <f t="shared" si="48"/>
        <v>297.44</v>
      </c>
    </row>
    <row r="117" spans="1:21" ht="38.25" customHeight="1">
      <c r="A117" s="166" t="s">
        <v>288</v>
      </c>
      <c r="B117" s="172" t="s">
        <v>289</v>
      </c>
      <c r="C117" s="166" t="s">
        <v>144</v>
      </c>
      <c r="D117" s="9"/>
      <c r="E117" s="73"/>
      <c r="F117" s="73">
        <v>2</v>
      </c>
      <c r="G117" s="57">
        <v>563.26</v>
      </c>
      <c r="H117" s="143">
        <f t="shared" si="49"/>
        <v>1.12652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f>G117*2</f>
        <v>1126.52</v>
      </c>
      <c r="Q117" s="39">
        <v>0</v>
      </c>
      <c r="R117" s="39">
        <v>0</v>
      </c>
      <c r="S117" s="39">
        <v>0</v>
      </c>
      <c r="T117" s="39">
        <v>0</v>
      </c>
      <c r="U117" s="39">
        <f>SUM(I117:T117)</f>
        <v>1126.52</v>
      </c>
    </row>
    <row r="118" spans="1:21" ht="12.75" customHeight="1">
      <c r="A118" s="186" t="s">
        <v>293</v>
      </c>
      <c r="B118" s="172" t="s">
        <v>292</v>
      </c>
      <c r="C118" s="166" t="s">
        <v>154</v>
      </c>
      <c r="D118" s="9"/>
      <c r="E118" s="73"/>
      <c r="F118" s="73">
        <v>1</v>
      </c>
      <c r="G118" s="57">
        <v>481.22</v>
      </c>
      <c r="H118" s="143">
        <f t="shared" si="49"/>
        <v>0.48122000000000004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f>G118</f>
        <v>481.22</v>
      </c>
      <c r="R118" s="39">
        <v>0</v>
      </c>
      <c r="S118" s="39">
        <v>0</v>
      </c>
      <c r="T118" s="39">
        <v>0</v>
      </c>
      <c r="U118" s="39"/>
    </row>
    <row r="119" spans="1:21" ht="12.75" customHeight="1">
      <c r="A119" s="131" t="s">
        <v>290</v>
      </c>
      <c r="B119" s="172" t="s">
        <v>291</v>
      </c>
      <c r="C119" s="186" t="s">
        <v>63</v>
      </c>
      <c r="D119" s="9"/>
      <c r="E119" s="73"/>
      <c r="F119" s="73">
        <v>1</v>
      </c>
      <c r="G119" s="57">
        <v>811.24</v>
      </c>
      <c r="H119" s="143">
        <f t="shared" si="49"/>
        <v>0.81123999999999996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f>G119</f>
        <v>811.24</v>
      </c>
      <c r="R119" s="39">
        <v>0</v>
      </c>
      <c r="S119" s="39">
        <v>0</v>
      </c>
      <c r="T119" s="39">
        <v>0</v>
      </c>
      <c r="U119" s="39">
        <f>SUM(I119:T119)</f>
        <v>811.24</v>
      </c>
    </row>
    <row r="120" spans="1:21" ht="25.5" customHeight="1">
      <c r="A120" s="128" t="s">
        <v>177</v>
      </c>
      <c r="B120" s="127" t="s">
        <v>257</v>
      </c>
      <c r="C120" s="126" t="s">
        <v>144</v>
      </c>
      <c r="D120" s="146"/>
      <c r="E120" s="57"/>
      <c r="F120" s="57">
        <v>4</v>
      </c>
      <c r="G120" s="57">
        <v>1187</v>
      </c>
      <c r="H120" s="143">
        <f t="shared" ref="H120:H134" si="50">G120*F120/1000</f>
        <v>4.7480000000000002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f>G120*4</f>
        <v>4748</v>
      </c>
      <c r="R120" s="39">
        <v>0</v>
      </c>
      <c r="S120" s="39">
        <v>0</v>
      </c>
      <c r="T120" s="39">
        <v>0</v>
      </c>
      <c r="U120" s="39">
        <f>SUM(I120:T120)</f>
        <v>4748</v>
      </c>
    </row>
    <row r="121" spans="1:21" ht="12.75" customHeight="1">
      <c r="A121" s="153" t="s">
        <v>258</v>
      </c>
      <c r="B121" s="11" t="s">
        <v>259</v>
      </c>
      <c r="C121" s="30" t="s">
        <v>63</v>
      </c>
      <c r="D121" s="146"/>
      <c r="E121" s="57"/>
      <c r="F121" s="57">
        <v>2</v>
      </c>
      <c r="G121" s="57">
        <v>81.73</v>
      </c>
      <c r="H121" s="143">
        <f>G121*F121/1000</f>
        <v>0.16345999999999999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f>G121</f>
        <v>81.73</v>
      </c>
      <c r="R121" s="39">
        <v>0</v>
      </c>
      <c r="S121" s="39">
        <v>0</v>
      </c>
      <c r="T121" s="39">
        <f>G121</f>
        <v>81.73</v>
      </c>
      <c r="U121" s="39">
        <f>SUM(I121:T121)</f>
        <v>163.46</v>
      </c>
    </row>
    <row r="122" spans="1:21" ht="25.5" customHeight="1">
      <c r="A122" s="131" t="s">
        <v>287</v>
      </c>
      <c r="B122" s="26" t="s">
        <v>285</v>
      </c>
      <c r="C122" s="132" t="s">
        <v>286</v>
      </c>
      <c r="D122" s="146"/>
      <c r="E122" s="57"/>
      <c r="F122" s="57">
        <f>4/10</f>
        <v>0.4</v>
      </c>
      <c r="G122" s="57">
        <v>298</v>
      </c>
      <c r="H122" s="143">
        <f t="shared" ref="H122" si="51">G122*F122/1000</f>
        <v>0.1192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f>G122*F122</f>
        <v>119.2</v>
      </c>
      <c r="S122" s="39">
        <v>0</v>
      </c>
      <c r="T122" s="39">
        <v>0</v>
      </c>
      <c r="U122" s="39">
        <f t="shared" ref="U122" si="52">SUM(I122:T122)</f>
        <v>119.2</v>
      </c>
    </row>
    <row r="123" spans="1:21" ht="25.5" customHeight="1">
      <c r="A123" s="142" t="s">
        <v>260</v>
      </c>
      <c r="B123" s="141" t="s">
        <v>261</v>
      </c>
      <c r="C123" s="142" t="s">
        <v>144</v>
      </c>
      <c r="D123" s="96"/>
      <c r="E123" s="57"/>
      <c r="F123" s="57">
        <v>1</v>
      </c>
      <c r="G123" s="57">
        <v>635.86</v>
      </c>
      <c r="H123" s="143">
        <f t="shared" si="50"/>
        <v>0.63585999999999998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f>G123</f>
        <v>635.86</v>
      </c>
      <c r="S123" s="39">
        <v>0</v>
      </c>
      <c r="T123" s="39">
        <v>0</v>
      </c>
      <c r="U123" s="39">
        <f t="shared" si="48"/>
        <v>635.86</v>
      </c>
    </row>
    <row r="124" spans="1:21" ht="12.75" customHeight="1">
      <c r="A124" s="142" t="s">
        <v>262</v>
      </c>
      <c r="B124" s="141" t="s">
        <v>263</v>
      </c>
      <c r="C124" s="142" t="s">
        <v>63</v>
      </c>
      <c r="D124" s="146"/>
      <c r="E124" s="57"/>
      <c r="F124" s="57">
        <v>1</v>
      </c>
      <c r="G124" s="57">
        <v>33.42</v>
      </c>
      <c r="H124" s="143">
        <f t="shared" si="50"/>
        <v>3.3419999999999998E-2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f t="shared" ref="R124:R131" si="53">G124</f>
        <v>33.42</v>
      </c>
      <c r="S124" s="39">
        <v>0</v>
      </c>
      <c r="T124" s="39">
        <v>0</v>
      </c>
      <c r="U124" s="39">
        <f t="shared" si="48"/>
        <v>33.42</v>
      </c>
    </row>
    <row r="125" spans="1:21" ht="12.75" customHeight="1">
      <c r="A125" s="142" t="s">
        <v>262</v>
      </c>
      <c r="B125" s="141" t="s">
        <v>264</v>
      </c>
      <c r="C125" s="142" t="s">
        <v>63</v>
      </c>
      <c r="D125" s="96"/>
      <c r="E125" s="57"/>
      <c r="F125" s="57">
        <v>1</v>
      </c>
      <c r="G125" s="57">
        <v>45.79</v>
      </c>
      <c r="H125" s="143">
        <f t="shared" si="50"/>
        <v>4.5789999999999997E-2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f t="shared" si="53"/>
        <v>45.79</v>
      </c>
      <c r="S125" s="39">
        <v>0</v>
      </c>
      <c r="T125" s="39">
        <v>0</v>
      </c>
      <c r="U125" s="39">
        <f t="shared" si="48"/>
        <v>45.79</v>
      </c>
    </row>
    <row r="126" spans="1:21" ht="12.75" customHeight="1">
      <c r="A126" s="142" t="s">
        <v>262</v>
      </c>
      <c r="B126" s="141" t="s">
        <v>265</v>
      </c>
      <c r="C126" s="142" t="s">
        <v>63</v>
      </c>
      <c r="D126" s="96"/>
      <c r="E126" s="57"/>
      <c r="F126" s="57">
        <v>1</v>
      </c>
      <c r="G126" s="57">
        <v>12</v>
      </c>
      <c r="H126" s="143">
        <f t="shared" ref="H126" si="54">G126*F126/1000</f>
        <v>1.2E-2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f t="shared" si="53"/>
        <v>12</v>
      </c>
      <c r="S126" s="39">
        <v>0</v>
      </c>
      <c r="T126" s="39">
        <v>0</v>
      </c>
      <c r="U126" s="39">
        <f t="shared" si="48"/>
        <v>12</v>
      </c>
    </row>
    <row r="127" spans="1:21" ht="12.75" customHeight="1">
      <c r="A127" s="142" t="s">
        <v>262</v>
      </c>
      <c r="B127" s="141" t="s">
        <v>266</v>
      </c>
      <c r="C127" s="142" t="s">
        <v>63</v>
      </c>
      <c r="D127" s="96"/>
      <c r="E127" s="57"/>
      <c r="F127" s="57">
        <v>1</v>
      </c>
      <c r="G127" s="57">
        <v>22</v>
      </c>
      <c r="H127" s="143">
        <f t="shared" si="50"/>
        <v>2.1999999999999999E-2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f t="shared" si="53"/>
        <v>22</v>
      </c>
      <c r="S127" s="39">
        <v>0</v>
      </c>
      <c r="T127" s="39">
        <v>0</v>
      </c>
      <c r="U127" s="39">
        <f t="shared" si="48"/>
        <v>22</v>
      </c>
    </row>
    <row r="128" spans="1:21" ht="12.75" customHeight="1">
      <c r="A128" s="142" t="s">
        <v>262</v>
      </c>
      <c r="B128" s="141" t="s">
        <v>267</v>
      </c>
      <c r="C128" s="142" t="s">
        <v>63</v>
      </c>
      <c r="D128" s="96"/>
      <c r="E128" s="57"/>
      <c r="F128" s="57">
        <v>1</v>
      </c>
      <c r="G128" s="57">
        <v>30</v>
      </c>
      <c r="H128" s="143">
        <f t="shared" si="50"/>
        <v>0.03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f t="shared" si="53"/>
        <v>30</v>
      </c>
      <c r="S128" s="39">
        <v>0</v>
      </c>
      <c r="T128" s="39">
        <v>0</v>
      </c>
      <c r="U128" s="39">
        <f t="shared" si="48"/>
        <v>30</v>
      </c>
    </row>
    <row r="129" spans="1:21" ht="25.5" customHeight="1">
      <c r="A129" s="162" t="s">
        <v>275</v>
      </c>
      <c r="B129" s="141" t="s">
        <v>273</v>
      </c>
      <c r="C129" s="164" t="s">
        <v>184</v>
      </c>
      <c r="D129" s="146"/>
      <c r="E129" s="57"/>
      <c r="F129" s="57">
        <f>2.98/10</f>
        <v>0.29799999999999999</v>
      </c>
      <c r="G129" s="57">
        <v>2089.5100000000002</v>
      </c>
      <c r="H129" s="143">
        <f>G129*F129/1000</f>
        <v>0.62267398000000007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f>G129*F129</f>
        <v>622.67398000000003</v>
      </c>
      <c r="S129" s="39">
        <v>0</v>
      </c>
      <c r="T129" s="39">
        <v>0</v>
      </c>
      <c r="U129" s="39">
        <f t="shared" ref="U129:U130" si="55">SUM(I129:T129)</f>
        <v>622.67398000000003</v>
      </c>
    </row>
    <row r="130" spans="1:21" ht="25.5" customHeight="1">
      <c r="A130" s="162" t="s">
        <v>276</v>
      </c>
      <c r="B130" s="141" t="s">
        <v>274</v>
      </c>
      <c r="C130" s="164" t="s">
        <v>184</v>
      </c>
      <c r="D130" s="146"/>
      <c r="E130" s="57"/>
      <c r="F130" s="57">
        <f>2.32/10</f>
        <v>0.23199999999999998</v>
      </c>
      <c r="G130" s="57">
        <v>5729.12</v>
      </c>
      <c r="H130" s="143">
        <f>G130*F130/1000</f>
        <v>1.3291558399999999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f>G130*F130</f>
        <v>1329.1558399999999</v>
      </c>
      <c r="S130" s="39">
        <v>0</v>
      </c>
      <c r="T130" s="39">
        <v>0</v>
      </c>
      <c r="U130" s="39">
        <f t="shared" si="55"/>
        <v>1329.1558399999999</v>
      </c>
    </row>
    <row r="131" spans="1:21" ht="12.75" customHeight="1">
      <c r="A131" s="142" t="s">
        <v>262</v>
      </c>
      <c r="B131" s="141" t="s">
        <v>282</v>
      </c>
      <c r="C131" s="142" t="s">
        <v>179</v>
      </c>
      <c r="D131" s="96"/>
      <c r="E131" s="57"/>
      <c r="F131" s="57">
        <v>1</v>
      </c>
      <c r="G131" s="57">
        <v>10950</v>
      </c>
      <c r="H131" s="143">
        <f t="shared" si="50"/>
        <v>10.95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f t="shared" si="53"/>
        <v>10950</v>
      </c>
      <c r="S131" s="39">
        <v>0</v>
      </c>
      <c r="T131" s="39">
        <v>0</v>
      </c>
      <c r="U131" s="39">
        <f t="shared" si="48"/>
        <v>10950</v>
      </c>
    </row>
    <row r="132" spans="1:21" ht="25.5" customHeight="1">
      <c r="A132" s="142" t="s">
        <v>268</v>
      </c>
      <c r="B132" s="141" t="s">
        <v>269</v>
      </c>
      <c r="C132" s="142" t="s">
        <v>270</v>
      </c>
      <c r="D132" s="146"/>
      <c r="E132" s="57"/>
      <c r="F132" s="57">
        <f>3/100</f>
        <v>0.03</v>
      </c>
      <c r="G132" s="57">
        <v>23221.7</v>
      </c>
      <c r="H132" s="143">
        <f t="shared" si="50"/>
        <v>0.69665099999999991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f>G132*F132</f>
        <v>696.65099999999995</v>
      </c>
      <c r="T132" s="39">
        <v>0</v>
      </c>
      <c r="U132" s="39">
        <f t="shared" si="48"/>
        <v>696.65099999999995</v>
      </c>
    </row>
    <row r="133" spans="1:21" ht="25.5" customHeight="1">
      <c r="A133" s="166" t="s">
        <v>283</v>
      </c>
      <c r="B133" s="172" t="s">
        <v>284</v>
      </c>
      <c r="C133" s="166" t="s">
        <v>144</v>
      </c>
      <c r="D133" s="146"/>
      <c r="E133" s="57"/>
      <c r="F133" s="57">
        <v>3</v>
      </c>
      <c r="G133" s="57">
        <v>1122.8699999999999</v>
      </c>
      <c r="H133" s="143">
        <f t="shared" si="50"/>
        <v>3.3686099999999999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f>G133*3</f>
        <v>3368.6099999999997</v>
      </c>
      <c r="U133" s="39">
        <f t="shared" si="48"/>
        <v>3368.6099999999997</v>
      </c>
    </row>
    <row r="134" spans="1:21" ht="25.5" customHeight="1">
      <c r="A134" s="142" t="s">
        <v>218</v>
      </c>
      <c r="B134" s="141" t="s">
        <v>277</v>
      </c>
      <c r="C134" s="142" t="s">
        <v>47</v>
      </c>
      <c r="D134" s="146"/>
      <c r="E134" s="57"/>
      <c r="F134" s="170">
        <f>1/1000</f>
        <v>1E-3</v>
      </c>
      <c r="G134" s="57">
        <v>1510.06</v>
      </c>
      <c r="H134" s="171">
        <f t="shared" si="50"/>
        <v>1.5100599999999999E-3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f>G134*0.001</f>
        <v>1.51006</v>
      </c>
      <c r="U134" s="39">
        <f t="shared" si="48"/>
        <v>1.51006</v>
      </c>
    </row>
    <row r="135" spans="1:21" s="19" customFormat="1">
      <c r="A135" s="105"/>
      <c r="B135" s="106" t="s">
        <v>98</v>
      </c>
      <c r="C135" s="105"/>
      <c r="D135" s="105"/>
      <c r="E135" s="101"/>
      <c r="F135" s="101"/>
      <c r="G135" s="101"/>
      <c r="H135" s="49">
        <f>SUM(H90:H134)</f>
        <v>79.259654679999997</v>
      </c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48">
        <f>SUM(U90:U134)</f>
        <v>78778.434679999991</v>
      </c>
    </row>
    <row r="136" spans="1:21">
      <c r="A136" s="107"/>
      <c r="B136" s="108"/>
      <c r="C136" s="107"/>
      <c r="D136" s="107"/>
      <c r="E136" s="57"/>
      <c r="F136" s="57"/>
      <c r="G136" s="57"/>
      <c r="H136" s="10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138"/>
    </row>
    <row r="137" spans="1:21" ht="12" customHeight="1">
      <c r="A137" s="95"/>
      <c r="B137" s="18" t="s">
        <v>99</v>
      </c>
      <c r="C137" s="72"/>
      <c r="D137" s="96"/>
      <c r="E137" s="57"/>
      <c r="F137" s="57"/>
      <c r="G137" s="57"/>
      <c r="H137" s="110">
        <f>H135/E138/12*1000</f>
        <v>1.1317440111261514</v>
      </c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138"/>
    </row>
    <row r="138" spans="1:21" s="19" customFormat="1">
      <c r="A138" s="111"/>
      <c r="B138" s="112" t="s">
        <v>100</v>
      </c>
      <c r="C138" s="113"/>
      <c r="D138" s="112"/>
      <c r="E138" s="161">
        <v>5836.1</v>
      </c>
      <c r="F138" s="114">
        <f>SUM(E138*12)</f>
        <v>70033.200000000012</v>
      </c>
      <c r="G138" s="115">
        <f>H87+H137</f>
        <v>18.061024636514304</v>
      </c>
      <c r="H138" s="116">
        <f>SUM(F138*G138/1000)</f>
        <v>1264.8713505739338</v>
      </c>
      <c r="I138" s="101">
        <f t="shared" ref="I138:R138" si="56">SUM(I11:I137)</f>
        <v>114553.19238666668</v>
      </c>
      <c r="J138" s="101">
        <f t="shared" si="56"/>
        <v>85036.116386666661</v>
      </c>
      <c r="K138" s="101">
        <f t="shared" si="56"/>
        <v>83089.107771666677</v>
      </c>
      <c r="L138" s="101">
        <f t="shared" si="56"/>
        <v>103471.86968666666</v>
      </c>
      <c r="M138" s="101">
        <f t="shared" si="56"/>
        <v>204729.13135518887</v>
      </c>
      <c r="N138" s="101">
        <f t="shared" si="56"/>
        <v>95645.254813888881</v>
      </c>
      <c r="O138" s="101">
        <f t="shared" si="56"/>
        <v>78060.781813888883</v>
      </c>
      <c r="P138" s="101">
        <f t="shared" si="56"/>
        <v>112155.12181388889</v>
      </c>
      <c r="Q138" s="101">
        <f t="shared" si="56"/>
        <v>89532.984378188892</v>
      </c>
      <c r="R138" s="101">
        <f t="shared" si="56"/>
        <v>91240.4000488889</v>
      </c>
      <c r="S138" s="101">
        <f>SUM(S11:S137)</f>
        <v>87799.018771666655</v>
      </c>
      <c r="T138" s="101">
        <f>SUM(T11:T137)</f>
        <v>87404.456446666678</v>
      </c>
      <c r="U138" s="48">
        <f>U84+U135</f>
        <v>1340661.2470873632</v>
      </c>
    </row>
    <row r="139" spans="1:21">
      <c r="A139" s="28"/>
      <c r="B139" s="28"/>
      <c r="C139" s="28"/>
      <c r="D139" s="28"/>
      <c r="E139" s="117"/>
      <c r="F139" s="117"/>
      <c r="G139" s="117"/>
      <c r="H139" s="117"/>
      <c r="I139" s="117"/>
      <c r="J139" s="117"/>
      <c r="K139" s="117"/>
      <c r="L139" s="117"/>
      <c r="M139" s="28"/>
      <c r="N139" s="117"/>
      <c r="O139" s="28"/>
      <c r="P139" s="28"/>
      <c r="Q139" s="28"/>
      <c r="R139" s="28"/>
      <c r="S139" s="28"/>
      <c r="T139" s="28"/>
      <c r="U139" s="28"/>
    </row>
    <row r="140" spans="1:21">
      <c r="A140" s="28"/>
      <c r="B140" s="28"/>
      <c r="C140" s="28"/>
      <c r="D140" s="28"/>
      <c r="E140" s="117"/>
      <c r="F140" s="117"/>
      <c r="G140" s="117"/>
      <c r="H140" s="117"/>
      <c r="I140" s="117"/>
      <c r="J140" s="118"/>
      <c r="K140" s="119"/>
      <c r="L140" s="118"/>
      <c r="M140" s="117"/>
      <c r="N140" s="28"/>
      <c r="O140" s="28"/>
      <c r="P140" s="28"/>
      <c r="Q140" s="28"/>
      <c r="R140" s="28"/>
      <c r="S140" s="28"/>
      <c r="T140" s="28"/>
      <c r="U140" s="28"/>
    </row>
    <row r="141" spans="1:21" ht="45">
      <c r="A141" s="28"/>
      <c r="B141" s="120" t="s">
        <v>146</v>
      </c>
      <c r="C141" s="177">
        <v>341562.04</v>
      </c>
      <c r="D141" s="178"/>
      <c r="E141" s="178"/>
      <c r="F141" s="179"/>
      <c r="G141" s="117"/>
      <c r="H141" s="117"/>
      <c r="I141" s="117"/>
      <c r="J141" s="118"/>
      <c r="K141" s="119"/>
      <c r="L141" s="118"/>
      <c r="M141" s="117"/>
      <c r="N141" s="28"/>
      <c r="O141" s="28"/>
      <c r="P141" s="28"/>
      <c r="Q141" s="28"/>
      <c r="R141" s="28"/>
      <c r="S141" s="28"/>
      <c r="T141" s="28"/>
      <c r="U141" s="28"/>
    </row>
    <row r="142" spans="1:21" ht="30">
      <c r="A142" s="28"/>
      <c r="B142" s="22" t="s">
        <v>181</v>
      </c>
      <c r="C142" s="177">
        <f>124894.68*12</f>
        <v>1498736.16</v>
      </c>
      <c r="D142" s="178"/>
      <c r="E142" s="178"/>
      <c r="F142" s="179"/>
      <c r="G142" s="117"/>
      <c r="H142" s="117"/>
      <c r="I142" s="117"/>
      <c r="J142" s="118"/>
      <c r="K142" s="119"/>
      <c r="L142" s="118"/>
      <c r="M142" s="117"/>
      <c r="N142" s="28"/>
      <c r="O142" s="28"/>
      <c r="P142" s="28"/>
      <c r="Q142" s="28"/>
      <c r="R142" s="28"/>
      <c r="S142" s="28"/>
      <c r="T142" s="28"/>
      <c r="U142" s="28"/>
    </row>
    <row r="143" spans="1:21" ht="30">
      <c r="A143" s="28"/>
      <c r="B143" s="22" t="s">
        <v>148</v>
      </c>
      <c r="C143" s="177">
        <f>SUM(U138-U135)</f>
        <v>1261882.8124073632</v>
      </c>
      <c r="D143" s="178"/>
      <c r="E143" s="178"/>
      <c r="F143" s="179"/>
      <c r="G143" s="117"/>
      <c r="H143" s="117"/>
      <c r="I143" s="117"/>
      <c r="J143" s="118"/>
      <c r="K143" s="119"/>
      <c r="L143" s="118"/>
      <c r="M143" s="117"/>
      <c r="N143" s="28"/>
      <c r="O143" s="28"/>
      <c r="P143" s="28"/>
      <c r="Q143" s="28"/>
      <c r="R143" s="28"/>
      <c r="S143" s="28"/>
      <c r="T143" s="28"/>
      <c r="U143" s="28"/>
    </row>
    <row r="144" spans="1:21" ht="30">
      <c r="A144" s="28"/>
      <c r="B144" s="22" t="s">
        <v>149</v>
      </c>
      <c r="C144" s="177">
        <f>SUM(U135)</f>
        <v>78778.434679999991</v>
      </c>
      <c r="D144" s="178"/>
      <c r="E144" s="178"/>
      <c r="F144" s="179"/>
      <c r="G144" s="117"/>
      <c r="H144" s="117"/>
      <c r="I144" s="117"/>
      <c r="J144" s="118"/>
      <c r="K144" s="119"/>
      <c r="L144" s="118"/>
      <c r="M144" s="117"/>
      <c r="N144" s="28"/>
      <c r="O144" s="28"/>
      <c r="P144" s="28"/>
      <c r="Q144" s="28"/>
      <c r="R144" s="28"/>
      <c r="S144" s="28"/>
      <c r="T144" s="28"/>
      <c r="U144" s="28"/>
    </row>
    <row r="145" spans="1:21" ht="18">
      <c r="A145" s="28"/>
      <c r="B145" s="133" t="s">
        <v>150</v>
      </c>
      <c r="C145" s="177">
        <f>115370.79+131606.03+112009.88+102217.01+119480.59+101551.82+113784.89+131677.3+103718.87+112981.1+123099.27+136170.56</f>
        <v>1403668.11</v>
      </c>
      <c r="D145" s="178"/>
      <c r="E145" s="178"/>
      <c r="F145" s="179"/>
      <c r="G145" s="28"/>
      <c r="H145" s="121" t="s">
        <v>106</v>
      </c>
      <c r="I145" s="122"/>
      <c r="J145" s="122"/>
      <c r="K145" s="123"/>
      <c r="L145" s="124"/>
      <c r="M145" s="121"/>
      <c r="N145" s="121"/>
      <c r="O145" s="28"/>
      <c r="P145" s="28"/>
      <c r="Q145" s="28"/>
      <c r="R145" s="28"/>
      <c r="S145" s="28"/>
      <c r="T145" s="28"/>
      <c r="U145" s="28"/>
    </row>
    <row r="146" spans="1:21" ht="78.75">
      <c r="A146" s="28"/>
      <c r="B146" s="23" t="s">
        <v>278</v>
      </c>
      <c r="C146" s="183">
        <v>659191.78</v>
      </c>
      <c r="D146" s="184"/>
      <c r="E146" s="184"/>
      <c r="F146" s="185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</row>
    <row r="147" spans="1:21" ht="45">
      <c r="A147" s="28"/>
      <c r="B147" s="125" t="s">
        <v>279</v>
      </c>
      <c r="C147" s="180">
        <f>SUM(U138-C142)+C141</f>
        <v>183487.12708736322</v>
      </c>
      <c r="D147" s="181"/>
      <c r="E147" s="181"/>
      <c r="F147" s="182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</row>
    <row r="149" spans="1:21">
      <c r="J149" s="4"/>
      <c r="K149" s="5"/>
      <c r="L149" s="5"/>
      <c r="M149" s="3"/>
    </row>
    <row r="150" spans="1:21">
      <c r="G150" s="6"/>
      <c r="H150" s="6"/>
    </row>
    <row r="151" spans="1:21">
      <c r="G151" s="7"/>
    </row>
  </sheetData>
  <mergeCells count="12">
    <mergeCell ref="C141:F141"/>
    <mergeCell ref="C147:F147"/>
    <mergeCell ref="C142:F142"/>
    <mergeCell ref="C143:F143"/>
    <mergeCell ref="C144:F144"/>
    <mergeCell ref="C145:F145"/>
    <mergeCell ref="C146:F146"/>
    <mergeCell ref="B3:L3"/>
    <mergeCell ref="B4:L4"/>
    <mergeCell ref="B5:L5"/>
    <mergeCell ref="B6:L6"/>
    <mergeCell ref="X83:AA83"/>
  </mergeCells>
  <pageMargins left="0.31496062992125984" right="0.31496062992125984" top="0.15748031496062992" bottom="0.19685039370078741" header="0.15748031496062992" footer="0.15748031496062992"/>
  <pageSetup paperSize="9" scale="34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Нефт.,6</vt:lpstr>
      <vt:lpstr>'Нефт.,6'!Область_печати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2017-03-27T09:08:24Z</dcterms:modified>
</cp:coreProperties>
</file>