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Нефт.,7" sheetId="1" r:id="rId1"/>
  </sheets>
  <definedNames>
    <definedName name="_xlnm.Print_Area" localSheetId="0">'Нефт.,7'!$A$1:$U$107</definedName>
  </definedNames>
  <calcPr calcId="124519"/>
</workbook>
</file>

<file path=xl/calcChain.xml><?xml version="1.0" encoding="utf-8"?>
<calcChain xmlns="http://schemas.openxmlformats.org/spreadsheetml/2006/main">
  <c r="I13" i="1"/>
  <c r="I12"/>
  <c r="U95"/>
  <c r="H95"/>
  <c r="M14"/>
  <c r="C105" l="1"/>
  <c r="C102"/>
  <c r="U94"/>
  <c r="O94"/>
  <c r="O81" l="1"/>
  <c r="N81"/>
  <c r="O79"/>
  <c r="N79"/>
  <c r="O31"/>
  <c r="O28"/>
  <c r="O27"/>
  <c r="O25"/>
  <c r="O24"/>
  <c r="N24"/>
  <c r="O16"/>
  <c r="O15"/>
  <c r="N15"/>
  <c r="O12"/>
  <c r="O13"/>
  <c r="O11"/>
  <c r="N11"/>
  <c r="U11"/>
  <c r="M81"/>
  <c r="M79"/>
  <c r="N31"/>
  <c r="N28"/>
  <c r="N27"/>
  <c r="U24"/>
  <c r="N25"/>
  <c r="M24"/>
  <c r="N12"/>
  <c r="N13"/>
  <c r="N16"/>
  <c r="M11"/>
  <c r="M45"/>
  <c r="M44"/>
  <c r="M46"/>
  <c r="M47"/>
  <c r="M43"/>
  <c r="M49"/>
  <c r="M50"/>
  <c r="M51"/>
  <c r="L81"/>
  <c r="L79"/>
  <c r="M67"/>
  <c r="M66"/>
  <c r="M65"/>
  <c r="M64"/>
  <c r="M63"/>
  <c r="M48"/>
  <c r="M31"/>
  <c r="M28"/>
  <c r="M27"/>
  <c r="M26"/>
  <c r="M25"/>
  <c r="M21"/>
  <c r="M20"/>
  <c r="M19"/>
  <c r="M18"/>
  <c r="M17"/>
  <c r="M12"/>
  <c r="M13"/>
  <c r="M15"/>
  <c r="M16"/>
  <c r="L11"/>
  <c r="L93"/>
  <c r="U93" s="1"/>
  <c r="H93"/>
  <c r="U92" l="1"/>
  <c r="L92"/>
  <c r="H92"/>
  <c r="K81"/>
  <c r="K79"/>
  <c r="L57"/>
  <c r="L56"/>
  <c r="K56"/>
  <c r="L53"/>
  <c r="L52"/>
  <c r="L35" l="1"/>
  <c r="L36"/>
  <c r="L37"/>
  <c r="L38"/>
  <c r="L39"/>
  <c r="L40"/>
  <c r="L34"/>
  <c r="K34"/>
  <c r="L31"/>
  <c r="K31"/>
  <c r="L28"/>
  <c r="K28"/>
  <c r="L16"/>
  <c r="L15"/>
  <c r="K15"/>
  <c r="L12"/>
  <c r="L13"/>
  <c r="K11"/>
  <c r="U91"/>
  <c r="K91"/>
  <c r="H91"/>
  <c r="J81"/>
  <c r="J79"/>
  <c r="U78"/>
  <c r="K57"/>
  <c r="J56"/>
  <c r="I48"/>
  <c r="K35" l="1"/>
  <c r="K36"/>
  <c r="K37"/>
  <c r="K38"/>
  <c r="K39"/>
  <c r="K40"/>
  <c r="J34"/>
  <c r="J31"/>
  <c r="J28"/>
  <c r="K16"/>
  <c r="J15"/>
  <c r="K12"/>
  <c r="K13"/>
  <c r="J11"/>
  <c r="J90"/>
  <c r="U90" l="1"/>
  <c r="H90" l="1"/>
  <c r="I89"/>
  <c r="S78"/>
  <c r="U89" l="1"/>
  <c r="H89"/>
  <c r="T98"/>
  <c r="S98"/>
  <c r="F52"/>
  <c r="R98" l="1"/>
  <c r="Q98"/>
  <c r="P98"/>
  <c r="O98"/>
  <c r="N98"/>
  <c r="M98"/>
  <c r="F27"/>
  <c r="L98"/>
  <c r="K98"/>
  <c r="H78"/>
  <c r="J40"/>
  <c r="I40"/>
  <c r="I34"/>
  <c r="U76"/>
  <c r="U74"/>
  <c r="U73"/>
  <c r="U72"/>
  <c r="U71"/>
  <c r="U70"/>
  <c r="U68"/>
  <c r="U67"/>
  <c r="U66"/>
  <c r="U65"/>
  <c r="U64"/>
  <c r="U63"/>
  <c r="U61"/>
  <c r="U59"/>
  <c r="U47"/>
  <c r="U46"/>
  <c r="U45"/>
  <c r="U44"/>
  <c r="U43"/>
  <c r="U30"/>
  <c r="U29"/>
  <c r="U27"/>
  <c r="U26"/>
  <c r="U25"/>
  <c r="U21"/>
  <c r="U20"/>
  <c r="U19"/>
  <c r="U18"/>
  <c r="U17"/>
  <c r="U14"/>
  <c r="F38" l="1"/>
  <c r="U36"/>
  <c r="J38" l="1"/>
  <c r="I38"/>
  <c r="U38" s="1"/>
  <c r="I62"/>
  <c r="U62" s="1"/>
  <c r="F59" l="1"/>
  <c r="H59" s="1"/>
  <c r="F57"/>
  <c r="I57" l="1"/>
  <c r="J57"/>
  <c r="F56"/>
  <c r="I52"/>
  <c r="U52" s="1"/>
  <c r="H52"/>
  <c r="F53"/>
  <c r="F47"/>
  <c r="H47" s="1"/>
  <c r="F48"/>
  <c r="U34"/>
  <c r="H19"/>
  <c r="H20"/>
  <c r="U51"/>
  <c r="H57"/>
  <c r="J48" l="1"/>
  <c r="H56"/>
  <c r="I56"/>
  <c r="U56" s="1"/>
  <c r="U57"/>
  <c r="H36"/>
  <c r="U48" l="1"/>
  <c r="H74"/>
  <c r="I53"/>
  <c r="U53" s="1"/>
  <c r="U50"/>
  <c r="U49"/>
  <c r="U40"/>
  <c r="C104" l="1"/>
  <c r="H97"/>
  <c r="F98"/>
  <c r="E81"/>
  <c r="H85" s="1"/>
  <c r="F79"/>
  <c r="H76"/>
  <c r="U77"/>
  <c r="F73"/>
  <c r="H73" s="1"/>
  <c r="F68"/>
  <c r="H68" s="1"/>
  <c r="F67"/>
  <c r="H67" s="1"/>
  <c r="F66"/>
  <c r="H66" s="1"/>
  <c r="F65"/>
  <c r="H65" s="1"/>
  <c r="F64"/>
  <c r="H64" s="1"/>
  <c r="F63"/>
  <c r="H63" s="1"/>
  <c r="H62"/>
  <c r="H61"/>
  <c r="H53"/>
  <c r="H51"/>
  <c r="F50"/>
  <c r="H50" s="1"/>
  <c r="F49"/>
  <c r="H49" s="1"/>
  <c r="F46"/>
  <c r="H46" s="1"/>
  <c r="F45"/>
  <c r="H45" s="1"/>
  <c r="F44"/>
  <c r="H44" s="1"/>
  <c r="F43"/>
  <c r="H43" s="1"/>
  <c r="H40"/>
  <c r="F39"/>
  <c r="H38"/>
  <c r="F37"/>
  <c r="F35"/>
  <c r="H34"/>
  <c r="F31"/>
  <c r="H30"/>
  <c r="H29"/>
  <c r="F28"/>
  <c r="H27"/>
  <c r="F26"/>
  <c r="H26" s="1"/>
  <c r="F25"/>
  <c r="H25" s="1"/>
  <c r="F24"/>
  <c r="H24" s="1"/>
  <c r="F21"/>
  <c r="H21" s="1"/>
  <c r="F18"/>
  <c r="H18" s="1"/>
  <c r="F17"/>
  <c r="H17" s="1"/>
  <c r="F16"/>
  <c r="F15"/>
  <c r="F14"/>
  <c r="H14" s="1"/>
  <c r="E13"/>
  <c r="F13" s="1"/>
  <c r="J13" s="1"/>
  <c r="F12"/>
  <c r="J12" s="1"/>
  <c r="F11"/>
  <c r="I11" l="1"/>
  <c r="I15"/>
  <c r="H31"/>
  <c r="I31"/>
  <c r="H35"/>
  <c r="J35"/>
  <c r="I35"/>
  <c r="U35" s="1"/>
  <c r="I79"/>
  <c r="J16"/>
  <c r="I16"/>
  <c r="U16" s="1"/>
  <c r="I28"/>
  <c r="H37"/>
  <c r="J37"/>
  <c r="I37"/>
  <c r="H39"/>
  <c r="J39"/>
  <c r="I39"/>
  <c r="U39" s="1"/>
  <c r="H79"/>
  <c r="U79"/>
  <c r="U80" s="1"/>
  <c r="H28"/>
  <c r="U28"/>
  <c r="H48"/>
  <c r="H54" s="1"/>
  <c r="U54"/>
  <c r="H11"/>
  <c r="H12"/>
  <c r="U12"/>
  <c r="H16"/>
  <c r="H13"/>
  <c r="U13"/>
  <c r="H15"/>
  <c r="U15"/>
  <c r="H32"/>
  <c r="H80"/>
  <c r="F81"/>
  <c r="H41"/>
  <c r="H77"/>
  <c r="I81" l="1"/>
  <c r="U37"/>
  <c r="U41" s="1"/>
  <c r="U31"/>
  <c r="U32" s="1"/>
  <c r="J98"/>
  <c r="U22"/>
  <c r="H22"/>
  <c r="H83" s="1"/>
  <c r="H86" s="1"/>
  <c r="G98" s="1"/>
  <c r="H98" s="1"/>
  <c r="H81"/>
  <c r="H82" s="1"/>
  <c r="U81"/>
  <c r="U82" s="1"/>
  <c r="U83" l="1"/>
  <c r="U98" s="1"/>
  <c r="I98"/>
  <c r="C107" l="1"/>
  <c r="C103"/>
</calcChain>
</file>

<file path=xl/sharedStrings.xml><?xml version="1.0" encoding="utf-8"?>
<sst xmlns="http://schemas.openxmlformats.org/spreadsheetml/2006/main" count="289" uniqueCount="214">
  <si>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</si>
  <si>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</si>
  <si>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</si>
  <si>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</si>
  <si>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</si>
  <si>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</si>
  <si>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</si>
  <si>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</si>
  <si>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</si>
  <si>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</si>
  <si>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</si>
  <si>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</si>
  <si>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</si>
  <si>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</si>
  <si>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</si>
  <si>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</si>
  <si>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</si>
  <si>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</si>
  <si>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</si>
  <si>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</si>
  <si>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</si>
  <si>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</si>
  <si>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</si>
  <si>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</si>
  <si>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</si>
  <si>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</si>
  <si>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</si>
  <si>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</si>
  <si>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</si>
  <si>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</si>
  <si>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</si>
  <si>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</si>
  <si>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</si>
  <si>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</si>
  <si>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</si>
  <si>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</si>
  <si>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</si>
  <si>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</si>
  <si>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</si>
  <si>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</si>
  <si>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</si>
  <si>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</si>
  <si>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</si>
  <si>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</si>
  <si>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</si>
  <si>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 xml:space="preserve">Сдвигание снега в дни снегопада </t>
  </si>
  <si>
    <t>1000 м2</t>
  </si>
  <si>
    <t>50 раз за сезон</t>
  </si>
  <si>
    <t>155 раз за сезон</t>
  </si>
  <si>
    <t>45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</si>
  <si>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</si>
  <si>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</si>
  <si>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</si>
  <si>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</si>
  <si>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</si>
  <si>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</si>
  <si>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</si>
  <si>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</si>
  <si>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</si>
  <si>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</si>
  <si>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</si>
  <si>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</si>
  <si>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</si>
  <si>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</si>
  <si>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</si>
  <si>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</si>
  <si>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>Чердак, подвал, технический этаж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</si>
  <si>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</si>
  <si>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</si>
  <si>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</si>
  <si>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</si>
  <si>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</si>
  <si>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</si>
  <si>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</si>
  <si>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</si>
  <si>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</si>
  <si>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</si>
  <si>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</si>
  <si>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</si>
  <si>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</si>
  <si>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выключателей</t>
  </si>
  <si>
    <t>Смена патронов</t>
  </si>
  <si>
    <t>Замена ламп ДРЛ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</si>
  <si>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</si>
  <si>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</si>
  <si>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</si>
  <si>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</si>
  <si>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</si>
  <si>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</si>
  <si>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</si>
  <si>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</si>
  <si>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</si>
  <si>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</si>
  <si>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</si>
  <si>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</si>
  <si>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</si>
  <si>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</si>
  <si>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</si>
  <si>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</si>
  <si>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1 раз в месяц</t>
  </si>
  <si>
    <t>3 раза в год</t>
  </si>
  <si>
    <t>Вода для промывки СО</t>
  </si>
  <si>
    <t>Спуск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</si>
  <si>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</si>
  <si>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</si>
  <si>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Вывоз снега с придомовой территории</t>
  </si>
  <si>
    <t>водосток</t>
  </si>
  <si>
    <t>Влажная протирка подоконников</t>
  </si>
  <si>
    <t>Влажная протирка шкафов для щитов и слаботочн.устройств</t>
  </si>
  <si>
    <t>Осмотр шиферной  кровли</t>
  </si>
  <si>
    <t>Осмотр деревянных конструкций стропил</t>
  </si>
  <si>
    <t>100 м3</t>
  </si>
  <si>
    <t>2-1-1а</t>
  </si>
  <si>
    <t>Проверка дымоходов</t>
  </si>
  <si>
    <t>Очистка оголовков дымоходов и вентканалов от наледи и снега (по необходимости) зимой</t>
  </si>
  <si>
    <t>6 раз за сезон</t>
  </si>
  <si>
    <t>Очистка от мусора</t>
  </si>
  <si>
    <t>10 шт.</t>
  </si>
  <si>
    <t>Смена ламп накаливания</t>
  </si>
  <si>
    <t>12 раз за сезон</t>
  </si>
  <si>
    <t xml:space="preserve">2 раза в месяц 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</si>
  <si>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</si>
  <si>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</si>
  <si>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</si>
  <si>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</si>
  <si>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</si>
  <si>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</si>
  <si>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</si>
  <si>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</si>
  <si>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</si>
  <si>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</si>
  <si>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</si>
  <si>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</si>
  <si>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3 этажа, 3 подъезда</t>
  </si>
  <si>
    <t>Стоимость (руб.)</t>
  </si>
  <si>
    <t>договор</t>
  </si>
  <si>
    <t>ТО внутридомового газ.оборудования</t>
  </si>
  <si>
    <t>Баланс выполненных работ на 01.01.2016 г. ( -долг за предприятием, +долг за населением)</t>
  </si>
  <si>
    <t>Смена дверных приборов (замки навесные)</t>
  </si>
  <si>
    <t>калькуляция</t>
  </si>
  <si>
    <t>Работа автовышки</t>
  </si>
  <si>
    <t>маш/час</t>
  </si>
  <si>
    <t>С учетом показателя инфляции (К=1,094)</t>
  </si>
  <si>
    <t>Демонтаж радиаторов весом до 80 кг</t>
  </si>
  <si>
    <t>1 шт</t>
  </si>
  <si>
    <t>Подключение и отключение сварочного аппарата</t>
  </si>
  <si>
    <t xml:space="preserve">смета </t>
  </si>
  <si>
    <t>тыс.руб.</t>
  </si>
  <si>
    <t>Установка скамейки (III под.)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</si>
  <si>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</si>
  <si>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</si>
  <si>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</si>
  <si>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</si>
  <si>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</si>
  <si>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</si>
  <si>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</si>
  <si>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</si>
  <si>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</si>
  <si>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Внеплановый осмотр электросетей, армазуры и электрооборудования на лестничных клетках</t>
  </si>
  <si>
    <t>Просроченная задолженность по Вашему дому по статье "Содержание и текущий ремонт МКД" на конец июля 2016 г., составляет:</t>
  </si>
  <si>
    <t>Баланс выполненных работ на 01.08.2016 г. ( -долг за предприятием, +долг за населением)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</si>
  <si>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</si>
  <si>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</si>
  <si>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</si>
  <si>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</si>
  <si>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</si>
  <si>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</si>
  <si>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</si>
  <si>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</si>
  <si>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</si>
  <si>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</si>
  <si>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</si>
  <si>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</si>
  <si>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</si>
  <si>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</si>
  <si>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</si>
  <si>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</si>
  <si>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</si>
  <si>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</si>
  <si>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</si>
  <si>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</si>
  <si>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</si>
  <si>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</si>
  <si>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</si>
  <si>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</si>
  <si>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</si>
  <si>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</si>
  <si>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</si>
  <si>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</si>
  <si>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>ТЕР 42-003</t>
  </si>
  <si>
    <t>пр.ТЕР 54-041</t>
  </si>
  <si>
    <t xml:space="preserve">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</si>
  <si>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</si>
  <si>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</si>
  <si>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</si>
  <si>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</si>
  <si>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</si>
  <si>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</si>
  <si>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</si>
  <si>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</si>
  <si>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33-025</t>
  </si>
  <si>
    <t>ТЕР 33-028</t>
  </si>
  <si>
    <t>ТЕР 33-049</t>
  </si>
  <si>
    <t>ТЕР 33-043</t>
  </si>
  <si>
    <t>ТЕР 15-051</t>
  </si>
  <si>
    <t>пр.ТЕР 31-022</t>
  </si>
  <si>
    <t>ТЕР 33-060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</si>
  <si>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Нефтяников, 7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январь-июль 2016 года</t>
    </r>
  </si>
  <si>
    <t>Начислено за содержание и текущий ремонт за январь-июль 2016  г.</t>
  </si>
  <si>
    <t>Выполнено работ по содержанию за январь-июль 2016 г.</t>
  </si>
  <si>
    <t>Выполнено работ по текущему ремонту за январь-июль 2016 г.</t>
  </si>
  <si>
    <t>Фактически оплачено за январь-июль 2016 г.</t>
  </si>
  <si>
    <t>Влажное подметание лестничных клеток 2-3 этажа</t>
  </si>
  <si>
    <t>Мытье лестничных  площадок и маршей 1-3 этаж.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</si>
</sst>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color indexed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3" fillId="4" borderId="3" xfId="0" applyNumberFormat="1" applyFont="1" applyFill="1" applyBorder="1" applyAlignment="1">
      <alignment horizontal="center" vertical="center" wrapText="1"/>
    </xf>
    <xf numFmtId="4" fontId="1" fillId="4" borderId="1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4" fontId="14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4" fontId="3" fillId="12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0" borderId="12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7" fillId="0" borderId="0" xfId="0" applyFont="1" applyAlignment="1"/>
    <xf numFmtId="0" fontId="1" fillId="13" borderId="3" xfId="0" applyNumberFormat="1" applyFont="1" applyFill="1" applyBorder="1" applyAlignment="1" applyProtection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19" fillId="13" borderId="3" xfId="0" applyFont="1" applyFill="1" applyBorder="1" applyAlignment="1">
      <alignment horizontal="center" vertical="center" wrapText="1"/>
    </xf>
    <xf numFmtId="0" fontId="1" fillId="13" borderId="3" xfId="0" applyNumberFormat="1" applyFont="1" applyFill="1" applyBorder="1" applyAlignment="1" applyProtection="1">
      <alignment horizontal="left" vertical="center"/>
    </xf>
    <xf numFmtId="4" fontId="1" fillId="4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vertical="center"/>
    </xf>
    <xf numFmtId="4" fontId="1" fillId="2" borderId="2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20" xfId="0" applyFont="1" applyBorder="1"/>
    <xf numFmtId="0" fontId="0" fillId="4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Z111"/>
  <sheetViews>
    <sheetView tabSelected="1" view="pageBreakPreview" zoomScaleNormal="75" zoomScaleSheetLayoutView="100" workbookViewId="0">
      <pane ySplit="7" topLeftCell="A8" activePane="bottomLeft" state="frozen"/>
      <selection activeCell="B1" sqref="B1"/>
      <selection pane="bottomLeft" activeCell="L13" sqref="L13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15" width="9.85546875" customWidth="1"/>
    <col min="16" max="20" width="9.85546875" hidden="1" customWidth="1"/>
    <col min="21" max="21" width="12.28515625" customWidth="1"/>
  </cols>
  <sheetData>
    <row r="1" spans="1:21" ht="14.25" customHeight="1"/>
    <row r="3" spans="1:21" ht="18">
      <c r="A3" s="131"/>
      <c r="B3" s="156" t="s">
        <v>0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13"/>
      <c r="N3" s="113"/>
      <c r="O3" s="113"/>
      <c r="P3" s="113"/>
      <c r="Q3" s="113"/>
      <c r="R3" s="113"/>
      <c r="S3" s="113"/>
      <c r="T3" s="113"/>
      <c r="U3" s="113"/>
    </row>
    <row r="4" spans="1:21" ht="34.5" customHeight="1">
      <c r="A4" s="113"/>
      <c r="B4" s="157" t="s">
        <v>1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13"/>
      <c r="N4" s="113"/>
      <c r="O4" s="113"/>
      <c r="P4" s="113"/>
      <c r="Q4" s="113"/>
      <c r="R4" s="113"/>
      <c r="S4" s="113"/>
      <c r="T4" s="113"/>
      <c r="U4" s="113"/>
    </row>
    <row r="5" spans="1:21" ht="18">
      <c r="A5" s="113"/>
      <c r="B5" s="157" t="s">
        <v>207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13"/>
      <c r="N5" s="113"/>
      <c r="O5" s="113"/>
      <c r="P5" s="113"/>
      <c r="Q5" s="113"/>
      <c r="R5" s="113"/>
      <c r="S5" s="113"/>
      <c r="T5" s="113"/>
      <c r="U5" s="113"/>
    </row>
    <row r="6" spans="1:21" ht="15">
      <c r="A6" s="113"/>
      <c r="B6" s="158" t="s">
        <v>133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13"/>
      <c r="N6" s="113"/>
      <c r="O6" s="113"/>
      <c r="P6" s="113"/>
      <c r="Q6" s="113"/>
      <c r="R6" s="113"/>
      <c r="S6" s="113"/>
      <c r="T6" s="113"/>
      <c r="U6" s="113"/>
    </row>
    <row r="7" spans="1:21" ht="48.75" customHeight="1">
      <c r="A7" s="142" t="s">
        <v>2</v>
      </c>
      <c r="B7" s="143" t="s">
        <v>3</v>
      </c>
      <c r="C7" s="143" t="s">
        <v>4</v>
      </c>
      <c r="D7" s="143" t="s">
        <v>5</v>
      </c>
      <c r="E7" s="143" t="s">
        <v>6</v>
      </c>
      <c r="F7" s="143" t="s">
        <v>7</v>
      </c>
      <c r="G7" s="143" t="s">
        <v>8</v>
      </c>
      <c r="H7" s="144" t="s">
        <v>9</v>
      </c>
      <c r="I7" s="26" t="s">
        <v>121</v>
      </c>
      <c r="J7" s="26" t="s">
        <v>122</v>
      </c>
      <c r="K7" s="26" t="s">
        <v>123</v>
      </c>
      <c r="L7" s="26" t="s">
        <v>124</v>
      </c>
      <c r="M7" s="26" t="s">
        <v>125</v>
      </c>
      <c r="N7" s="26" t="s">
        <v>126</v>
      </c>
      <c r="O7" s="26" t="s">
        <v>127</v>
      </c>
      <c r="P7" s="26" t="s">
        <v>128</v>
      </c>
      <c r="Q7" s="26" t="s">
        <v>129</v>
      </c>
      <c r="R7" s="26" t="s">
        <v>130</v>
      </c>
      <c r="S7" s="26" t="s">
        <v>131</v>
      </c>
      <c r="T7" s="26" t="s">
        <v>132</v>
      </c>
      <c r="U7" s="26" t="s">
        <v>134</v>
      </c>
    </row>
    <row r="8" spans="1:21">
      <c r="A8" s="145">
        <v>1</v>
      </c>
      <c r="B8" s="8">
        <v>2</v>
      </c>
      <c r="C8" s="27">
        <v>3</v>
      </c>
      <c r="D8" s="8">
        <v>4</v>
      </c>
      <c r="E8" s="8">
        <v>5</v>
      </c>
      <c r="F8" s="27">
        <v>6</v>
      </c>
      <c r="G8" s="27">
        <v>7</v>
      </c>
      <c r="H8" s="28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</row>
    <row r="9" spans="1:21" ht="38.25">
      <c r="A9" s="145"/>
      <c r="B9" s="10" t="s">
        <v>10</v>
      </c>
      <c r="C9" s="27"/>
      <c r="D9" s="11"/>
      <c r="E9" s="11"/>
      <c r="F9" s="27"/>
      <c r="G9" s="27"/>
      <c r="H9" s="30"/>
      <c r="I9" s="31"/>
      <c r="J9" s="31"/>
      <c r="K9" s="31"/>
      <c r="L9" s="31"/>
      <c r="M9" s="32"/>
      <c r="N9" s="33"/>
      <c r="O9" s="33"/>
      <c r="P9" s="33"/>
      <c r="Q9" s="33"/>
      <c r="R9" s="33"/>
      <c r="S9" s="33"/>
      <c r="T9" s="33"/>
      <c r="U9" s="33"/>
    </row>
    <row r="10" spans="1:21">
      <c r="A10" s="145"/>
      <c r="B10" s="10" t="s">
        <v>11</v>
      </c>
      <c r="C10" s="27"/>
      <c r="D10" s="11"/>
      <c r="E10" s="11"/>
      <c r="F10" s="27"/>
      <c r="G10" s="27"/>
      <c r="H10" s="30"/>
      <c r="I10" s="31"/>
      <c r="J10" s="31"/>
      <c r="K10" s="31"/>
      <c r="L10" s="31"/>
      <c r="M10" s="32"/>
      <c r="N10" s="33"/>
      <c r="O10" s="33"/>
      <c r="P10" s="33"/>
      <c r="Q10" s="33"/>
      <c r="R10" s="33"/>
      <c r="S10" s="33"/>
      <c r="T10" s="33"/>
      <c r="U10" s="33"/>
    </row>
    <row r="11" spans="1:21" ht="25.5">
      <c r="A11" s="145" t="s">
        <v>161</v>
      </c>
      <c r="B11" s="11" t="s">
        <v>12</v>
      </c>
      <c r="C11" s="27" t="s">
        <v>13</v>
      </c>
      <c r="D11" s="11" t="s">
        <v>14</v>
      </c>
      <c r="E11" s="34">
        <v>54.3</v>
      </c>
      <c r="F11" s="35">
        <f>SUM(E11*156/100)</f>
        <v>84.707999999999998</v>
      </c>
      <c r="G11" s="35">
        <v>175.38</v>
      </c>
      <c r="H11" s="36">
        <f t="shared" ref="H11:H21" si="0">SUM(F11*G11/1000)</f>
        <v>14.856089039999999</v>
      </c>
      <c r="I11" s="37">
        <f>F11/12*G11</f>
        <v>1238.0074199999999</v>
      </c>
      <c r="J11" s="37">
        <f>F11/12*G11</f>
        <v>1238.0074199999999</v>
      </c>
      <c r="K11" s="37">
        <f>F11/12*G11</f>
        <v>1238.0074199999999</v>
      </c>
      <c r="L11" s="37">
        <f>F11/12*G11</f>
        <v>1238.0074199999999</v>
      </c>
      <c r="M11" s="37">
        <f>F11/12*G11</f>
        <v>1238.0074199999999</v>
      </c>
      <c r="N11" s="37">
        <f>F11/12*G11</f>
        <v>1238.0074199999999</v>
      </c>
      <c r="O11" s="37">
        <f>F11/12*G11</f>
        <v>1238.0074199999999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f>SUM(I11:T11)</f>
        <v>8666.0519399999994</v>
      </c>
    </row>
    <row r="12" spans="1:21" ht="25.5">
      <c r="A12" s="145" t="s">
        <v>161</v>
      </c>
      <c r="B12" s="11" t="s">
        <v>212</v>
      </c>
      <c r="C12" s="27" t="s">
        <v>13</v>
      </c>
      <c r="D12" s="11" t="s">
        <v>15</v>
      </c>
      <c r="E12" s="34">
        <v>108.4</v>
      </c>
      <c r="F12" s="35">
        <f>SUM(E12*104/100)</f>
        <v>112.736</v>
      </c>
      <c r="G12" s="35">
        <v>175.38</v>
      </c>
      <c r="H12" s="36">
        <f t="shared" si="0"/>
        <v>19.77163968</v>
      </c>
      <c r="I12" s="37">
        <f>F12/12*G12</f>
        <v>1647.6366400000002</v>
      </c>
      <c r="J12" s="37">
        <f>F12/12*G12</f>
        <v>1647.6366400000002</v>
      </c>
      <c r="K12" s="37">
        <f t="shared" ref="K12:K13" si="1">F12/12*G12</f>
        <v>1647.6366400000002</v>
      </c>
      <c r="L12" s="37">
        <f t="shared" ref="L12:L13" si="2">F12/12*G12</f>
        <v>1647.6366400000002</v>
      </c>
      <c r="M12" s="37">
        <f t="shared" ref="M12:M16" si="3">F12/12*G12</f>
        <v>1647.6366400000002</v>
      </c>
      <c r="N12" s="37">
        <f t="shared" ref="N12:N16" si="4">F12/12*G12</f>
        <v>1647.6366400000002</v>
      </c>
      <c r="O12" s="37">
        <f t="shared" ref="O12:O13" si="5">F12/12*G12</f>
        <v>1647.6366400000002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f t="shared" ref="U12:U21" si="6">SUM(I12:T12)</f>
        <v>11533.456480000003</v>
      </c>
    </row>
    <row r="13" spans="1:21" ht="25.5">
      <c r="A13" s="145" t="s">
        <v>162</v>
      </c>
      <c r="B13" s="11" t="s">
        <v>213</v>
      </c>
      <c r="C13" s="27" t="s">
        <v>13</v>
      </c>
      <c r="D13" s="11" t="s">
        <v>16</v>
      </c>
      <c r="E13" s="34">
        <f>SUM(E11+E12)</f>
        <v>162.69999999999999</v>
      </c>
      <c r="F13" s="35">
        <f>SUM(E13*24/100)</f>
        <v>39.047999999999995</v>
      </c>
      <c r="G13" s="35">
        <v>504.5</v>
      </c>
      <c r="H13" s="36">
        <f t="shared" si="0"/>
        <v>19.699715999999995</v>
      </c>
      <c r="I13" s="37">
        <f>F13/12*G13</f>
        <v>1641.6429999999998</v>
      </c>
      <c r="J13" s="37">
        <f>F13/12*G13</f>
        <v>1641.6429999999998</v>
      </c>
      <c r="K13" s="37">
        <f t="shared" si="1"/>
        <v>1641.6429999999998</v>
      </c>
      <c r="L13" s="37">
        <f t="shared" si="2"/>
        <v>1641.6429999999998</v>
      </c>
      <c r="M13" s="37">
        <f t="shared" si="3"/>
        <v>1641.6429999999998</v>
      </c>
      <c r="N13" s="37">
        <f t="shared" si="4"/>
        <v>1641.6429999999998</v>
      </c>
      <c r="O13" s="37">
        <f t="shared" si="5"/>
        <v>1641.6429999999998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f t="shared" si="6"/>
        <v>11491.500999999998</v>
      </c>
    </row>
    <row r="14" spans="1:21">
      <c r="A14" s="145" t="s">
        <v>163</v>
      </c>
      <c r="B14" s="11" t="s">
        <v>17</v>
      </c>
      <c r="C14" s="27" t="s">
        <v>18</v>
      </c>
      <c r="D14" s="11" t="s">
        <v>98</v>
      </c>
      <c r="E14" s="34">
        <v>15.3</v>
      </c>
      <c r="F14" s="35">
        <f>SUM(E14/10)</f>
        <v>1.53</v>
      </c>
      <c r="G14" s="35">
        <v>170.16</v>
      </c>
      <c r="H14" s="36">
        <f t="shared" si="0"/>
        <v>0.26034480000000004</v>
      </c>
      <c r="I14" s="37">
        <v>0</v>
      </c>
      <c r="J14" s="37">
        <v>0</v>
      </c>
      <c r="K14" s="37">
        <v>0</v>
      </c>
      <c r="L14" s="37">
        <v>0</v>
      </c>
      <c r="M14" s="37">
        <f>F14/2*G14</f>
        <v>130.17240000000001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f t="shared" si="6"/>
        <v>130.17240000000001</v>
      </c>
    </row>
    <row r="15" spans="1:21">
      <c r="A15" s="145" t="s">
        <v>164</v>
      </c>
      <c r="B15" s="11" t="s">
        <v>19</v>
      </c>
      <c r="C15" s="27" t="s">
        <v>13</v>
      </c>
      <c r="D15" s="11" t="s">
        <v>99</v>
      </c>
      <c r="E15" s="34">
        <v>19.62</v>
      </c>
      <c r="F15" s="35">
        <f>SUM(E15*12/100)</f>
        <v>2.3544</v>
      </c>
      <c r="G15" s="35">
        <v>217.88</v>
      </c>
      <c r="H15" s="36">
        <f t="shared" si="0"/>
        <v>0.51297667199999997</v>
      </c>
      <c r="I15" s="37">
        <f>F15/12*G15</f>
        <v>42.748056000000005</v>
      </c>
      <c r="J15" s="37">
        <f>F15/12*G15</f>
        <v>42.748056000000005</v>
      </c>
      <c r="K15" s="37">
        <f>F15/12*G15</f>
        <v>42.748056000000005</v>
      </c>
      <c r="L15" s="37">
        <f>F15/12*G15</f>
        <v>42.748056000000005</v>
      </c>
      <c r="M15" s="37">
        <f t="shared" si="3"/>
        <v>42.748056000000005</v>
      </c>
      <c r="N15" s="37">
        <f>F15/12*G15</f>
        <v>42.748056000000005</v>
      </c>
      <c r="O15" s="37">
        <f>F15/12*G15</f>
        <v>42.748056000000005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f t="shared" si="6"/>
        <v>299.23639200000008</v>
      </c>
    </row>
    <row r="16" spans="1:21">
      <c r="A16" s="145" t="s">
        <v>165</v>
      </c>
      <c r="B16" s="11" t="s">
        <v>20</v>
      </c>
      <c r="C16" s="27" t="s">
        <v>13</v>
      </c>
      <c r="D16" s="11" t="s">
        <v>99</v>
      </c>
      <c r="E16" s="34">
        <v>8.68</v>
      </c>
      <c r="F16" s="35">
        <f>SUM(E16*12/100)</f>
        <v>1.0415999999999999</v>
      </c>
      <c r="G16" s="35">
        <v>216.12</v>
      </c>
      <c r="H16" s="36">
        <f t="shared" si="0"/>
        <v>0.22511059199999997</v>
      </c>
      <c r="I16" s="37">
        <f>F16/12*G16</f>
        <v>18.759215999999999</v>
      </c>
      <c r="J16" s="37">
        <f>F16/12*G16</f>
        <v>18.759215999999999</v>
      </c>
      <c r="K16" s="37">
        <f>F16/12*G16</f>
        <v>18.759215999999999</v>
      </c>
      <c r="L16" s="37">
        <f>F16/12*G16</f>
        <v>18.759215999999999</v>
      </c>
      <c r="M16" s="37">
        <f t="shared" si="3"/>
        <v>18.759215999999999</v>
      </c>
      <c r="N16" s="37">
        <f t="shared" si="4"/>
        <v>18.759215999999999</v>
      </c>
      <c r="O16" s="37">
        <f>F16/12*G16</f>
        <v>18.759215999999999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f t="shared" si="6"/>
        <v>131.31451199999998</v>
      </c>
    </row>
    <row r="17" spans="1:21">
      <c r="A17" s="145" t="s">
        <v>166</v>
      </c>
      <c r="B17" s="11" t="s">
        <v>21</v>
      </c>
      <c r="C17" s="27" t="s">
        <v>22</v>
      </c>
      <c r="D17" s="11" t="s">
        <v>98</v>
      </c>
      <c r="E17" s="34">
        <v>215</v>
      </c>
      <c r="F17" s="35">
        <f>SUM(E17/100)</f>
        <v>2.15</v>
      </c>
      <c r="G17" s="35">
        <v>269.26</v>
      </c>
      <c r="H17" s="36">
        <f t="shared" si="0"/>
        <v>0.57890900000000001</v>
      </c>
      <c r="I17" s="37">
        <v>0</v>
      </c>
      <c r="J17" s="37">
        <v>0</v>
      </c>
      <c r="K17" s="37">
        <v>0</v>
      </c>
      <c r="L17" s="37">
        <v>0</v>
      </c>
      <c r="M17" s="37">
        <f>F17*G17</f>
        <v>578.90899999999999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f t="shared" si="6"/>
        <v>578.90899999999999</v>
      </c>
    </row>
    <row r="18" spans="1:21">
      <c r="A18" s="145" t="s">
        <v>167</v>
      </c>
      <c r="B18" s="11" t="s">
        <v>23</v>
      </c>
      <c r="C18" s="27" t="s">
        <v>22</v>
      </c>
      <c r="D18" s="11" t="s">
        <v>98</v>
      </c>
      <c r="E18" s="39">
        <v>17.64</v>
      </c>
      <c r="F18" s="35">
        <f>SUM(E18/100)</f>
        <v>0.1764</v>
      </c>
      <c r="G18" s="35">
        <v>44.29</v>
      </c>
      <c r="H18" s="36">
        <f t="shared" si="0"/>
        <v>7.8127560000000006E-3</v>
      </c>
      <c r="I18" s="37">
        <v>0</v>
      </c>
      <c r="J18" s="37">
        <v>0</v>
      </c>
      <c r="K18" s="37">
        <v>0</v>
      </c>
      <c r="L18" s="37">
        <v>0</v>
      </c>
      <c r="M18" s="37">
        <f>F18*G18</f>
        <v>7.8127560000000003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f t="shared" si="6"/>
        <v>7.8127560000000003</v>
      </c>
    </row>
    <row r="19" spans="1:21">
      <c r="A19" s="145" t="s">
        <v>168</v>
      </c>
      <c r="B19" s="11" t="s">
        <v>107</v>
      </c>
      <c r="C19" s="27" t="s">
        <v>22</v>
      </c>
      <c r="D19" s="11" t="s">
        <v>98</v>
      </c>
      <c r="E19" s="40">
        <v>4.5</v>
      </c>
      <c r="F19" s="41">
        <v>0.05</v>
      </c>
      <c r="G19" s="35">
        <v>398.72</v>
      </c>
      <c r="H19" s="36">
        <f>F19*G19/1000</f>
        <v>1.9936000000000002E-2</v>
      </c>
      <c r="I19" s="37">
        <v>0</v>
      </c>
      <c r="J19" s="37">
        <v>0</v>
      </c>
      <c r="K19" s="37">
        <v>0</v>
      </c>
      <c r="L19" s="37">
        <v>0</v>
      </c>
      <c r="M19" s="37">
        <f>F19*G19</f>
        <v>19.936000000000003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f t="shared" si="6"/>
        <v>19.936000000000003</v>
      </c>
    </row>
    <row r="20" spans="1:21" ht="25.5">
      <c r="A20" s="145" t="s">
        <v>169</v>
      </c>
      <c r="B20" s="11" t="s">
        <v>108</v>
      </c>
      <c r="C20" s="27" t="s">
        <v>22</v>
      </c>
      <c r="D20" s="11" t="s">
        <v>98</v>
      </c>
      <c r="E20" s="39">
        <v>9.4499999999999993</v>
      </c>
      <c r="F20" s="35">
        <v>0.09</v>
      </c>
      <c r="G20" s="35">
        <v>216.12</v>
      </c>
      <c r="H20" s="36">
        <f>F20*G20/1000</f>
        <v>1.9450800000000001E-2</v>
      </c>
      <c r="I20" s="37">
        <v>0</v>
      </c>
      <c r="J20" s="37">
        <v>0</v>
      </c>
      <c r="K20" s="37">
        <v>0</v>
      </c>
      <c r="L20" s="37">
        <v>0</v>
      </c>
      <c r="M20" s="37">
        <f>F20*G20</f>
        <v>19.450800000000001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f t="shared" si="6"/>
        <v>19.450800000000001</v>
      </c>
    </row>
    <row r="21" spans="1:21">
      <c r="A21" s="145" t="s">
        <v>170</v>
      </c>
      <c r="B21" s="11" t="s">
        <v>24</v>
      </c>
      <c r="C21" s="27" t="s">
        <v>22</v>
      </c>
      <c r="D21" s="11" t="s">
        <v>98</v>
      </c>
      <c r="E21" s="34">
        <v>14.4</v>
      </c>
      <c r="F21" s="35">
        <f>SUM(E21/100)</f>
        <v>0.14400000000000002</v>
      </c>
      <c r="G21" s="35">
        <v>520.79999999999995</v>
      </c>
      <c r="H21" s="36">
        <f t="shared" si="0"/>
        <v>7.4995199999999998E-2</v>
      </c>
      <c r="I21" s="37">
        <v>0</v>
      </c>
      <c r="J21" s="37">
        <v>0</v>
      </c>
      <c r="K21" s="37">
        <v>0</v>
      </c>
      <c r="L21" s="37">
        <v>0</v>
      </c>
      <c r="M21" s="37">
        <f>F21*G21</f>
        <v>74.995199999999997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f t="shared" si="6"/>
        <v>74.995199999999997</v>
      </c>
    </row>
    <row r="22" spans="1:21" s="19" customFormat="1">
      <c r="A22" s="146"/>
      <c r="B22" s="20" t="s">
        <v>25</v>
      </c>
      <c r="C22" s="42"/>
      <c r="D22" s="20"/>
      <c r="E22" s="43"/>
      <c r="F22" s="44"/>
      <c r="G22" s="44"/>
      <c r="H22" s="45">
        <f>SUM(H11:H21)</f>
        <v>56.026980539999997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>
        <f>SUM(U11:U21)</f>
        <v>32952.836479999998</v>
      </c>
    </row>
    <row r="23" spans="1:21">
      <c r="A23" s="145"/>
      <c r="B23" s="12" t="s">
        <v>26</v>
      </c>
      <c r="C23" s="27"/>
      <c r="D23" s="11"/>
      <c r="E23" s="34"/>
      <c r="F23" s="35"/>
      <c r="G23" s="35"/>
      <c r="H23" s="36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</row>
    <row r="24" spans="1:21" ht="25.5" customHeight="1">
      <c r="A24" s="145" t="s">
        <v>171</v>
      </c>
      <c r="B24" s="11" t="s">
        <v>149</v>
      </c>
      <c r="C24" s="27" t="s">
        <v>28</v>
      </c>
      <c r="D24" s="11" t="s">
        <v>27</v>
      </c>
      <c r="E24" s="35">
        <v>547.23</v>
      </c>
      <c r="F24" s="35">
        <f>SUM(E24*52/1000)</f>
        <v>28.455959999999997</v>
      </c>
      <c r="G24" s="35">
        <v>155.88999999999999</v>
      </c>
      <c r="H24" s="36">
        <f t="shared" ref="H24:H31" si="7">SUM(F24*G24/1000)</f>
        <v>4.4359996043999992</v>
      </c>
      <c r="I24" s="37">
        <v>0</v>
      </c>
      <c r="J24" s="37">
        <v>0</v>
      </c>
      <c r="K24" s="37">
        <v>0</v>
      </c>
      <c r="L24" s="37">
        <v>0</v>
      </c>
      <c r="M24" s="37">
        <f>F24/6*G24</f>
        <v>739.33326739999995</v>
      </c>
      <c r="N24" s="37">
        <f>F24/6*G24</f>
        <v>739.33326739999995</v>
      </c>
      <c r="O24" s="37">
        <f>F24/6*G24</f>
        <v>739.33326739999995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f t="shared" ref="U24:U31" si="8">SUM(I24:T24)</f>
        <v>2217.9998022</v>
      </c>
    </row>
    <row r="25" spans="1:21" ht="38.25" customHeight="1">
      <c r="A25" s="145" t="s">
        <v>172</v>
      </c>
      <c r="B25" s="11" t="s">
        <v>150</v>
      </c>
      <c r="C25" s="27" t="s">
        <v>28</v>
      </c>
      <c r="D25" s="11" t="s">
        <v>29</v>
      </c>
      <c r="E25" s="35">
        <v>230.05</v>
      </c>
      <c r="F25" s="35">
        <f>SUM(E25*78/1000)</f>
        <v>17.943900000000003</v>
      </c>
      <c r="G25" s="35">
        <v>258.63</v>
      </c>
      <c r="H25" s="36">
        <f t="shared" si="7"/>
        <v>4.640830857000001</v>
      </c>
      <c r="I25" s="37">
        <v>0</v>
      </c>
      <c r="J25" s="37">
        <v>0</v>
      </c>
      <c r="K25" s="37">
        <v>0</v>
      </c>
      <c r="L25" s="37">
        <v>0</v>
      </c>
      <c r="M25" s="37">
        <f>F25/6*G25</f>
        <v>773.47180950000006</v>
      </c>
      <c r="N25" s="37">
        <f t="shared" ref="N25:N27" si="9">F25/6*G25</f>
        <v>773.47180950000006</v>
      </c>
      <c r="O25" s="37">
        <f>F25/6*G25</f>
        <v>773.47180950000006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f t="shared" si="8"/>
        <v>2320.4154285000004</v>
      </c>
    </row>
    <row r="26" spans="1:21">
      <c r="A26" s="145" t="s">
        <v>173</v>
      </c>
      <c r="B26" s="11" t="s">
        <v>30</v>
      </c>
      <c r="C26" s="27" t="s">
        <v>28</v>
      </c>
      <c r="D26" s="11" t="s">
        <v>31</v>
      </c>
      <c r="E26" s="35">
        <v>547.23</v>
      </c>
      <c r="F26" s="35">
        <f>SUM(E26/1000)</f>
        <v>0.54722999999999999</v>
      </c>
      <c r="G26" s="35">
        <v>3020.33</v>
      </c>
      <c r="H26" s="36">
        <f t="shared" si="7"/>
        <v>1.6528151859</v>
      </c>
      <c r="I26" s="37">
        <v>0</v>
      </c>
      <c r="J26" s="37">
        <v>0</v>
      </c>
      <c r="K26" s="37">
        <v>0</v>
      </c>
      <c r="L26" s="37">
        <v>0</v>
      </c>
      <c r="M26" s="37">
        <f>F26*G26</f>
        <v>1652.8151859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f t="shared" si="8"/>
        <v>1652.8151859</v>
      </c>
    </row>
    <row r="27" spans="1:21">
      <c r="A27" s="145" t="s">
        <v>174</v>
      </c>
      <c r="B27" s="11" t="s">
        <v>32</v>
      </c>
      <c r="C27" s="27" t="s">
        <v>33</v>
      </c>
      <c r="D27" s="11" t="s">
        <v>34</v>
      </c>
      <c r="E27" s="48">
        <v>0.33333333333333331</v>
      </c>
      <c r="F27" s="35">
        <f>155/3</f>
        <v>51.666666666666664</v>
      </c>
      <c r="G27" s="35">
        <v>56.69</v>
      </c>
      <c r="H27" s="36">
        <f>SUM(G27*155/3/1000)</f>
        <v>2.9289833333333331</v>
      </c>
      <c r="I27" s="37">
        <v>0</v>
      </c>
      <c r="J27" s="37">
        <v>0</v>
      </c>
      <c r="K27" s="37">
        <v>0</v>
      </c>
      <c r="L27" s="37">
        <v>0</v>
      </c>
      <c r="M27" s="37">
        <f>F27/6*G27</f>
        <v>488.16388888888883</v>
      </c>
      <c r="N27" s="37">
        <f t="shared" si="9"/>
        <v>488.16388888888883</v>
      </c>
      <c r="O27" s="37">
        <f>F27/6*G27</f>
        <v>488.16388888888883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f t="shared" si="8"/>
        <v>1464.4916666666666</v>
      </c>
    </row>
    <row r="28" spans="1:21" ht="12.75" customHeight="1">
      <c r="A28" s="145" t="s">
        <v>175</v>
      </c>
      <c r="B28" s="11" t="s">
        <v>35</v>
      </c>
      <c r="C28" s="27" t="s">
        <v>36</v>
      </c>
      <c r="D28" s="11" t="s">
        <v>37</v>
      </c>
      <c r="E28" s="49">
        <v>0.1</v>
      </c>
      <c r="F28" s="35">
        <f>SUM(E28*365)</f>
        <v>36.5</v>
      </c>
      <c r="G28" s="35">
        <v>147.03</v>
      </c>
      <c r="H28" s="36">
        <f t="shared" si="7"/>
        <v>5.3665950000000002</v>
      </c>
      <c r="I28" s="37">
        <f>F28/12*G28</f>
        <v>447.21625</v>
      </c>
      <c r="J28" s="37">
        <f>F28/12*G28</f>
        <v>447.21625</v>
      </c>
      <c r="K28" s="37">
        <f>F28/12*G28</f>
        <v>447.21625</v>
      </c>
      <c r="L28" s="37">
        <f>F28/12*G28</f>
        <v>447.21625</v>
      </c>
      <c r="M28" s="37">
        <f>F28/12*G28</f>
        <v>447.21625</v>
      </c>
      <c r="N28" s="37">
        <f>F28/12*G28</f>
        <v>447.21625</v>
      </c>
      <c r="O28" s="37">
        <f>F28/12*G28</f>
        <v>447.21625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f t="shared" si="8"/>
        <v>3130.5137500000001</v>
      </c>
    </row>
    <row r="29" spans="1:21" ht="12.75" customHeight="1">
      <c r="A29" s="145" t="s">
        <v>176</v>
      </c>
      <c r="B29" s="11" t="s">
        <v>151</v>
      </c>
      <c r="C29" s="27" t="s">
        <v>36</v>
      </c>
      <c r="D29" s="11" t="s">
        <v>38</v>
      </c>
      <c r="E29" s="34"/>
      <c r="F29" s="35">
        <v>2</v>
      </c>
      <c r="G29" s="35">
        <v>191.32</v>
      </c>
      <c r="H29" s="36">
        <f t="shared" si="7"/>
        <v>0.38263999999999998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f t="shared" si="8"/>
        <v>0</v>
      </c>
    </row>
    <row r="30" spans="1:21" ht="13.5" customHeight="1">
      <c r="A30" s="145" t="s">
        <v>139</v>
      </c>
      <c r="B30" s="11" t="s">
        <v>152</v>
      </c>
      <c r="C30" s="27" t="s">
        <v>39</v>
      </c>
      <c r="D30" s="11" t="s">
        <v>38</v>
      </c>
      <c r="E30" s="34"/>
      <c r="F30" s="35">
        <v>3</v>
      </c>
      <c r="G30" s="35">
        <v>1136.32</v>
      </c>
      <c r="H30" s="36">
        <f t="shared" si="7"/>
        <v>3.40896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f t="shared" si="8"/>
        <v>0</v>
      </c>
    </row>
    <row r="31" spans="1:21">
      <c r="A31" s="145"/>
      <c r="B31" s="50" t="s">
        <v>40</v>
      </c>
      <c r="C31" s="27" t="s">
        <v>41</v>
      </c>
      <c r="D31" s="50" t="s">
        <v>37</v>
      </c>
      <c r="E31" s="34">
        <v>1839.1</v>
      </c>
      <c r="F31" s="35">
        <f>SUM(E31*12)</f>
        <v>22069.199999999997</v>
      </c>
      <c r="G31" s="35">
        <v>5.47</v>
      </c>
      <c r="H31" s="36">
        <f t="shared" si="7"/>
        <v>120.71852399999997</v>
      </c>
      <c r="I31" s="37">
        <f>F31/12*G31</f>
        <v>10059.876999999999</v>
      </c>
      <c r="J31" s="37">
        <f>F31/12*G31</f>
        <v>10059.876999999999</v>
      </c>
      <c r="K31" s="37">
        <f>F31/12*G31</f>
        <v>10059.876999999999</v>
      </c>
      <c r="L31" s="37">
        <f>F31/12*G31</f>
        <v>10059.876999999999</v>
      </c>
      <c r="M31" s="37">
        <f>F31/12*G31</f>
        <v>10059.876999999999</v>
      </c>
      <c r="N31" s="37">
        <f>F31/12*G31</f>
        <v>10059.876999999999</v>
      </c>
      <c r="O31" s="37">
        <f t="shared" ref="O31" si="10">F31/12*G31</f>
        <v>10059.876999999999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f t="shared" si="8"/>
        <v>70419.138999999996</v>
      </c>
    </row>
    <row r="32" spans="1:21" s="19" customFormat="1">
      <c r="A32" s="146"/>
      <c r="B32" s="20" t="s">
        <v>25</v>
      </c>
      <c r="C32" s="42"/>
      <c r="D32" s="20"/>
      <c r="E32" s="43"/>
      <c r="F32" s="44"/>
      <c r="G32" s="44"/>
      <c r="H32" s="51">
        <f>SUM(H24:H31)</f>
        <v>143.5353479806333</v>
      </c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>
        <f>SUM(U24:U31)</f>
        <v>81205.374833266658</v>
      </c>
    </row>
    <row r="33" spans="1:21">
      <c r="A33" s="145"/>
      <c r="B33" s="12" t="s">
        <v>43</v>
      </c>
      <c r="C33" s="27"/>
      <c r="D33" s="11"/>
      <c r="E33" s="34"/>
      <c r="F33" s="35"/>
      <c r="G33" s="35"/>
      <c r="H33" s="36" t="s">
        <v>42</v>
      </c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</row>
    <row r="34" spans="1:21" ht="12.75" customHeight="1">
      <c r="A34" s="145" t="s">
        <v>139</v>
      </c>
      <c r="B34" s="13" t="s">
        <v>44</v>
      </c>
      <c r="C34" s="27" t="s">
        <v>39</v>
      </c>
      <c r="D34" s="11"/>
      <c r="E34" s="34"/>
      <c r="F34" s="35">
        <v>4</v>
      </c>
      <c r="G34" s="35">
        <v>1527.22</v>
      </c>
      <c r="H34" s="36">
        <f t="shared" ref="H34:H40" si="11">SUM(F34*G34/1000)</f>
        <v>6.1088800000000001</v>
      </c>
      <c r="I34" s="37">
        <f>F34/6*G34</f>
        <v>1018.1466666666666</v>
      </c>
      <c r="J34" s="37">
        <f>F34/6*G34</f>
        <v>1018.1466666666666</v>
      </c>
      <c r="K34" s="37">
        <f>F34/6*G34</f>
        <v>1018.1466666666666</v>
      </c>
      <c r="L34" s="37">
        <f>F34/6*G34</f>
        <v>1018.1466666666666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f t="shared" ref="U34:U40" si="12">SUM(I34:T34)</f>
        <v>4072.5866666666666</v>
      </c>
    </row>
    <row r="35" spans="1:21" s="1" customFormat="1">
      <c r="A35" s="147" t="s">
        <v>177</v>
      </c>
      <c r="B35" s="13" t="s">
        <v>45</v>
      </c>
      <c r="C35" s="52" t="s">
        <v>46</v>
      </c>
      <c r="D35" s="13" t="s">
        <v>47</v>
      </c>
      <c r="E35" s="53">
        <v>230.05</v>
      </c>
      <c r="F35" s="53">
        <f>SUM(E35*50/1000)</f>
        <v>11.5025</v>
      </c>
      <c r="G35" s="53">
        <v>2102.71</v>
      </c>
      <c r="H35" s="36">
        <f t="shared" si="11"/>
        <v>24.186421774999999</v>
      </c>
      <c r="I35" s="54">
        <f>F35/6*G35</f>
        <v>4031.0702958333331</v>
      </c>
      <c r="J35" s="54">
        <f>F35/6*G35</f>
        <v>4031.0702958333331</v>
      </c>
      <c r="K35" s="37">
        <f t="shared" ref="K35:K40" si="13">F35/6*G35</f>
        <v>4031.0702958333331</v>
      </c>
      <c r="L35" s="37">
        <f t="shared" ref="L35:L40" si="14">F35/6*G35</f>
        <v>4031.0702958333331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f t="shared" si="12"/>
        <v>16124.281183333333</v>
      </c>
    </row>
    <row r="36" spans="1:21">
      <c r="A36" s="145" t="s">
        <v>139</v>
      </c>
      <c r="B36" s="11" t="s">
        <v>105</v>
      </c>
      <c r="C36" s="27" t="s">
        <v>67</v>
      </c>
      <c r="D36" s="11" t="s">
        <v>38</v>
      </c>
      <c r="E36" s="34"/>
      <c r="F36" s="53">
        <v>0</v>
      </c>
      <c r="G36" s="35">
        <v>213.2</v>
      </c>
      <c r="H36" s="36">
        <f>G36*F36/1000</f>
        <v>0</v>
      </c>
      <c r="I36" s="37">
        <v>0</v>
      </c>
      <c r="J36" s="37">
        <v>0</v>
      </c>
      <c r="K36" s="37">
        <f t="shared" si="13"/>
        <v>0</v>
      </c>
      <c r="L36" s="37">
        <f t="shared" si="14"/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f t="shared" si="12"/>
        <v>0</v>
      </c>
    </row>
    <row r="37" spans="1:21" ht="25.5" customHeight="1">
      <c r="A37" s="145" t="s">
        <v>178</v>
      </c>
      <c r="B37" s="11" t="s">
        <v>153</v>
      </c>
      <c r="C37" s="27" t="s">
        <v>46</v>
      </c>
      <c r="D37" s="11" t="s">
        <v>48</v>
      </c>
      <c r="E37" s="35">
        <v>48.45</v>
      </c>
      <c r="F37" s="53">
        <f>SUM(E37*155/1000)</f>
        <v>7.5097500000000004</v>
      </c>
      <c r="G37" s="35">
        <v>350.75</v>
      </c>
      <c r="H37" s="36">
        <f t="shared" si="11"/>
        <v>2.6340448125000004</v>
      </c>
      <c r="I37" s="37">
        <f>F37/6*G37</f>
        <v>439.00746874999999</v>
      </c>
      <c r="J37" s="37">
        <f>F37/6*G37</f>
        <v>439.00746874999999</v>
      </c>
      <c r="K37" s="37">
        <f t="shared" si="13"/>
        <v>439.00746874999999</v>
      </c>
      <c r="L37" s="37">
        <f t="shared" si="14"/>
        <v>439.00746874999999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f t="shared" si="12"/>
        <v>1756.0298749999999</v>
      </c>
    </row>
    <row r="38" spans="1:21" ht="51" customHeight="1">
      <c r="A38" s="145" t="s">
        <v>179</v>
      </c>
      <c r="B38" s="11" t="s">
        <v>154</v>
      </c>
      <c r="C38" s="27" t="s">
        <v>28</v>
      </c>
      <c r="D38" s="11" t="s">
        <v>119</v>
      </c>
      <c r="E38" s="35">
        <v>48.45</v>
      </c>
      <c r="F38" s="53">
        <f>SUM(E38*12/1000)</f>
        <v>0.58140000000000014</v>
      </c>
      <c r="G38" s="35">
        <v>5803.28</v>
      </c>
      <c r="H38" s="36">
        <f t="shared" si="11"/>
        <v>3.3740269920000006</v>
      </c>
      <c r="I38" s="37">
        <f>F38/6*G38</f>
        <v>562.33783200000016</v>
      </c>
      <c r="J38" s="37">
        <f>F38/6*G38</f>
        <v>562.33783200000016</v>
      </c>
      <c r="K38" s="37">
        <f t="shared" si="13"/>
        <v>562.33783200000016</v>
      </c>
      <c r="L38" s="37">
        <f t="shared" si="14"/>
        <v>562.33783200000016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f t="shared" si="12"/>
        <v>2249.3513280000006</v>
      </c>
    </row>
    <row r="39" spans="1:21" ht="12.75" customHeight="1">
      <c r="A39" s="145" t="s">
        <v>180</v>
      </c>
      <c r="B39" s="11" t="s">
        <v>155</v>
      </c>
      <c r="C39" s="27" t="s">
        <v>28</v>
      </c>
      <c r="D39" s="11" t="s">
        <v>49</v>
      </c>
      <c r="E39" s="35">
        <v>48.45</v>
      </c>
      <c r="F39" s="53">
        <f>SUM(E39*45/1000)</f>
        <v>2.18025</v>
      </c>
      <c r="G39" s="35">
        <v>428.7</v>
      </c>
      <c r="H39" s="36">
        <f t="shared" si="11"/>
        <v>0.93467317500000002</v>
      </c>
      <c r="I39" s="37">
        <f>F39/6*G39</f>
        <v>155.7788625</v>
      </c>
      <c r="J39" s="37">
        <f>F39/6*G39</f>
        <v>155.7788625</v>
      </c>
      <c r="K39" s="37">
        <f t="shared" si="13"/>
        <v>155.7788625</v>
      </c>
      <c r="L39" s="37">
        <f t="shared" si="14"/>
        <v>155.7788625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f t="shared" si="12"/>
        <v>623.11545000000001</v>
      </c>
    </row>
    <row r="40" spans="1:21" s="2" customFormat="1">
      <c r="A40" s="147"/>
      <c r="B40" s="13" t="s">
        <v>156</v>
      </c>
      <c r="C40" s="52" t="s">
        <v>36</v>
      </c>
      <c r="D40" s="13"/>
      <c r="E40" s="49"/>
      <c r="F40" s="53">
        <v>0.5</v>
      </c>
      <c r="G40" s="53">
        <v>798</v>
      </c>
      <c r="H40" s="36">
        <f t="shared" si="11"/>
        <v>0.39900000000000002</v>
      </c>
      <c r="I40" s="54">
        <f>F40/6*G40</f>
        <v>66.5</v>
      </c>
      <c r="J40" s="54">
        <f>F40/6*G40</f>
        <v>66.5</v>
      </c>
      <c r="K40" s="37">
        <f t="shared" si="13"/>
        <v>66.5</v>
      </c>
      <c r="L40" s="37">
        <f t="shared" si="14"/>
        <v>66.5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f t="shared" si="12"/>
        <v>266</v>
      </c>
    </row>
    <row r="41" spans="1:21" s="19" customFormat="1">
      <c r="A41" s="146"/>
      <c r="B41" s="20" t="s">
        <v>25</v>
      </c>
      <c r="C41" s="42"/>
      <c r="D41" s="20"/>
      <c r="E41" s="43"/>
      <c r="F41" s="44" t="s">
        <v>42</v>
      </c>
      <c r="G41" s="44"/>
      <c r="H41" s="51">
        <f>SUM(H34:H40)</f>
        <v>37.637046754499998</v>
      </c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>
        <f>SUM(U34:U40)</f>
        <v>25091.364503000001</v>
      </c>
    </row>
    <row r="42" spans="1:21">
      <c r="A42" s="145"/>
      <c r="B42" s="14" t="s">
        <v>50</v>
      </c>
      <c r="C42" s="27"/>
      <c r="D42" s="11"/>
      <c r="E42" s="34"/>
      <c r="F42" s="35"/>
      <c r="G42" s="35"/>
      <c r="H42" s="36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</row>
    <row r="43" spans="1:21">
      <c r="A43" s="145" t="s">
        <v>181</v>
      </c>
      <c r="B43" s="11" t="s">
        <v>109</v>
      </c>
      <c r="C43" s="27" t="s">
        <v>28</v>
      </c>
      <c r="D43" s="11" t="s">
        <v>51</v>
      </c>
      <c r="E43" s="34">
        <v>1044.7</v>
      </c>
      <c r="F43" s="35">
        <f>SUM(E43*2/1000)</f>
        <v>2.0893999999999999</v>
      </c>
      <c r="G43" s="55">
        <v>809.74</v>
      </c>
      <c r="H43" s="36">
        <f t="shared" ref="H43:H53" si="15">SUM(F43*G43/1000)</f>
        <v>1.6918707559999999</v>
      </c>
      <c r="I43" s="37">
        <v>0</v>
      </c>
      <c r="J43" s="37">
        <v>0</v>
      </c>
      <c r="K43" s="37">
        <v>0</v>
      </c>
      <c r="L43" s="37">
        <v>0</v>
      </c>
      <c r="M43" s="37">
        <f>F43/2*G43</f>
        <v>845.93537800000001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f t="shared" ref="U43:U53" si="16">SUM(I43:T43)</f>
        <v>845.93537800000001</v>
      </c>
    </row>
    <row r="44" spans="1:21">
      <c r="A44" s="145" t="s">
        <v>182</v>
      </c>
      <c r="B44" s="11" t="s">
        <v>52</v>
      </c>
      <c r="C44" s="27" t="s">
        <v>28</v>
      </c>
      <c r="D44" s="11" t="s">
        <v>51</v>
      </c>
      <c r="E44" s="34">
        <v>19.8</v>
      </c>
      <c r="F44" s="35">
        <f>SUM(E44*2/1000)</f>
        <v>3.9600000000000003E-2</v>
      </c>
      <c r="G44" s="55">
        <v>579.48</v>
      </c>
      <c r="H44" s="36">
        <f t="shared" si="15"/>
        <v>2.2947408000000002E-2</v>
      </c>
      <c r="I44" s="37">
        <v>0</v>
      </c>
      <c r="J44" s="37">
        <v>0</v>
      </c>
      <c r="K44" s="37">
        <v>0</v>
      </c>
      <c r="L44" s="37">
        <v>0</v>
      </c>
      <c r="M44" s="37">
        <f t="shared" ref="M44:M47" si="17">F44/2*G44</f>
        <v>11.473704000000001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f t="shared" si="16"/>
        <v>11.473704000000001</v>
      </c>
    </row>
    <row r="45" spans="1:21" ht="12.75" customHeight="1">
      <c r="A45" s="145" t="s">
        <v>183</v>
      </c>
      <c r="B45" s="11" t="s">
        <v>53</v>
      </c>
      <c r="C45" s="27" t="s">
        <v>28</v>
      </c>
      <c r="D45" s="11" t="s">
        <v>51</v>
      </c>
      <c r="E45" s="34">
        <v>660.84</v>
      </c>
      <c r="F45" s="35">
        <f>SUM(E45*2/1000)</f>
        <v>1.32168</v>
      </c>
      <c r="G45" s="55">
        <v>579.48</v>
      </c>
      <c r="H45" s="36">
        <f t="shared" si="15"/>
        <v>0.76588712640000001</v>
      </c>
      <c r="I45" s="37">
        <v>0</v>
      </c>
      <c r="J45" s="37">
        <v>0</v>
      </c>
      <c r="K45" s="37">
        <v>0</v>
      </c>
      <c r="L45" s="37">
        <v>0</v>
      </c>
      <c r="M45" s="37">
        <f>F45/2*G45</f>
        <v>382.94356320000003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f t="shared" si="16"/>
        <v>382.94356320000003</v>
      </c>
    </row>
    <row r="46" spans="1:21">
      <c r="A46" s="145" t="s">
        <v>184</v>
      </c>
      <c r="B46" s="11" t="s">
        <v>54</v>
      </c>
      <c r="C46" s="27" t="s">
        <v>28</v>
      </c>
      <c r="D46" s="11" t="s">
        <v>51</v>
      </c>
      <c r="E46" s="34">
        <v>1156.21</v>
      </c>
      <c r="F46" s="35">
        <f>SUM(E46*2/1000)</f>
        <v>2.3124199999999999</v>
      </c>
      <c r="G46" s="55">
        <v>606.77</v>
      </c>
      <c r="H46" s="36">
        <f t="shared" si="15"/>
        <v>1.4031070833999999</v>
      </c>
      <c r="I46" s="37">
        <v>0</v>
      </c>
      <c r="J46" s="37">
        <v>0</v>
      </c>
      <c r="K46" s="37">
        <v>0</v>
      </c>
      <c r="L46" s="37">
        <v>0</v>
      </c>
      <c r="M46" s="37">
        <f t="shared" si="17"/>
        <v>701.55354169999998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f t="shared" si="16"/>
        <v>701.55354169999998</v>
      </c>
    </row>
    <row r="47" spans="1:21">
      <c r="A47" s="145" t="s">
        <v>189</v>
      </c>
      <c r="B47" s="11" t="s">
        <v>110</v>
      </c>
      <c r="C47" s="27" t="s">
        <v>111</v>
      </c>
      <c r="D47" s="11" t="s">
        <v>31</v>
      </c>
      <c r="E47" s="34">
        <v>17.14</v>
      </c>
      <c r="F47" s="35">
        <f>SUM(E47/100)</f>
        <v>0.1714</v>
      </c>
      <c r="G47" s="55">
        <v>72.81</v>
      </c>
      <c r="H47" s="36">
        <f t="shared" si="15"/>
        <v>1.2479634000000002E-2</v>
      </c>
      <c r="I47" s="37">
        <v>0</v>
      </c>
      <c r="J47" s="37">
        <v>0</v>
      </c>
      <c r="K47" s="37">
        <v>0</v>
      </c>
      <c r="L47" s="37">
        <v>0</v>
      </c>
      <c r="M47" s="37">
        <f t="shared" si="17"/>
        <v>6.2398170000000004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f t="shared" si="16"/>
        <v>6.2398170000000004</v>
      </c>
    </row>
    <row r="48" spans="1:21" ht="25.5">
      <c r="A48" s="145" t="s">
        <v>185</v>
      </c>
      <c r="B48" s="11" t="s">
        <v>55</v>
      </c>
      <c r="C48" s="27" t="s">
        <v>28</v>
      </c>
      <c r="D48" s="11" t="s">
        <v>56</v>
      </c>
      <c r="E48" s="34">
        <v>823</v>
      </c>
      <c r="F48" s="35">
        <f>SUM(E48*5/1000)</f>
        <v>4.1150000000000002</v>
      </c>
      <c r="G48" s="55">
        <v>1213.55</v>
      </c>
      <c r="H48" s="36">
        <f t="shared" si="15"/>
        <v>4.99375825</v>
      </c>
      <c r="I48" s="37">
        <f>F48/5*G48</f>
        <v>998.75165000000004</v>
      </c>
      <c r="J48" s="37">
        <f>F48/5*G48</f>
        <v>998.75165000000004</v>
      </c>
      <c r="K48" s="37">
        <v>0</v>
      </c>
      <c r="L48" s="37">
        <v>0</v>
      </c>
      <c r="M48" s="37">
        <f>F48/5*G48</f>
        <v>998.75165000000004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f t="shared" si="16"/>
        <v>2996.25495</v>
      </c>
    </row>
    <row r="49" spans="1:21" ht="38.25" customHeight="1">
      <c r="A49" s="145" t="s">
        <v>186</v>
      </c>
      <c r="B49" s="11" t="s">
        <v>57</v>
      </c>
      <c r="C49" s="27" t="s">
        <v>28</v>
      </c>
      <c r="D49" s="11" t="s">
        <v>51</v>
      </c>
      <c r="E49" s="34">
        <v>823</v>
      </c>
      <c r="F49" s="35">
        <f>SUM(E49*2/1000)</f>
        <v>1.6459999999999999</v>
      </c>
      <c r="G49" s="55">
        <v>1213.55</v>
      </c>
      <c r="H49" s="36">
        <f t="shared" si="15"/>
        <v>1.9975032999999998</v>
      </c>
      <c r="I49" s="37">
        <v>0</v>
      </c>
      <c r="J49" s="37">
        <v>0</v>
      </c>
      <c r="K49" s="37">
        <v>0</v>
      </c>
      <c r="L49" s="37">
        <v>0</v>
      </c>
      <c r="M49" s="37">
        <f t="shared" ref="M49:M50" si="18">F49/2*G49</f>
        <v>998.75164999999993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f t="shared" si="16"/>
        <v>998.75164999999993</v>
      </c>
    </row>
    <row r="50" spans="1:21" ht="25.5" customHeight="1">
      <c r="A50" s="145" t="s">
        <v>187</v>
      </c>
      <c r="B50" s="11" t="s">
        <v>58</v>
      </c>
      <c r="C50" s="27" t="s">
        <v>59</v>
      </c>
      <c r="D50" s="11" t="s">
        <v>51</v>
      </c>
      <c r="E50" s="34">
        <v>9</v>
      </c>
      <c r="F50" s="35">
        <f>SUM(E50*2/100)</f>
        <v>0.18</v>
      </c>
      <c r="G50" s="55">
        <v>2730.49</v>
      </c>
      <c r="H50" s="36">
        <f t="shared" si="15"/>
        <v>0.49148819999999993</v>
      </c>
      <c r="I50" s="37">
        <v>0</v>
      </c>
      <c r="J50" s="37">
        <v>0</v>
      </c>
      <c r="K50" s="37">
        <v>0</v>
      </c>
      <c r="L50" s="37">
        <v>0</v>
      </c>
      <c r="M50" s="37">
        <f t="shared" si="18"/>
        <v>245.74409999999997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f t="shared" si="16"/>
        <v>245.74409999999997</v>
      </c>
    </row>
    <row r="51" spans="1:21">
      <c r="A51" s="145" t="s">
        <v>188</v>
      </c>
      <c r="B51" s="11" t="s">
        <v>60</v>
      </c>
      <c r="C51" s="27" t="s">
        <v>61</v>
      </c>
      <c r="D51" s="11" t="s">
        <v>51</v>
      </c>
      <c r="E51" s="34">
        <v>1</v>
      </c>
      <c r="F51" s="35">
        <v>0.02</v>
      </c>
      <c r="G51" s="55">
        <v>5652.13</v>
      </c>
      <c r="H51" s="36">
        <f t="shared" si="15"/>
        <v>0.11304260000000001</v>
      </c>
      <c r="I51" s="37">
        <v>0</v>
      </c>
      <c r="J51" s="37">
        <v>0</v>
      </c>
      <c r="K51" s="37">
        <v>0</v>
      </c>
      <c r="L51" s="37">
        <v>0</v>
      </c>
      <c r="M51" s="37">
        <f>F51/2*G51</f>
        <v>56.521300000000004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f t="shared" si="16"/>
        <v>56.521300000000004</v>
      </c>
    </row>
    <row r="52" spans="1:21">
      <c r="A52" s="145" t="s">
        <v>112</v>
      </c>
      <c r="B52" s="11" t="s">
        <v>113</v>
      </c>
      <c r="C52" s="27" t="s">
        <v>33</v>
      </c>
      <c r="D52" s="11" t="s">
        <v>100</v>
      </c>
      <c r="E52" s="34">
        <v>36</v>
      </c>
      <c r="F52" s="35">
        <f>E52*3</f>
        <v>108</v>
      </c>
      <c r="G52" s="55">
        <v>141.12</v>
      </c>
      <c r="H52" s="36">
        <f t="shared" si="15"/>
        <v>15.240960000000001</v>
      </c>
      <c r="I52" s="37">
        <f>E52*G52</f>
        <v>5080.32</v>
      </c>
      <c r="J52" s="37">
        <v>0</v>
      </c>
      <c r="K52" s="37">
        <v>0</v>
      </c>
      <c r="L52" s="37">
        <f>E52*G52</f>
        <v>5080.32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f t="shared" si="16"/>
        <v>10160.64</v>
      </c>
    </row>
    <row r="53" spans="1:21" ht="13.5" customHeight="1">
      <c r="A53" s="145" t="s">
        <v>63</v>
      </c>
      <c r="B53" s="11" t="s">
        <v>64</v>
      </c>
      <c r="C53" s="27" t="s">
        <v>33</v>
      </c>
      <c r="D53" s="11" t="s">
        <v>31</v>
      </c>
      <c r="E53" s="34">
        <v>36</v>
      </c>
      <c r="F53" s="35">
        <f>SUM(E53)</f>
        <v>36</v>
      </c>
      <c r="G53" s="56">
        <v>65.67</v>
      </c>
      <c r="H53" s="36">
        <f t="shared" si="15"/>
        <v>2.3641199999999998</v>
      </c>
      <c r="I53" s="37">
        <f>E53*G53</f>
        <v>2364.12</v>
      </c>
      <c r="J53" s="37">
        <v>0</v>
      </c>
      <c r="K53" s="37">
        <v>0</v>
      </c>
      <c r="L53" s="37">
        <f>E53*G53</f>
        <v>2364.12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f t="shared" si="16"/>
        <v>4728.24</v>
      </c>
    </row>
    <row r="54" spans="1:21" s="21" customFormat="1">
      <c r="A54" s="148"/>
      <c r="B54" s="20" t="s">
        <v>25</v>
      </c>
      <c r="C54" s="57"/>
      <c r="D54" s="20"/>
      <c r="E54" s="58"/>
      <c r="F54" s="59"/>
      <c r="G54" s="59"/>
      <c r="H54" s="51">
        <f>SUM(H43:H53)</f>
        <v>29.097164357799997</v>
      </c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>
        <f>SUM(U43:U53)</f>
        <v>21134.298003899996</v>
      </c>
    </row>
    <row r="55" spans="1:21">
      <c r="A55" s="145"/>
      <c r="B55" s="12" t="s">
        <v>65</v>
      </c>
      <c r="C55" s="27"/>
      <c r="D55" s="11"/>
      <c r="E55" s="34"/>
      <c r="F55" s="35"/>
      <c r="G55" s="35"/>
      <c r="H55" s="36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</row>
    <row r="56" spans="1:21" ht="25.5">
      <c r="A56" s="153" t="s">
        <v>190</v>
      </c>
      <c r="B56" s="11" t="s">
        <v>114</v>
      </c>
      <c r="C56" s="27" t="s">
        <v>13</v>
      </c>
      <c r="D56" s="11" t="s">
        <v>120</v>
      </c>
      <c r="E56" s="61">
        <v>5.85</v>
      </c>
      <c r="F56" s="55">
        <f>E56*12/100</f>
        <v>0.70199999999999985</v>
      </c>
      <c r="G56" s="53">
        <v>1547.28</v>
      </c>
      <c r="H56" s="36">
        <f>SUM(F56*G56/1000)</f>
        <v>1.0861905599999997</v>
      </c>
      <c r="I56" s="37">
        <f>F56/6*G56</f>
        <v>181.03175999999996</v>
      </c>
      <c r="J56" s="37">
        <f>F56/6*G56</f>
        <v>181.03175999999996</v>
      </c>
      <c r="K56" s="37">
        <f>F56/6*G56</f>
        <v>181.03175999999996</v>
      </c>
      <c r="L56" s="37">
        <f>F56/6*G56</f>
        <v>181.03175999999996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f>SUM(I56:T56)</f>
        <v>724.12703999999985</v>
      </c>
    </row>
    <row r="57" spans="1:21" ht="38.25">
      <c r="A57" s="145" t="s">
        <v>191</v>
      </c>
      <c r="B57" s="11" t="s">
        <v>157</v>
      </c>
      <c r="C57" s="27" t="s">
        <v>106</v>
      </c>
      <c r="D57" s="11" t="s">
        <v>115</v>
      </c>
      <c r="E57" s="34">
        <v>79.239999999999995</v>
      </c>
      <c r="F57" s="35">
        <f>E57*6/100</f>
        <v>4.7543999999999995</v>
      </c>
      <c r="G57" s="62">
        <v>1547.28</v>
      </c>
      <c r="H57" s="36">
        <f>F57*G57/1000</f>
        <v>7.356388031999999</v>
      </c>
      <c r="I57" s="37">
        <f>F57/6*G57</f>
        <v>1226.0646719999997</v>
      </c>
      <c r="J57" s="37">
        <f>F57/6*G57</f>
        <v>1226.0646719999997</v>
      </c>
      <c r="K57" s="37">
        <f>F57/6*G57</f>
        <v>1226.0646719999997</v>
      </c>
      <c r="L57" s="37">
        <f>F57/6*G57</f>
        <v>1226.0646719999997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f>SUM(I57:T57)</f>
        <v>4904.258687999999</v>
      </c>
    </row>
    <row r="58" spans="1:21" ht="12.75" customHeight="1">
      <c r="A58" s="149"/>
      <c r="B58" s="25" t="s">
        <v>66</v>
      </c>
      <c r="C58" s="63"/>
      <c r="D58" s="24"/>
      <c r="E58" s="64"/>
      <c r="F58" s="65"/>
      <c r="G58" s="66"/>
      <c r="H58" s="6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</row>
    <row r="59" spans="1:21" ht="12.75" customHeight="1">
      <c r="A59" s="149" t="s">
        <v>192</v>
      </c>
      <c r="B59" s="24" t="s">
        <v>116</v>
      </c>
      <c r="C59" s="63" t="s">
        <v>22</v>
      </c>
      <c r="D59" s="24" t="s">
        <v>31</v>
      </c>
      <c r="E59" s="64">
        <v>820</v>
      </c>
      <c r="F59" s="65">
        <f>E59/100</f>
        <v>8.1999999999999993</v>
      </c>
      <c r="G59" s="68">
        <v>704.98</v>
      </c>
      <c r="H59" s="67">
        <f>G59*F59/1000</f>
        <v>5.780835999999999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f>SUM(I59:T59)</f>
        <v>0</v>
      </c>
    </row>
    <row r="60" spans="1:21">
      <c r="A60" s="149"/>
      <c r="B60" s="15" t="s">
        <v>68</v>
      </c>
      <c r="C60" s="63"/>
      <c r="D60" s="24"/>
      <c r="E60" s="64"/>
      <c r="F60" s="65"/>
      <c r="G60" s="65"/>
      <c r="H60" s="67" t="s">
        <v>42</v>
      </c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</row>
    <row r="61" spans="1:21" ht="12.75" customHeight="1">
      <c r="A61" s="69" t="s">
        <v>193</v>
      </c>
      <c r="B61" s="16" t="s">
        <v>69</v>
      </c>
      <c r="C61" s="69" t="s">
        <v>62</v>
      </c>
      <c r="D61" s="9" t="s">
        <v>38</v>
      </c>
      <c r="E61" s="40">
        <v>10</v>
      </c>
      <c r="F61" s="35">
        <v>10</v>
      </c>
      <c r="G61" s="55">
        <v>222.4</v>
      </c>
      <c r="H61" s="133">
        <f t="shared" ref="H61:H76" si="19">SUM(F61*G61/1000)</f>
        <v>2.2240000000000002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f t="shared" ref="U61:U68" si="20">SUM(I61:T61)</f>
        <v>0</v>
      </c>
    </row>
    <row r="62" spans="1:21" ht="12.75" customHeight="1">
      <c r="A62" s="69" t="s">
        <v>194</v>
      </c>
      <c r="B62" s="16" t="s">
        <v>70</v>
      </c>
      <c r="C62" s="69" t="s">
        <v>62</v>
      </c>
      <c r="D62" s="9" t="s">
        <v>38</v>
      </c>
      <c r="E62" s="40">
        <v>3</v>
      </c>
      <c r="F62" s="35">
        <v>3</v>
      </c>
      <c r="G62" s="55">
        <v>76.25</v>
      </c>
      <c r="H62" s="133">
        <f t="shared" si="19"/>
        <v>0.22875000000000001</v>
      </c>
      <c r="I62" s="37">
        <f>1*G62</f>
        <v>76.25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f t="shared" si="20"/>
        <v>76.25</v>
      </c>
    </row>
    <row r="63" spans="1:21" s="2" customFormat="1">
      <c r="A63" s="70" t="s">
        <v>195</v>
      </c>
      <c r="B63" s="16" t="s">
        <v>71</v>
      </c>
      <c r="C63" s="70" t="s">
        <v>72</v>
      </c>
      <c r="D63" s="9" t="s">
        <v>31</v>
      </c>
      <c r="E63" s="34">
        <v>7487</v>
      </c>
      <c r="F63" s="56">
        <f>SUM(E63/100)</f>
        <v>74.87</v>
      </c>
      <c r="G63" s="55">
        <v>212.15</v>
      </c>
      <c r="H63" s="133">
        <f t="shared" si="19"/>
        <v>15.883670500000003</v>
      </c>
      <c r="I63" s="54">
        <v>0</v>
      </c>
      <c r="J63" s="54">
        <v>0</v>
      </c>
      <c r="K63" s="54">
        <v>0</v>
      </c>
      <c r="L63" s="54">
        <v>0</v>
      </c>
      <c r="M63" s="37">
        <f>F63*G63</f>
        <v>15883.670500000002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37">
        <f t="shared" si="20"/>
        <v>15883.670500000002</v>
      </c>
    </row>
    <row r="64" spans="1:21" ht="12.75" customHeight="1">
      <c r="A64" s="69" t="s">
        <v>196</v>
      </c>
      <c r="B64" s="16" t="s">
        <v>73</v>
      </c>
      <c r="C64" s="69" t="s">
        <v>74</v>
      </c>
      <c r="D64" s="9"/>
      <c r="E64" s="34">
        <v>7487</v>
      </c>
      <c r="F64" s="55">
        <f>SUM(E64/1000)</f>
        <v>7.4870000000000001</v>
      </c>
      <c r="G64" s="55">
        <v>165.21</v>
      </c>
      <c r="H64" s="133">
        <f t="shared" si="19"/>
        <v>1.2369272700000002</v>
      </c>
      <c r="I64" s="37">
        <v>0</v>
      </c>
      <c r="J64" s="37">
        <v>0</v>
      </c>
      <c r="K64" s="37">
        <v>0</v>
      </c>
      <c r="L64" s="37">
        <v>0</v>
      </c>
      <c r="M64" s="37">
        <f t="shared" ref="M64:M67" si="21">F64*G64</f>
        <v>1236.9272700000001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f t="shared" si="20"/>
        <v>1236.9272700000001</v>
      </c>
    </row>
    <row r="65" spans="1:21">
      <c r="A65" s="69" t="s">
        <v>197</v>
      </c>
      <c r="B65" s="16" t="s">
        <v>75</v>
      </c>
      <c r="C65" s="69" t="s">
        <v>76</v>
      </c>
      <c r="D65" s="9" t="s">
        <v>31</v>
      </c>
      <c r="E65" s="34">
        <v>1090</v>
      </c>
      <c r="F65" s="55">
        <f>SUM(E65/100)</f>
        <v>10.9</v>
      </c>
      <c r="G65" s="55">
        <v>2074.63</v>
      </c>
      <c r="H65" s="133">
        <f t="shared" si="19"/>
        <v>22.613467</v>
      </c>
      <c r="I65" s="37">
        <v>0</v>
      </c>
      <c r="J65" s="37">
        <v>0</v>
      </c>
      <c r="K65" s="37">
        <v>0</v>
      </c>
      <c r="L65" s="37">
        <v>0</v>
      </c>
      <c r="M65" s="37">
        <f>F65*G65</f>
        <v>22613.467000000001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f t="shared" si="20"/>
        <v>22613.467000000001</v>
      </c>
    </row>
    <row r="66" spans="1:21">
      <c r="A66" s="69"/>
      <c r="B66" s="17" t="s">
        <v>101</v>
      </c>
      <c r="C66" s="69" t="s">
        <v>36</v>
      </c>
      <c r="D66" s="9"/>
      <c r="E66" s="34">
        <v>7.8</v>
      </c>
      <c r="F66" s="55">
        <f>SUM(E66)</f>
        <v>7.8</v>
      </c>
      <c r="G66" s="55">
        <v>42.67</v>
      </c>
      <c r="H66" s="133">
        <f t="shared" si="19"/>
        <v>0.33282600000000001</v>
      </c>
      <c r="I66" s="37">
        <v>0</v>
      </c>
      <c r="J66" s="37">
        <v>0</v>
      </c>
      <c r="K66" s="37">
        <v>0</v>
      </c>
      <c r="L66" s="37">
        <v>0</v>
      </c>
      <c r="M66" s="37">
        <f t="shared" si="21"/>
        <v>332.82600000000002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f t="shared" si="20"/>
        <v>332.82600000000002</v>
      </c>
    </row>
    <row r="67" spans="1:21" ht="12.75" customHeight="1">
      <c r="A67" s="154"/>
      <c r="B67" s="17" t="s">
        <v>102</v>
      </c>
      <c r="C67" s="69" t="s">
        <v>36</v>
      </c>
      <c r="D67" s="9"/>
      <c r="E67" s="34">
        <v>7.8</v>
      </c>
      <c r="F67" s="55">
        <f>SUM(E67)</f>
        <v>7.8</v>
      </c>
      <c r="G67" s="55">
        <v>39.81</v>
      </c>
      <c r="H67" s="133">
        <f t="shared" si="19"/>
        <v>0.31051800000000002</v>
      </c>
      <c r="I67" s="37">
        <v>0</v>
      </c>
      <c r="J67" s="37">
        <v>0</v>
      </c>
      <c r="K67" s="37">
        <v>0</v>
      </c>
      <c r="L67" s="37">
        <v>0</v>
      </c>
      <c r="M67" s="37">
        <f t="shared" si="21"/>
        <v>310.51800000000003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f t="shared" si="20"/>
        <v>310.51800000000003</v>
      </c>
    </row>
    <row r="68" spans="1:21">
      <c r="A68" s="69" t="s">
        <v>198</v>
      </c>
      <c r="B68" s="9" t="s">
        <v>77</v>
      </c>
      <c r="C68" s="69" t="s">
        <v>78</v>
      </c>
      <c r="D68" s="9" t="s">
        <v>31</v>
      </c>
      <c r="E68" s="40">
        <v>3</v>
      </c>
      <c r="F68" s="35">
        <f>SUM(E68)</f>
        <v>3</v>
      </c>
      <c r="G68" s="55">
        <v>49.88</v>
      </c>
      <c r="H68" s="133">
        <f t="shared" si="19"/>
        <v>0.14964000000000002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f t="shared" si="20"/>
        <v>0</v>
      </c>
    </row>
    <row r="69" spans="1:21">
      <c r="A69" s="69"/>
      <c r="B69" s="18" t="s">
        <v>79</v>
      </c>
      <c r="C69" s="69"/>
      <c r="D69" s="9"/>
      <c r="E69" s="40"/>
      <c r="F69" s="55"/>
      <c r="G69" s="55"/>
      <c r="H69" s="133" t="s">
        <v>42</v>
      </c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</row>
    <row r="70" spans="1:21">
      <c r="A70" s="69" t="s">
        <v>199</v>
      </c>
      <c r="B70" s="9" t="s">
        <v>118</v>
      </c>
      <c r="C70" s="69" t="s">
        <v>117</v>
      </c>
      <c r="D70" s="9"/>
      <c r="E70" s="40">
        <v>5</v>
      </c>
      <c r="F70" s="66">
        <v>0.5</v>
      </c>
      <c r="G70" s="55">
        <v>501.62</v>
      </c>
      <c r="H70" s="133">
        <v>0.251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f>SUM(I70:T70)</f>
        <v>0</v>
      </c>
    </row>
    <row r="71" spans="1:21">
      <c r="A71" s="69" t="s">
        <v>200</v>
      </c>
      <c r="B71" s="9" t="s">
        <v>80</v>
      </c>
      <c r="C71" s="69" t="s">
        <v>33</v>
      </c>
      <c r="D71" s="9"/>
      <c r="E71" s="40">
        <v>1</v>
      </c>
      <c r="F71" s="55">
        <v>1</v>
      </c>
      <c r="G71" s="55">
        <v>99.85</v>
      </c>
      <c r="H71" s="133">
        <v>0.1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f>SUM(I71:T71)</f>
        <v>0</v>
      </c>
    </row>
    <row r="72" spans="1:21">
      <c r="A72" s="69" t="s">
        <v>201</v>
      </c>
      <c r="B72" s="9" t="s">
        <v>81</v>
      </c>
      <c r="C72" s="69" t="s">
        <v>33</v>
      </c>
      <c r="D72" s="9"/>
      <c r="E72" s="40">
        <v>1</v>
      </c>
      <c r="F72" s="66">
        <v>1</v>
      </c>
      <c r="G72" s="55">
        <v>120.26</v>
      </c>
      <c r="H72" s="133">
        <v>0.12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f>SUM(I72:T72)</f>
        <v>0</v>
      </c>
    </row>
    <row r="73" spans="1:21">
      <c r="A73" s="69" t="s">
        <v>202</v>
      </c>
      <c r="B73" s="9" t="s">
        <v>82</v>
      </c>
      <c r="C73" s="69" t="s">
        <v>33</v>
      </c>
      <c r="D73" s="9"/>
      <c r="E73" s="40">
        <v>1</v>
      </c>
      <c r="F73" s="35">
        <f>SUM(E73)</f>
        <v>1</v>
      </c>
      <c r="G73" s="55">
        <v>358.51</v>
      </c>
      <c r="H73" s="133">
        <f t="shared" si="19"/>
        <v>0.35851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f>SUM(I73:T73)</f>
        <v>0</v>
      </c>
    </row>
    <row r="74" spans="1:21">
      <c r="A74" s="69" t="s">
        <v>203</v>
      </c>
      <c r="B74" s="9" t="s">
        <v>103</v>
      </c>
      <c r="C74" s="69" t="s">
        <v>33</v>
      </c>
      <c r="D74" s="9"/>
      <c r="E74" s="40">
        <v>1</v>
      </c>
      <c r="F74" s="55">
        <v>1</v>
      </c>
      <c r="G74" s="55">
        <v>852.99</v>
      </c>
      <c r="H74" s="133">
        <f>F74*G74/1000</f>
        <v>0.85299000000000003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f>SUM(I74:T74)</f>
        <v>0</v>
      </c>
    </row>
    <row r="75" spans="1:21">
      <c r="A75" s="69"/>
      <c r="B75" s="71" t="s">
        <v>83</v>
      </c>
      <c r="C75" s="69"/>
      <c r="D75" s="9"/>
      <c r="E75" s="40"/>
      <c r="F75" s="55"/>
      <c r="G75" s="55" t="s">
        <v>42</v>
      </c>
      <c r="H75" s="133" t="s">
        <v>42</v>
      </c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</row>
    <row r="76" spans="1:21" s="2" customFormat="1">
      <c r="A76" s="70" t="s">
        <v>84</v>
      </c>
      <c r="B76" s="72" t="s">
        <v>85</v>
      </c>
      <c r="C76" s="70" t="s">
        <v>76</v>
      </c>
      <c r="D76" s="16"/>
      <c r="E76" s="73"/>
      <c r="F76" s="56">
        <v>1.35</v>
      </c>
      <c r="G76" s="56">
        <v>2759.44</v>
      </c>
      <c r="H76" s="133">
        <f t="shared" si="19"/>
        <v>3.725244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37">
        <f>SUM(I76:T76)</f>
        <v>0</v>
      </c>
    </row>
    <row r="77" spans="1:21" s="21" customFormat="1">
      <c r="A77" s="74"/>
      <c r="B77" s="20" t="s">
        <v>25</v>
      </c>
      <c r="C77" s="75"/>
      <c r="D77" s="76"/>
      <c r="E77" s="77"/>
      <c r="F77" s="60"/>
      <c r="G77" s="60"/>
      <c r="H77" s="78">
        <f>SUM(H56:H76)</f>
        <v>62.610957361999994</v>
      </c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>
        <f>SUM(U56:U76)</f>
        <v>46082.044498000003</v>
      </c>
    </row>
    <row r="78" spans="1:21">
      <c r="A78" s="150" t="s">
        <v>135</v>
      </c>
      <c r="B78" s="11" t="s">
        <v>136</v>
      </c>
      <c r="C78" s="80"/>
      <c r="D78" s="81"/>
      <c r="E78" s="130"/>
      <c r="F78" s="82">
        <v>1</v>
      </c>
      <c r="G78" s="83">
        <v>12632.8</v>
      </c>
      <c r="H78" s="133">
        <f>G78*F78/1000</f>
        <v>12.6328</v>
      </c>
      <c r="I78" s="37">
        <v>0</v>
      </c>
      <c r="J78" s="37">
        <v>0</v>
      </c>
      <c r="K78" s="37">
        <v>0</v>
      </c>
      <c r="L78" s="37">
        <v>0</v>
      </c>
      <c r="M78" s="38">
        <v>0</v>
      </c>
      <c r="N78" s="38">
        <v>0</v>
      </c>
      <c r="O78" s="37">
        <v>0</v>
      </c>
      <c r="P78" s="37">
        <v>0</v>
      </c>
      <c r="Q78" s="37">
        <v>0</v>
      </c>
      <c r="R78" s="37">
        <v>0</v>
      </c>
      <c r="S78" s="37">
        <f>G78</f>
        <v>12632.8</v>
      </c>
      <c r="T78" s="37">
        <v>0</v>
      </c>
      <c r="U78" s="37">
        <f>SUM(I78:K78)</f>
        <v>0</v>
      </c>
    </row>
    <row r="79" spans="1:21" ht="12.75" customHeight="1">
      <c r="A79" s="151"/>
      <c r="B79" s="79" t="s">
        <v>86</v>
      </c>
      <c r="C79" s="69" t="s">
        <v>87</v>
      </c>
      <c r="D79" s="84"/>
      <c r="E79" s="55">
        <v>1839.1</v>
      </c>
      <c r="F79" s="55">
        <f>SUM(E79*12)</f>
        <v>22069.199999999997</v>
      </c>
      <c r="G79" s="85">
        <v>2.1</v>
      </c>
      <c r="H79" s="133">
        <f>SUM(F79*G79/1000)</f>
        <v>46.345319999999994</v>
      </c>
      <c r="I79" s="37">
        <f>F79/12*G79</f>
        <v>3862.1099999999997</v>
      </c>
      <c r="J79" s="37">
        <f>F79/12*G79</f>
        <v>3862.1099999999997</v>
      </c>
      <c r="K79" s="37">
        <f>F79/12*G79</f>
        <v>3862.1099999999997</v>
      </c>
      <c r="L79" s="37">
        <f>F79/12*G79</f>
        <v>3862.1099999999997</v>
      </c>
      <c r="M79" s="38">
        <f>F79/12*G79</f>
        <v>3862.1099999999997</v>
      </c>
      <c r="N79" s="38">
        <f>F79/12*G79</f>
        <v>3862.1099999999997</v>
      </c>
      <c r="O79" s="37">
        <f>F79/12*G79</f>
        <v>3862.1099999999997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f>SUM(I79:T79)</f>
        <v>27034.77</v>
      </c>
    </row>
    <row r="80" spans="1:21" s="19" customFormat="1">
      <c r="A80" s="86"/>
      <c r="B80" s="20" t="s">
        <v>25</v>
      </c>
      <c r="C80" s="87"/>
      <c r="D80" s="88"/>
      <c r="E80" s="89"/>
      <c r="F80" s="46"/>
      <c r="G80" s="90"/>
      <c r="H80" s="47">
        <f>SUM(H78:H79)</f>
        <v>58.97811999999999</v>
      </c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>
        <f>SUM(U78:U79)</f>
        <v>27034.77</v>
      </c>
    </row>
    <row r="81" spans="1:26" ht="25.5" customHeight="1">
      <c r="A81" s="91"/>
      <c r="B81" s="9" t="s">
        <v>88</v>
      </c>
      <c r="C81" s="69"/>
      <c r="D81" s="92"/>
      <c r="E81" s="34">
        <f>E79</f>
        <v>1839.1</v>
      </c>
      <c r="F81" s="55">
        <f>E81*12</f>
        <v>22069.199999999997</v>
      </c>
      <c r="G81" s="55">
        <v>1.63</v>
      </c>
      <c r="H81" s="133">
        <f>F81*G81/1000</f>
        <v>35.972795999999995</v>
      </c>
      <c r="I81" s="37">
        <f>F81/12*G81</f>
        <v>2997.7329999999993</v>
      </c>
      <c r="J81" s="37">
        <f>F81/12*G81</f>
        <v>2997.7329999999993</v>
      </c>
      <c r="K81" s="37">
        <f>F81/12*G81</f>
        <v>2997.7329999999993</v>
      </c>
      <c r="L81" s="37">
        <f>F81/12*G81</f>
        <v>2997.7329999999993</v>
      </c>
      <c r="M81" s="37">
        <f>F81/12*G81</f>
        <v>2997.7329999999993</v>
      </c>
      <c r="N81" s="37">
        <f>F81/12*G81</f>
        <v>2997.7329999999993</v>
      </c>
      <c r="O81" s="37">
        <f>F81/12*G81</f>
        <v>2997.7329999999993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f>SUM(I81:T81)</f>
        <v>20984.130999999998</v>
      </c>
    </row>
    <row r="82" spans="1:26" s="19" customFormat="1">
      <c r="A82" s="86"/>
      <c r="B82" s="93" t="s">
        <v>89</v>
      </c>
      <c r="C82" s="94"/>
      <c r="D82" s="93"/>
      <c r="E82" s="46"/>
      <c r="F82" s="46"/>
      <c r="G82" s="46"/>
      <c r="H82" s="78">
        <f>H81</f>
        <v>35.972795999999995</v>
      </c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126">
        <f>U81</f>
        <v>20984.130999999998</v>
      </c>
    </row>
    <row r="83" spans="1:26" s="19" customFormat="1">
      <c r="A83" s="86"/>
      <c r="B83" s="93" t="s">
        <v>90</v>
      </c>
      <c r="C83" s="95"/>
      <c r="D83" s="96"/>
      <c r="E83" s="97"/>
      <c r="F83" s="97"/>
      <c r="G83" s="97"/>
      <c r="H83" s="78">
        <f>SUM(H82+H80+H77+H54+H41+H32+H22)</f>
        <v>423.8584129949333</v>
      </c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126">
        <f>SUM(U82+U80+U77+U54+U41+U32+U22)*1.094</f>
        <v>278406.39233407431</v>
      </c>
    </row>
    <row r="84" spans="1:26" s="124" customFormat="1" ht="51" customHeight="1">
      <c r="A84" s="91"/>
      <c r="B84" s="71"/>
      <c r="C84" s="69"/>
      <c r="D84" s="92"/>
      <c r="E84" s="55"/>
      <c r="F84" s="55"/>
      <c r="G84" s="55"/>
      <c r="H84" s="123"/>
      <c r="I84" s="55"/>
      <c r="J84" s="55"/>
      <c r="K84" s="55"/>
      <c r="L84" s="55"/>
      <c r="M84" s="55"/>
      <c r="N84" s="55"/>
      <c r="O84" s="55"/>
      <c r="P84" s="55"/>
      <c r="Q84" s="55"/>
      <c r="R84" s="137"/>
      <c r="S84" s="137"/>
      <c r="T84" s="137"/>
      <c r="U84" s="136" t="s">
        <v>142</v>
      </c>
      <c r="W84" s="155"/>
      <c r="X84" s="155"/>
      <c r="Y84" s="155"/>
      <c r="Z84" s="155"/>
    </row>
    <row r="85" spans="1:26">
      <c r="A85" s="91"/>
      <c r="B85" s="92" t="s">
        <v>91</v>
      </c>
      <c r="C85" s="69"/>
      <c r="D85" s="92"/>
      <c r="E85" s="55"/>
      <c r="F85" s="55"/>
      <c r="G85" s="55" t="s">
        <v>92</v>
      </c>
      <c r="H85" s="98">
        <f>E81</f>
        <v>1839.1</v>
      </c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</row>
    <row r="86" spans="1:26" s="19" customFormat="1">
      <c r="A86" s="86"/>
      <c r="B86" s="96" t="s">
        <v>93</v>
      </c>
      <c r="C86" s="95"/>
      <c r="D86" s="96"/>
      <c r="E86" s="97"/>
      <c r="F86" s="97"/>
      <c r="G86" s="97"/>
      <c r="H86" s="99">
        <f>SUM(H83/H85/12*1000)</f>
        <v>19.205880276354979</v>
      </c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127"/>
    </row>
    <row r="87" spans="1:26">
      <c r="A87" s="91"/>
      <c r="B87" s="92"/>
      <c r="C87" s="69"/>
      <c r="D87" s="92"/>
      <c r="E87" s="55"/>
      <c r="F87" s="55"/>
      <c r="G87" s="55"/>
      <c r="H87" s="100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128"/>
    </row>
    <row r="88" spans="1:26">
      <c r="A88" s="91"/>
      <c r="B88" s="71" t="s">
        <v>94</v>
      </c>
      <c r="C88" s="69"/>
      <c r="D88" s="92"/>
      <c r="E88" s="55"/>
      <c r="F88" s="55"/>
      <c r="G88" s="55"/>
      <c r="H88" s="55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</row>
    <row r="89" spans="1:26">
      <c r="A89" s="134" t="s">
        <v>204</v>
      </c>
      <c r="B89" s="135" t="s">
        <v>138</v>
      </c>
      <c r="C89" s="132" t="s">
        <v>62</v>
      </c>
      <c r="D89" s="92"/>
      <c r="E89" s="55"/>
      <c r="F89" s="55">
        <v>1</v>
      </c>
      <c r="G89" s="55">
        <v>179.96</v>
      </c>
      <c r="H89" s="133">
        <f t="shared" ref="H89:H92" si="22">F89*G89/1000</f>
        <v>0.17996000000000001</v>
      </c>
      <c r="I89" s="37">
        <f>G89</f>
        <v>179.96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f t="shared" ref="U89" si="23">SUM(I89:T89)</f>
        <v>179.96</v>
      </c>
    </row>
    <row r="90" spans="1:26">
      <c r="A90" s="91" t="s">
        <v>139</v>
      </c>
      <c r="B90" s="92" t="s">
        <v>140</v>
      </c>
      <c r="C90" s="69" t="s">
        <v>141</v>
      </c>
      <c r="D90" s="92"/>
      <c r="E90" s="55"/>
      <c r="F90" s="55">
        <v>2</v>
      </c>
      <c r="G90" s="55">
        <v>1501</v>
      </c>
      <c r="H90" s="133">
        <f t="shared" si="22"/>
        <v>3.0019999999999998</v>
      </c>
      <c r="I90" s="37">
        <v>0</v>
      </c>
      <c r="J90" s="37">
        <f>G90*2</f>
        <v>3002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f t="shared" ref="U90:U92" si="24">SUM(I90:T90)</f>
        <v>3002</v>
      </c>
    </row>
    <row r="91" spans="1:26">
      <c r="A91" s="138" t="s">
        <v>205</v>
      </c>
      <c r="B91" s="139" t="s">
        <v>143</v>
      </c>
      <c r="C91" s="138" t="s">
        <v>144</v>
      </c>
      <c r="D91" s="92"/>
      <c r="E91" s="55"/>
      <c r="F91" s="55">
        <v>1</v>
      </c>
      <c r="G91" s="55">
        <v>418.21</v>
      </c>
      <c r="H91" s="133">
        <f t="shared" si="22"/>
        <v>0.41820999999999997</v>
      </c>
      <c r="I91" s="37">
        <v>0</v>
      </c>
      <c r="J91" s="37">
        <v>0</v>
      </c>
      <c r="K91" s="37">
        <f>G91</f>
        <v>418.21</v>
      </c>
      <c r="L91" s="37">
        <v>0</v>
      </c>
      <c r="M91" s="37">
        <v>0</v>
      </c>
      <c r="N91" s="37">
        <v>0</v>
      </c>
      <c r="O91" s="37">
        <v>0</v>
      </c>
      <c r="P91" s="37"/>
      <c r="Q91" s="37"/>
      <c r="R91" s="37"/>
      <c r="S91" s="37"/>
      <c r="T91" s="37"/>
      <c r="U91" s="37">
        <f t="shared" si="24"/>
        <v>418.21</v>
      </c>
    </row>
    <row r="92" spans="1:26" ht="25.5">
      <c r="A92" s="140" t="s">
        <v>206</v>
      </c>
      <c r="B92" s="141" t="s">
        <v>145</v>
      </c>
      <c r="C92" s="140" t="s">
        <v>62</v>
      </c>
      <c r="D92" s="92"/>
      <c r="E92" s="55"/>
      <c r="F92" s="55">
        <v>1</v>
      </c>
      <c r="G92" s="55">
        <v>180.15</v>
      </c>
      <c r="H92" s="133">
        <f t="shared" si="22"/>
        <v>0.18015</v>
      </c>
      <c r="I92" s="37">
        <v>0</v>
      </c>
      <c r="J92" s="37">
        <v>0</v>
      </c>
      <c r="K92" s="37">
        <v>0</v>
      </c>
      <c r="L92" s="37">
        <f>G92</f>
        <v>180.15</v>
      </c>
      <c r="M92" s="37">
        <v>0</v>
      </c>
      <c r="N92" s="37">
        <v>0</v>
      </c>
      <c r="O92" s="37">
        <v>0</v>
      </c>
      <c r="P92" s="37"/>
      <c r="Q92" s="37"/>
      <c r="R92" s="37"/>
      <c r="S92" s="37"/>
      <c r="T92" s="37"/>
      <c r="U92" s="37">
        <f t="shared" si="24"/>
        <v>180.15</v>
      </c>
    </row>
    <row r="93" spans="1:26" ht="12.75" customHeight="1">
      <c r="A93" s="140" t="s">
        <v>146</v>
      </c>
      <c r="B93" s="141" t="s">
        <v>148</v>
      </c>
      <c r="C93" s="138" t="s">
        <v>147</v>
      </c>
      <c r="D93" s="92"/>
      <c r="E93" s="55"/>
      <c r="F93" s="55">
        <v>1</v>
      </c>
      <c r="G93" s="55">
        <v>4879</v>
      </c>
      <c r="H93" s="133">
        <f>G93*F93/1000</f>
        <v>4.8789999999999996</v>
      </c>
      <c r="I93" s="37">
        <v>0</v>
      </c>
      <c r="J93" s="37">
        <v>0</v>
      </c>
      <c r="K93" s="37">
        <v>0</v>
      </c>
      <c r="L93" s="37">
        <f>G93</f>
        <v>4879</v>
      </c>
      <c r="M93" s="37">
        <v>0</v>
      </c>
      <c r="N93" s="37">
        <v>0</v>
      </c>
      <c r="O93" s="37">
        <v>0</v>
      </c>
      <c r="P93" s="37"/>
      <c r="Q93" s="37"/>
      <c r="R93" s="37"/>
      <c r="S93" s="37"/>
      <c r="T93" s="37"/>
      <c r="U93" s="37">
        <f>SUM(I93:T93)</f>
        <v>4879</v>
      </c>
    </row>
    <row r="94" spans="1:26" ht="25.5" customHeight="1">
      <c r="A94" s="140" t="s">
        <v>187</v>
      </c>
      <c r="B94" s="141" t="s">
        <v>158</v>
      </c>
      <c r="C94" s="138" t="s">
        <v>59</v>
      </c>
      <c r="D94" s="92"/>
      <c r="E94" s="55"/>
      <c r="F94" s="55">
        <v>0.01</v>
      </c>
      <c r="G94" s="55">
        <v>3397.65</v>
      </c>
      <c r="H94" s="133">
        <v>0.03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f>G94*0.01</f>
        <v>33.976500000000001</v>
      </c>
      <c r="P94" s="37"/>
      <c r="Q94" s="37"/>
      <c r="R94" s="37"/>
      <c r="S94" s="37"/>
      <c r="T94" s="37"/>
      <c r="U94" s="37">
        <f>SUM(I94:T94)</f>
        <v>33.976500000000001</v>
      </c>
    </row>
    <row r="95" spans="1:26" s="19" customFormat="1">
      <c r="A95" s="101"/>
      <c r="B95" s="102" t="s">
        <v>95</v>
      </c>
      <c r="C95" s="101"/>
      <c r="D95" s="101"/>
      <c r="E95" s="97"/>
      <c r="F95" s="97"/>
      <c r="G95" s="97"/>
      <c r="H95" s="47">
        <f>SUM(H89:H94)</f>
        <v>8.6893199999999986</v>
      </c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46">
        <f>SUM(U89:U94)</f>
        <v>8693.2965000000004</v>
      </c>
    </row>
    <row r="96" spans="1:26">
      <c r="A96" s="103"/>
      <c r="B96" s="104"/>
      <c r="C96" s="103"/>
      <c r="D96" s="103"/>
      <c r="E96" s="55"/>
      <c r="F96" s="55"/>
      <c r="G96" s="55"/>
      <c r="H96" s="105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129"/>
    </row>
    <row r="97" spans="1:21" ht="12" customHeight="1">
      <c r="A97" s="91"/>
      <c r="B97" s="18" t="s">
        <v>96</v>
      </c>
      <c r="C97" s="69"/>
      <c r="D97" s="92"/>
      <c r="E97" s="55"/>
      <c r="F97" s="55"/>
      <c r="G97" s="55"/>
      <c r="H97" s="106">
        <f>H95/E98/12*1000</f>
        <v>0.39373062911206569</v>
      </c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129"/>
    </row>
    <row r="98" spans="1:21" s="19" customFormat="1">
      <c r="A98" s="107"/>
      <c r="B98" s="108" t="s">
        <v>97</v>
      </c>
      <c r="C98" s="109"/>
      <c r="D98" s="108"/>
      <c r="E98" s="152">
        <v>1839.1</v>
      </c>
      <c r="F98" s="110">
        <f>SUM(E98*12)</f>
        <v>22069.199999999997</v>
      </c>
      <c r="G98" s="111">
        <f>H86+H97</f>
        <v>19.599610905467046</v>
      </c>
      <c r="H98" s="112">
        <f>SUM(F98*G98/1000)</f>
        <v>432.54773299493326</v>
      </c>
      <c r="I98" s="97">
        <f t="shared" ref="I98:R98" si="25">SUM(I11:I97)</f>
        <v>38335.069789749992</v>
      </c>
      <c r="J98" s="97">
        <f t="shared" si="25"/>
        <v>33636.419789749998</v>
      </c>
      <c r="K98" s="97">
        <f t="shared" si="25"/>
        <v>30053.878139749999</v>
      </c>
      <c r="L98" s="97">
        <f t="shared" si="25"/>
        <v>42139.258139749996</v>
      </c>
      <c r="M98" s="97">
        <f t="shared" si="25"/>
        <v>71066.114363588873</v>
      </c>
      <c r="N98" s="97">
        <f t="shared" si="25"/>
        <v>23956.699547788889</v>
      </c>
      <c r="O98" s="97">
        <f t="shared" si="25"/>
        <v>23990.676047788889</v>
      </c>
      <c r="P98" s="97">
        <f t="shared" si="25"/>
        <v>0</v>
      </c>
      <c r="Q98" s="97">
        <f t="shared" si="25"/>
        <v>0</v>
      </c>
      <c r="R98" s="97">
        <f t="shared" si="25"/>
        <v>0</v>
      </c>
      <c r="S98" s="97">
        <f>SUM(S11:S97)</f>
        <v>12632.8</v>
      </c>
      <c r="T98" s="97">
        <f>SUM(T11:T97)</f>
        <v>0</v>
      </c>
      <c r="U98" s="46">
        <f>U83+U95</f>
        <v>287099.6888340743</v>
      </c>
    </row>
    <row r="99" spans="1:21">
      <c r="A99" s="113"/>
      <c r="B99" s="113"/>
      <c r="C99" s="113"/>
      <c r="D99" s="113"/>
      <c r="E99" s="114"/>
      <c r="F99" s="114"/>
      <c r="G99" s="114"/>
      <c r="H99" s="114"/>
      <c r="I99" s="114"/>
      <c r="J99" s="114"/>
      <c r="K99" s="114"/>
      <c r="L99" s="114"/>
      <c r="M99" s="113"/>
      <c r="N99" s="114"/>
      <c r="O99" s="113"/>
      <c r="P99" s="113"/>
      <c r="Q99" s="113"/>
      <c r="R99" s="113"/>
      <c r="S99" s="113"/>
      <c r="T99" s="113"/>
      <c r="U99" s="113"/>
    </row>
    <row r="100" spans="1:21">
      <c r="A100" s="113"/>
      <c r="B100" s="113"/>
      <c r="C100" s="113"/>
      <c r="D100" s="113"/>
      <c r="E100" s="114"/>
      <c r="F100" s="114"/>
      <c r="G100" s="114"/>
      <c r="H100" s="114"/>
      <c r="I100" s="114"/>
      <c r="J100" s="115"/>
      <c r="K100" s="116"/>
      <c r="L100" s="115"/>
      <c r="M100" s="114"/>
      <c r="N100" s="113"/>
      <c r="O100" s="113"/>
      <c r="P100" s="113"/>
      <c r="Q100" s="113"/>
      <c r="R100" s="113"/>
      <c r="S100" s="113"/>
      <c r="T100" s="113"/>
      <c r="U100" s="113"/>
    </row>
    <row r="101" spans="1:21" ht="45">
      <c r="A101" s="113"/>
      <c r="B101" s="117" t="s">
        <v>137</v>
      </c>
      <c r="C101" s="160">
        <v>175794.54</v>
      </c>
      <c r="D101" s="161"/>
      <c r="E101" s="161"/>
      <c r="F101" s="162"/>
      <c r="G101" s="114"/>
      <c r="H101" s="114"/>
      <c r="I101" s="114"/>
      <c r="J101" s="115"/>
      <c r="K101" s="116"/>
      <c r="L101" s="115"/>
      <c r="M101" s="114"/>
      <c r="N101" s="113"/>
      <c r="O101" s="113"/>
      <c r="P101" s="113"/>
      <c r="Q101" s="113"/>
      <c r="R101" s="113"/>
      <c r="S101" s="113"/>
      <c r="T101" s="113"/>
      <c r="U101" s="113"/>
    </row>
    <row r="102" spans="1:21" ht="30">
      <c r="A102" s="113"/>
      <c r="B102" s="22" t="s">
        <v>208</v>
      </c>
      <c r="C102" s="160">
        <f>41526.87*7</f>
        <v>290688.09000000003</v>
      </c>
      <c r="D102" s="161"/>
      <c r="E102" s="161"/>
      <c r="F102" s="162"/>
      <c r="G102" s="114"/>
      <c r="H102" s="114"/>
      <c r="I102" s="114"/>
      <c r="J102" s="115"/>
      <c r="K102" s="116"/>
      <c r="L102" s="115"/>
      <c r="M102" s="114"/>
      <c r="N102" s="113"/>
      <c r="O102" s="113"/>
      <c r="P102" s="113"/>
      <c r="Q102" s="113"/>
      <c r="R102" s="113"/>
      <c r="S102" s="113"/>
      <c r="T102" s="113"/>
      <c r="U102" s="113"/>
    </row>
    <row r="103" spans="1:21" ht="30">
      <c r="A103" s="113"/>
      <c r="B103" s="22" t="s">
        <v>209</v>
      </c>
      <c r="C103" s="160">
        <f>SUM(U98-U95)</f>
        <v>278406.39233407431</v>
      </c>
      <c r="D103" s="161"/>
      <c r="E103" s="161"/>
      <c r="F103" s="162"/>
      <c r="G103" s="114"/>
      <c r="H103" s="114"/>
      <c r="I103" s="114"/>
      <c r="J103" s="115"/>
      <c r="K103" s="116"/>
      <c r="L103" s="115"/>
      <c r="M103" s="114"/>
      <c r="N103" s="113"/>
      <c r="O103" s="113"/>
      <c r="P103" s="113"/>
      <c r="Q103" s="113"/>
      <c r="R103" s="113"/>
      <c r="S103" s="113"/>
      <c r="T103" s="113"/>
      <c r="U103" s="113"/>
    </row>
    <row r="104" spans="1:21" ht="30">
      <c r="A104" s="113"/>
      <c r="B104" s="22" t="s">
        <v>210</v>
      </c>
      <c r="C104" s="160">
        <f>SUM(U95)</f>
        <v>8693.2965000000004</v>
      </c>
      <c r="D104" s="161"/>
      <c r="E104" s="161"/>
      <c r="F104" s="162"/>
      <c r="G104" s="114"/>
      <c r="H104" s="114"/>
      <c r="I104" s="114"/>
      <c r="J104" s="115"/>
      <c r="K104" s="116"/>
      <c r="L104" s="115"/>
      <c r="M104" s="114"/>
      <c r="N104" s="113"/>
      <c r="O104" s="113"/>
      <c r="P104" s="113"/>
      <c r="Q104" s="113"/>
      <c r="R104" s="113"/>
      <c r="S104" s="113"/>
      <c r="T104" s="113"/>
      <c r="U104" s="113"/>
    </row>
    <row r="105" spans="1:21" ht="30">
      <c r="A105" s="113"/>
      <c r="B105" s="125" t="s">
        <v>211</v>
      </c>
      <c r="C105" s="160">
        <f>29847.63+32487.18+42450.46+47337.13+44678.46+30243.41+36109.32</f>
        <v>263153.58999999997</v>
      </c>
      <c r="D105" s="161"/>
      <c r="E105" s="161"/>
      <c r="F105" s="162"/>
      <c r="G105" s="113"/>
      <c r="I105" s="118" t="s">
        <v>104</v>
      </c>
      <c r="J105" s="119"/>
      <c r="K105" s="120"/>
      <c r="L105" s="121"/>
      <c r="M105" s="118"/>
      <c r="N105" s="118"/>
      <c r="O105" s="113"/>
      <c r="P105" s="113"/>
      <c r="Q105" s="113"/>
      <c r="R105" s="113"/>
      <c r="S105" s="113"/>
      <c r="T105" s="113"/>
      <c r="U105" s="113"/>
    </row>
    <row r="106" spans="1:21" ht="78.75">
      <c r="A106" s="113"/>
      <c r="B106" s="23" t="s">
        <v>159</v>
      </c>
      <c r="C106" s="166">
        <v>181015.28</v>
      </c>
      <c r="D106" s="167"/>
      <c r="E106" s="167"/>
      <c r="F106" s="168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</row>
    <row r="107" spans="1:21" ht="45">
      <c r="A107" s="113"/>
      <c r="B107" s="122" t="s">
        <v>160</v>
      </c>
      <c r="C107" s="163">
        <f>SUM(U98-C102)+C101</f>
        <v>172206.13883407429</v>
      </c>
      <c r="D107" s="164"/>
      <c r="E107" s="164"/>
      <c r="F107" s="165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</row>
    <row r="109" spans="1:21">
      <c r="J109" s="4"/>
      <c r="K109" s="5"/>
      <c r="L109" s="5"/>
      <c r="M109" s="3"/>
    </row>
    <row r="110" spans="1:21">
      <c r="G110" s="6"/>
      <c r="H110" s="6"/>
    </row>
    <row r="111" spans="1:21">
      <c r="G111" s="7"/>
    </row>
  </sheetData>
  <mergeCells count="12">
    <mergeCell ref="C101:F101"/>
    <mergeCell ref="C107:F107"/>
    <mergeCell ref="C102:F102"/>
    <mergeCell ref="C103:F103"/>
    <mergeCell ref="C104:F104"/>
    <mergeCell ref="C105:F105"/>
    <mergeCell ref="C106:F106"/>
    <mergeCell ref="W84:Z84"/>
    <mergeCell ref="B3:L3"/>
    <mergeCell ref="B4:L4"/>
    <mergeCell ref="B5:L5"/>
    <mergeCell ref="B6:L6"/>
  </mergeCells>
  <pageMargins left="0.51181102362204722" right="0.11811023622047245" top="0.15748031496062992" bottom="0.19685039370078741" header="0.15748031496062992" footer="0.15748031496062992"/>
  <pageSetup paperSize="9" scale="4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Нефт.,7</vt:lpstr>
      <vt:lpstr>'Нефт.,7'!Область_печати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2017-05-12T07:22:19Z</cp:lastPrinted>
  <dcterms:created xsi:type="dcterms:W3CDTF">2014-02-05T12:20:20Z</dcterms:created>
  <dcterms:modified xsi:type="dcterms:W3CDTF">2017-05-12T07:22:38Z</dcterms:modified>
</cp:coreProperties>
</file>