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7"/>
  </bookViews>
  <sheets>
    <sheet name="01.18" sheetId="8" r:id="rId1"/>
    <sheet name="02.18" sheetId="9" r:id="rId2"/>
    <sheet name="03.18" sheetId="10" r:id="rId3"/>
    <sheet name="04.18" sheetId="11" r:id="rId4"/>
    <sheet name="05.18" sheetId="12" r:id="rId5"/>
    <sheet name="06.18" sheetId="13" r:id="rId6"/>
    <sheet name="07.18" sheetId="14" r:id="rId7"/>
    <sheet name="08.18" sheetId="15" r:id="rId8"/>
    <sheet name="09.18" sheetId="16" r:id="rId9"/>
    <sheet name="10.18" sheetId="17" r:id="rId10"/>
    <sheet name="11.18" sheetId="18" r:id="rId11"/>
    <sheet name="12.18" sheetId="19" r:id="rId12"/>
  </sheets>
  <definedNames>
    <definedName name="_xlnm._FilterDatabase" localSheetId="0" hidden="1">'01.18'!$I$12:$I$66</definedName>
    <definedName name="_xlnm._FilterDatabase" localSheetId="1" hidden="1">'02.18'!$I$12:$I$66</definedName>
    <definedName name="_xlnm._FilterDatabase" localSheetId="2" hidden="1">'03.18'!$I$12:$I$66</definedName>
    <definedName name="_xlnm._FilterDatabase" localSheetId="3" hidden="1">'04.18'!$I$12:$I$59</definedName>
    <definedName name="_xlnm._FilterDatabase" localSheetId="4" hidden="1">'05.18'!$I$12:$I$66</definedName>
    <definedName name="_xlnm._FilterDatabase" localSheetId="5" hidden="1">'06.18'!$I$12:$I$66</definedName>
    <definedName name="_xlnm._FilterDatabase" localSheetId="6" hidden="1">'07.18'!$I$12:$I$66</definedName>
    <definedName name="_xlnm._FilterDatabase" localSheetId="7" hidden="1">'08.18'!$I$12:$I$66</definedName>
    <definedName name="_xlnm._FilterDatabase" localSheetId="8" hidden="1">'09.18'!$I$12:$I$66</definedName>
    <definedName name="_xlnm._FilterDatabase" localSheetId="9" hidden="1">'10.18'!$I$12:$I$66</definedName>
    <definedName name="_xlnm._FilterDatabase" localSheetId="10" hidden="1">'11.18'!$I$12:$I$66</definedName>
    <definedName name="_xlnm._FilterDatabase" localSheetId="11" hidden="1">'12.18'!$I$12:$I$67</definedName>
    <definedName name="_xlnm.Print_Area" localSheetId="0">'01.18'!$A$1:$I$120</definedName>
    <definedName name="_xlnm.Print_Area" localSheetId="1">'02.18'!$A$1:$I$114</definedName>
    <definedName name="_xlnm.Print_Area" localSheetId="2">'03.18'!$A$1:$I$114</definedName>
    <definedName name="_xlnm.Print_Area" localSheetId="3">'04.18'!$A$1:$I$125</definedName>
    <definedName name="_xlnm.Print_Area" localSheetId="4">'05.18'!$A$1:$I$115</definedName>
    <definedName name="_xlnm.Print_Area" localSheetId="5">'06.18'!$A$1:$I$124</definedName>
    <definedName name="_xlnm.Print_Area" localSheetId="6">'07.18'!$A$1:$I$124</definedName>
    <definedName name="_xlnm.Print_Area" localSheetId="7">'08.18'!$A$1:$I$144</definedName>
    <definedName name="_xlnm.Print_Area" localSheetId="8">'09.18'!$A$1:$I$123</definedName>
    <definedName name="_xlnm.Print_Area" localSheetId="9">'10.18'!$A$1:$I$132</definedName>
    <definedName name="_xlnm.Print_Area" localSheetId="10">'11.18'!$A$1:$I$118</definedName>
    <definedName name="_xlnm.Print_Area" localSheetId="11">'12.18'!$A$1:$I$123</definedName>
  </definedNames>
  <calcPr calcId="124519"/>
</workbook>
</file>

<file path=xl/calcChain.xml><?xml version="1.0" encoding="utf-8"?>
<calcChain xmlns="http://schemas.openxmlformats.org/spreadsheetml/2006/main">
  <c r="I121" i="15"/>
  <c r="I120"/>
  <c r="I109" i="17"/>
  <c r="I90"/>
  <c r="I44" i="19"/>
  <c r="I66"/>
  <c r="I75"/>
  <c r="I79"/>
  <c r="I84"/>
  <c r="I99"/>
  <c r="I98"/>
  <c r="I97"/>
  <c r="I96"/>
  <c r="I95"/>
  <c r="I94"/>
  <c r="I93"/>
  <c r="I92"/>
  <c r="I100" s="1"/>
  <c r="F92"/>
  <c r="F89"/>
  <c r="F88"/>
  <c r="F84"/>
  <c r="F79"/>
  <c r="F75"/>
  <c r="F66"/>
  <c r="F64"/>
  <c r="F59"/>
  <c r="F58"/>
  <c r="F51"/>
  <c r="F43"/>
  <c r="I43" s="1"/>
  <c r="F42"/>
  <c r="F41"/>
  <c r="F40"/>
  <c r="F39"/>
  <c r="F34" l="1"/>
  <c r="F33"/>
  <c r="F32"/>
  <c r="F31"/>
  <c r="F30"/>
  <c r="F27"/>
  <c r="F26"/>
  <c r="F24"/>
  <c r="F23"/>
  <c r="F22"/>
  <c r="F21"/>
  <c r="I21" s="1"/>
  <c r="F20"/>
  <c r="I20" s="1"/>
  <c r="F19"/>
  <c r="E18"/>
  <c r="F18" s="1"/>
  <c r="F17"/>
  <c r="F16"/>
  <c r="I95" i="18"/>
  <c r="I65"/>
  <c r="I94"/>
  <c r="I93"/>
  <c r="I92"/>
  <c r="I91"/>
  <c r="I90" l="1"/>
  <c r="I76" l="1"/>
  <c r="I89"/>
  <c r="I88"/>
  <c r="I58"/>
  <c r="I45"/>
  <c r="I108" i="17"/>
  <c r="I95"/>
  <c r="I58"/>
  <c r="I107"/>
  <c r="I106" l="1"/>
  <c r="I105"/>
  <c r="I104"/>
  <c r="I103"/>
  <c r="I102"/>
  <c r="I101"/>
  <c r="I100"/>
  <c r="I99"/>
  <c r="I98"/>
  <c r="I97"/>
  <c r="I96"/>
  <c r="I94"/>
  <c r="I93"/>
  <c r="I92"/>
  <c r="I91"/>
  <c r="I89"/>
  <c r="I88"/>
  <c r="I88" i="16"/>
  <c r="I100" l="1"/>
  <c r="I65"/>
  <c r="I99"/>
  <c r="I76"/>
  <c r="I91"/>
  <c r="I90"/>
  <c r="I89"/>
  <c r="I115" i="15"/>
  <c r="I86"/>
  <c r="I119"/>
  <c r="I89"/>
  <c r="I114"/>
  <c r="I65"/>
  <c r="I88"/>
  <c r="I117"/>
  <c r="I116"/>
  <c r="I118"/>
  <c r="I113"/>
  <c r="I112"/>
  <c r="I111"/>
  <c r="I110"/>
  <c r="I91" l="1"/>
  <c r="I90"/>
  <c r="I76"/>
  <c r="I53" i="11"/>
  <c r="I58" i="10"/>
  <c r="I58" i="9"/>
  <c r="I86" i="8"/>
  <c r="I101" i="13" l="1"/>
  <c r="I100"/>
  <c r="I101" i="14" l="1"/>
  <c r="I86"/>
  <c r="I93"/>
  <c r="I92"/>
  <c r="I91"/>
  <c r="I90"/>
  <c r="H90"/>
  <c r="I88"/>
  <c r="I89"/>
  <c r="I76"/>
  <c r="I65"/>
  <c r="I92" i="12"/>
  <c r="I91"/>
  <c r="I86" i="13"/>
  <c r="I94"/>
  <c r="I93"/>
  <c r="I91"/>
  <c r="I96"/>
  <c r="I89"/>
  <c r="I65"/>
  <c r="I98"/>
  <c r="I92"/>
  <c r="I88"/>
  <c r="I90"/>
  <c r="I95"/>
  <c r="I99"/>
  <c r="I76"/>
  <c r="I72"/>
  <c r="I63" i="12"/>
  <c r="I90"/>
  <c r="I89"/>
  <c r="I88"/>
  <c r="I19"/>
  <c r="I89" i="9"/>
  <c r="I81" i="11"/>
  <c r="I102"/>
  <c r="I95"/>
  <c r="I50"/>
  <c r="I49"/>
  <c r="I48"/>
  <c r="I58" l="1"/>
  <c r="I77"/>
  <c r="I101"/>
  <c r="I100"/>
  <c r="I99"/>
  <c r="I98" l="1"/>
  <c r="I97"/>
  <c r="I96"/>
  <c r="I93"/>
  <c r="I92"/>
  <c r="I91"/>
  <c r="I90"/>
  <c r="I89"/>
  <c r="I88"/>
  <c r="I87"/>
  <c r="I84"/>
  <c r="I86"/>
  <c r="I85"/>
  <c r="I83"/>
  <c r="I45"/>
  <c r="I89" i="10"/>
  <c r="I90"/>
  <c r="I91" s="1"/>
  <c r="H90"/>
  <c r="H89"/>
  <c r="I88"/>
  <c r="H88"/>
  <c r="I86"/>
  <c r="I76"/>
  <c r="F63"/>
  <c r="H63" s="1"/>
  <c r="I60"/>
  <c r="I45"/>
  <c r="I44"/>
  <c r="I88" i="9"/>
  <c r="H88"/>
  <c r="I45"/>
  <c r="I44"/>
  <c r="I45" i="8"/>
  <c r="I44"/>
  <c r="I63" i="10" l="1"/>
  <c r="I90" i="9" l="1"/>
  <c r="I91"/>
  <c r="H90"/>
  <c r="H89"/>
  <c r="I78"/>
  <c r="F63"/>
  <c r="I97" i="8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65"/>
  <c r="F63"/>
  <c r="H63" s="1"/>
  <c r="H99" i="19" l="1"/>
  <c r="H98"/>
  <c r="H97"/>
  <c r="H96"/>
  <c r="H95"/>
  <c r="H94"/>
  <c r="H93"/>
  <c r="H92"/>
  <c r="I89"/>
  <c r="I88"/>
  <c r="H86"/>
  <c r="I83"/>
  <c r="F83"/>
  <c r="H83" s="1"/>
  <c r="I82"/>
  <c r="H82"/>
  <c r="H81"/>
  <c r="H80"/>
  <c r="H79"/>
  <c r="I77"/>
  <c r="H77"/>
  <c r="I73"/>
  <c r="H73"/>
  <c r="F72"/>
  <c r="H72" s="1"/>
  <c r="F71"/>
  <c r="I71" s="1"/>
  <c r="F70"/>
  <c r="H70" s="1"/>
  <c r="F69"/>
  <c r="I69" s="1"/>
  <c r="F68"/>
  <c r="H68" s="1"/>
  <c r="H67"/>
  <c r="H66"/>
  <c r="H64"/>
  <c r="H63"/>
  <c r="H60"/>
  <c r="I59"/>
  <c r="H59"/>
  <c r="I58"/>
  <c r="I55"/>
  <c r="F55"/>
  <c r="H55" s="1"/>
  <c r="I54"/>
  <c r="H54"/>
  <c r="F53"/>
  <c r="I53" s="1"/>
  <c r="F52"/>
  <c r="H52" s="1"/>
  <c r="I51"/>
  <c r="F50"/>
  <c r="H50" s="1"/>
  <c r="F49"/>
  <c r="I49" s="1"/>
  <c r="F48"/>
  <c r="H48" s="1"/>
  <c r="F47"/>
  <c r="I47" s="1"/>
  <c r="I45"/>
  <c r="H45"/>
  <c r="H44"/>
  <c r="H42"/>
  <c r="H41"/>
  <c r="I40"/>
  <c r="H40"/>
  <c r="H39"/>
  <c r="I38"/>
  <c r="H38"/>
  <c r="H35"/>
  <c r="H34"/>
  <c r="I33"/>
  <c r="H32"/>
  <c r="I31"/>
  <c r="H30"/>
  <c r="H27"/>
  <c r="I26"/>
  <c r="I25"/>
  <c r="H25"/>
  <c r="I24"/>
  <c r="I23"/>
  <c r="I22"/>
  <c r="I19"/>
  <c r="I17"/>
  <c r="I16"/>
  <c r="H89" i="18"/>
  <c r="H88"/>
  <c r="F85"/>
  <c r="I85" s="1"/>
  <c r="F84"/>
  <c r="I84" s="1"/>
  <c r="H82"/>
  <c r="I80"/>
  <c r="F80"/>
  <c r="H80" s="1"/>
  <c r="I79"/>
  <c r="H79"/>
  <c r="H78"/>
  <c r="H77"/>
  <c r="H76"/>
  <c r="I74"/>
  <c r="H74"/>
  <c r="I72"/>
  <c r="H72"/>
  <c r="F71"/>
  <c r="H71" s="1"/>
  <c r="F70"/>
  <c r="I70" s="1"/>
  <c r="F69"/>
  <c r="H69" s="1"/>
  <c r="F68"/>
  <c r="I68" s="1"/>
  <c r="F67"/>
  <c r="H67" s="1"/>
  <c r="H66"/>
  <c r="H65"/>
  <c r="H63"/>
  <c r="H62"/>
  <c r="H60"/>
  <c r="I59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45"/>
  <c r="F44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1" i="17"/>
  <c r="H90"/>
  <c r="H22" i="19" l="1"/>
  <c r="H89"/>
  <c r="H17"/>
  <c r="H20"/>
  <c r="H24"/>
  <c r="H85" i="18"/>
  <c r="H44"/>
  <c r="I44"/>
  <c r="H18" i="19"/>
  <c r="I18"/>
  <c r="H16"/>
  <c r="H19"/>
  <c r="H21"/>
  <c r="H23"/>
  <c r="H26"/>
  <c r="I27"/>
  <c r="I30"/>
  <c r="H31"/>
  <c r="I32"/>
  <c r="H33"/>
  <c r="I39"/>
  <c r="I42"/>
  <c r="H43"/>
  <c r="H47"/>
  <c r="I48"/>
  <c r="H49"/>
  <c r="I50"/>
  <c r="H51"/>
  <c r="I52"/>
  <c r="H53"/>
  <c r="H58"/>
  <c r="I64"/>
  <c r="I90" s="1"/>
  <c r="I68"/>
  <c r="H69"/>
  <c r="I70"/>
  <c r="H71"/>
  <c r="I72"/>
  <c r="H88"/>
  <c r="H18" i="18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H47"/>
  <c r="I48"/>
  <c r="H49"/>
  <c r="I50"/>
  <c r="H51"/>
  <c r="I52"/>
  <c r="H53"/>
  <c r="H58"/>
  <c r="I63"/>
  <c r="I86" s="1"/>
  <c r="I67"/>
  <c r="H68"/>
  <c r="I69"/>
  <c r="H70"/>
  <c r="I71"/>
  <c r="H84"/>
  <c r="I102" i="19" l="1"/>
  <c r="I97" i="18"/>
  <c r="F89" i="17" l="1"/>
  <c r="H89" s="1"/>
  <c r="H88"/>
  <c r="I65"/>
  <c r="F85" l="1"/>
  <c r="H85" s="1"/>
  <c r="F84"/>
  <c r="I84" s="1"/>
  <c r="H82"/>
  <c r="I80"/>
  <c r="F80"/>
  <c r="H80" s="1"/>
  <c r="I79"/>
  <c r="H79"/>
  <c r="H78"/>
  <c r="H77"/>
  <c r="I76"/>
  <c r="H76"/>
  <c r="I74"/>
  <c r="H74"/>
  <c r="I72"/>
  <c r="H72"/>
  <c r="F71"/>
  <c r="H71" s="1"/>
  <c r="F70"/>
  <c r="I70" s="1"/>
  <c r="F69"/>
  <c r="H69" s="1"/>
  <c r="F68"/>
  <c r="I68" s="1"/>
  <c r="F67"/>
  <c r="H67" s="1"/>
  <c r="H66"/>
  <c r="H65"/>
  <c r="I63"/>
  <c r="H62"/>
  <c r="H60"/>
  <c r="I59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98" i="16"/>
  <c r="H98" s="1"/>
  <c r="F97"/>
  <c r="H97" s="1"/>
  <c r="H96"/>
  <c r="F96"/>
  <c r="H95"/>
  <c r="H91"/>
  <c r="H89"/>
  <c r="I72"/>
  <c r="H94"/>
  <c r="H93"/>
  <c r="H92"/>
  <c r="H90"/>
  <c r="H88"/>
  <c r="H85"/>
  <c r="F85"/>
  <c r="I85" s="1"/>
  <c r="F84"/>
  <c r="I84" s="1"/>
  <c r="H82"/>
  <c r="I80"/>
  <c r="F80"/>
  <c r="H80" s="1"/>
  <c r="I79"/>
  <c r="H79"/>
  <c r="H78"/>
  <c r="H77"/>
  <c r="H76"/>
  <c r="I74"/>
  <c r="H74"/>
  <c r="H72"/>
  <c r="F71"/>
  <c r="I71" s="1"/>
  <c r="F70"/>
  <c r="H70" s="1"/>
  <c r="F69"/>
  <c r="I69" s="1"/>
  <c r="F68"/>
  <c r="H68" s="1"/>
  <c r="F67"/>
  <c r="I67" s="1"/>
  <c r="H66"/>
  <c r="H65"/>
  <c r="I63"/>
  <c r="I86" s="1"/>
  <c r="H62"/>
  <c r="H60"/>
  <c r="I59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63" i="17" l="1"/>
  <c r="H18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7"/>
  <c r="H68"/>
  <c r="I69"/>
  <c r="H70"/>
  <c r="I71"/>
  <c r="H84"/>
  <c r="I85"/>
  <c r="I86" s="1"/>
  <c r="H63" i="16"/>
  <c r="I18"/>
  <c r="H18"/>
  <c r="I16"/>
  <c r="H17"/>
  <c r="I19"/>
  <c r="H20"/>
  <c r="I21"/>
  <c r="H22"/>
  <c r="I23"/>
  <c r="H24"/>
  <c r="I26"/>
  <c r="H27"/>
  <c r="I28"/>
  <c r="H31"/>
  <c r="I32"/>
  <c r="H33"/>
  <c r="I34"/>
  <c r="H39"/>
  <c r="H42"/>
  <c r="I43"/>
  <c r="H44"/>
  <c r="I47"/>
  <c r="H48"/>
  <c r="I49"/>
  <c r="H50"/>
  <c r="I51"/>
  <c r="H52"/>
  <c r="I53"/>
  <c r="I58"/>
  <c r="H67"/>
  <c r="I68"/>
  <c r="H69"/>
  <c r="I70"/>
  <c r="H71"/>
  <c r="H84"/>
  <c r="I111" i="17" l="1"/>
  <c r="I102" i="16"/>
  <c r="F109" i="15" l="1"/>
  <c r="H109" s="1"/>
  <c r="F108"/>
  <c r="H108" s="1"/>
  <c r="H107"/>
  <c r="H106"/>
  <c r="H105"/>
  <c r="H104"/>
  <c r="H103"/>
  <c r="H102"/>
  <c r="H101"/>
  <c r="H100"/>
  <c r="H99"/>
  <c r="H98"/>
  <c r="H97"/>
  <c r="H96"/>
  <c r="H95"/>
  <c r="H94"/>
  <c r="H93"/>
  <c r="H92"/>
  <c r="H91"/>
  <c r="F91"/>
  <c r="H90"/>
  <c r="H89"/>
  <c r="I80"/>
  <c r="H88"/>
  <c r="F85"/>
  <c r="H85" s="1"/>
  <c r="F84"/>
  <c r="I84" s="1"/>
  <c r="H82"/>
  <c r="F80"/>
  <c r="H80" s="1"/>
  <c r="I79"/>
  <c r="H79"/>
  <c r="H78"/>
  <c r="H77"/>
  <c r="H76"/>
  <c r="I74"/>
  <c r="H74"/>
  <c r="H72"/>
  <c r="F71"/>
  <c r="H71" s="1"/>
  <c r="F70"/>
  <c r="I70" s="1"/>
  <c r="F69"/>
  <c r="H69" s="1"/>
  <c r="F68"/>
  <c r="I68" s="1"/>
  <c r="F67"/>
  <c r="H67" s="1"/>
  <c r="H66"/>
  <c r="H65"/>
  <c r="H63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18" l="1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H84"/>
  <c r="I85"/>
  <c r="I123" l="1"/>
  <c r="H100" i="14" l="1"/>
  <c r="H99"/>
  <c r="H98"/>
  <c r="H97"/>
  <c r="H96"/>
  <c r="H95"/>
  <c r="H94"/>
  <c r="H93"/>
  <c r="H92"/>
  <c r="H91"/>
  <c r="F90"/>
  <c r="H89"/>
  <c r="I74"/>
  <c r="H88"/>
  <c r="F85"/>
  <c r="I85" s="1"/>
  <c r="F84"/>
  <c r="H84" s="1"/>
  <c r="H82"/>
  <c r="F80"/>
  <c r="H80" s="1"/>
  <c r="I79"/>
  <c r="H79"/>
  <c r="H78"/>
  <c r="H77"/>
  <c r="H76"/>
  <c r="H74"/>
  <c r="H72"/>
  <c r="F71"/>
  <c r="H71" s="1"/>
  <c r="F70"/>
  <c r="I70" s="1"/>
  <c r="F69"/>
  <c r="H69" s="1"/>
  <c r="F68"/>
  <c r="I68" s="1"/>
  <c r="F67"/>
  <c r="H67" s="1"/>
  <c r="H66"/>
  <c r="H65"/>
  <c r="H63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9" i="13"/>
  <c r="H95"/>
  <c r="H93"/>
  <c r="H91"/>
  <c r="H90"/>
  <c r="F85"/>
  <c r="H85" s="1"/>
  <c r="F84"/>
  <c r="I84" s="1"/>
  <c r="H82"/>
  <c r="F80"/>
  <c r="H80" s="1"/>
  <c r="I79"/>
  <c r="H79"/>
  <c r="H78"/>
  <c r="H77"/>
  <c r="H76"/>
  <c r="H74"/>
  <c r="H72"/>
  <c r="F71"/>
  <c r="I71" s="1"/>
  <c r="F70"/>
  <c r="H70" s="1"/>
  <c r="F69"/>
  <c r="I69" s="1"/>
  <c r="F68"/>
  <c r="H68" s="1"/>
  <c r="F67"/>
  <c r="I67" s="1"/>
  <c r="H66"/>
  <c r="H65"/>
  <c r="I63"/>
  <c r="H62"/>
  <c r="H60"/>
  <c r="I59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8" i="12"/>
  <c r="F88"/>
  <c r="I65"/>
  <c r="I25"/>
  <c r="F85"/>
  <c r="I85" s="1"/>
  <c r="F84"/>
  <c r="H84" s="1"/>
  <c r="H82"/>
  <c r="F80"/>
  <c r="H80" s="1"/>
  <c r="I79"/>
  <c r="H79"/>
  <c r="H78"/>
  <c r="H77"/>
  <c r="I76"/>
  <c r="H76"/>
  <c r="H74"/>
  <c r="H72"/>
  <c r="F71"/>
  <c r="H71" s="1"/>
  <c r="F70"/>
  <c r="H70" s="1"/>
  <c r="F69"/>
  <c r="H69" s="1"/>
  <c r="F68"/>
  <c r="H68" s="1"/>
  <c r="F67"/>
  <c r="H67" s="1"/>
  <c r="H66"/>
  <c r="H65"/>
  <c r="F63"/>
  <c r="I86" s="1"/>
  <c r="H62"/>
  <c r="H60"/>
  <c r="I59"/>
  <c r="H59"/>
  <c r="F58"/>
  <c r="H58" s="1"/>
  <c r="I55"/>
  <c r="H55"/>
  <c r="F55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4" i="11"/>
  <c r="F95"/>
  <c r="H95" s="1"/>
  <c r="H94"/>
  <c r="H89"/>
  <c r="H88"/>
  <c r="H87"/>
  <c r="H86"/>
  <c r="F85"/>
  <c r="H85" s="1"/>
  <c r="H84"/>
  <c r="H83"/>
  <c r="F80"/>
  <c r="I80" s="1"/>
  <c r="F79"/>
  <c r="I79" s="1"/>
  <c r="H75"/>
  <c r="F73"/>
  <c r="H73" s="1"/>
  <c r="I72"/>
  <c r="H72"/>
  <c r="H71"/>
  <c r="H70"/>
  <c r="I69"/>
  <c r="H69"/>
  <c r="H67"/>
  <c r="H65"/>
  <c r="F64"/>
  <c r="H64" s="1"/>
  <c r="F63"/>
  <c r="H63" s="1"/>
  <c r="F62"/>
  <c r="H62" s="1"/>
  <c r="F61"/>
  <c r="H61" s="1"/>
  <c r="F60"/>
  <c r="H60" s="1"/>
  <c r="H59"/>
  <c r="F58"/>
  <c r="H58" s="1"/>
  <c r="H57"/>
  <c r="H55"/>
  <c r="I54"/>
  <c r="H54"/>
  <c r="F53"/>
  <c r="I46"/>
  <c r="F46"/>
  <c r="H46" s="1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85" i="10"/>
  <c r="I85" s="1"/>
  <c r="F84"/>
  <c r="H84" s="1"/>
  <c r="H82"/>
  <c r="F80"/>
  <c r="H80" s="1"/>
  <c r="I79"/>
  <c r="H79"/>
  <c r="H78"/>
  <c r="H77"/>
  <c r="H76"/>
  <c r="H74"/>
  <c r="H72"/>
  <c r="F71"/>
  <c r="H71" s="1"/>
  <c r="F70"/>
  <c r="H70" s="1"/>
  <c r="F69"/>
  <c r="H69" s="1"/>
  <c r="F68"/>
  <c r="H68" s="1"/>
  <c r="F67"/>
  <c r="H67" s="1"/>
  <c r="H66"/>
  <c r="I65"/>
  <c r="H65"/>
  <c r="H62"/>
  <c r="H60"/>
  <c r="I59"/>
  <c r="H59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77" i="9"/>
  <c r="I74"/>
  <c r="I65"/>
  <c r="F85"/>
  <c r="I85" s="1"/>
  <c r="F84"/>
  <c r="H84" s="1"/>
  <c r="H80"/>
  <c r="F78"/>
  <c r="H78" s="1"/>
  <c r="H77"/>
  <c r="H76"/>
  <c r="H75"/>
  <c r="H74"/>
  <c r="H82"/>
  <c r="H72"/>
  <c r="F71"/>
  <c r="H71" s="1"/>
  <c r="F70"/>
  <c r="H70" s="1"/>
  <c r="F69"/>
  <c r="H69" s="1"/>
  <c r="F68"/>
  <c r="H68" s="1"/>
  <c r="F67"/>
  <c r="H67" s="1"/>
  <c r="H66"/>
  <c r="H65"/>
  <c r="I63"/>
  <c r="H62"/>
  <c r="H60"/>
  <c r="I59"/>
  <c r="H59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85" i="8"/>
  <c r="H85" s="1"/>
  <c r="F84"/>
  <c r="H84" s="1"/>
  <c r="H82"/>
  <c r="F80"/>
  <c r="H80" s="1"/>
  <c r="H79"/>
  <c r="H78"/>
  <c r="H77"/>
  <c r="H76"/>
  <c r="H74"/>
  <c r="H72"/>
  <c r="F71"/>
  <c r="H71" s="1"/>
  <c r="F70"/>
  <c r="H70" s="1"/>
  <c r="F69"/>
  <c r="H69" s="1"/>
  <c r="F68"/>
  <c r="H68" s="1"/>
  <c r="F67"/>
  <c r="H67" s="1"/>
  <c r="H66"/>
  <c r="H65"/>
  <c r="H62"/>
  <c r="H80" i="11" l="1"/>
  <c r="H18" i="14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I84"/>
  <c r="H85"/>
  <c r="I18" i="13"/>
  <c r="H18"/>
  <c r="I16"/>
  <c r="H17"/>
  <c r="I19"/>
  <c r="H20"/>
  <c r="I21"/>
  <c r="H22"/>
  <c r="I23"/>
  <c r="H24"/>
  <c r="I26"/>
  <c r="H27"/>
  <c r="I28"/>
  <c r="H31"/>
  <c r="I32"/>
  <c r="H33"/>
  <c r="I34"/>
  <c r="H39"/>
  <c r="H42"/>
  <c r="I43"/>
  <c r="H44"/>
  <c r="I47"/>
  <c r="H48"/>
  <c r="I49"/>
  <c r="H50"/>
  <c r="I51"/>
  <c r="H52"/>
  <c r="I53"/>
  <c r="I58"/>
  <c r="H63"/>
  <c r="H67"/>
  <c r="I68"/>
  <c r="H69"/>
  <c r="I70"/>
  <c r="H71"/>
  <c r="H84"/>
  <c r="I85"/>
  <c r="H85" i="12"/>
  <c r="I26"/>
  <c r="I24"/>
  <c r="I22"/>
  <c r="I50"/>
  <c r="I48"/>
  <c r="I71"/>
  <c r="I69"/>
  <c r="I20"/>
  <c r="I23"/>
  <c r="I21"/>
  <c r="I49"/>
  <c r="I47"/>
  <c r="I67"/>
  <c r="I70"/>
  <c r="I68"/>
  <c r="I18"/>
  <c r="H18"/>
  <c r="I16"/>
  <c r="H17"/>
  <c r="H27"/>
  <c r="I28"/>
  <c r="H31"/>
  <c r="I32"/>
  <c r="H33"/>
  <c r="I34"/>
  <c r="H39"/>
  <c r="H42"/>
  <c r="I43"/>
  <c r="H44"/>
  <c r="I51"/>
  <c r="H52"/>
  <c r="I53"/>
  <c r="I58"/>
  <c r="H63"/>
  <c r="I84"/>
  <c r="I18" i="11"/>
  <c r="H18"/>
  <c r="I16"/>
  <c r="H17"/>
  <c r="H27"/>
  <c r="I28"/>
  <c r="H31"/>
  <c r="I32"/>
  <c r="H33"/>
  <c r="I34"/>
  <c r="H39"/>
  <c r="H42"/>
  <c r="I43"/>
  <c r="H44"/>
  <c r="H53"/>
  <c r="H79"/>
  <c r="H85" i="10"/>
  <c r="H18"/>
  <c r="I18"/>
  <c r="H16"/>
  <c r="I17"/>
  <c r="I27"/>
  <c r="H28"/>
  <c r="I31"/>
  <c r="H32"/>
  <c r="I33"/>
  <c r="H34"/>
  <c r="I39"/>
  <c r="I42"/>
  <c r="H43"/>
  <c r="H51"/>
  <c r="I84"/>
  <c r="H18" i="9"/>
  <c r="I18"/>
  <c r="H16"/>
  <c r="I17"/>
  <c r="I27"/>
  <c r="H28"/>
  <c r="I31"/>
  <c r="H32"/>
  <c r="I33"/>
  <c r="H34"/>
  <c r="I39"/>
  <c r="I42"/>
  <c r="H43"/>
  <c r="H51"/>
  <c r="H63"/>
  <c r="I84"/>
  <c r="H85"/>
  <c r="I85" i="8"/>
  <c r="I84"/>
  <c r="I63"/>
  <c r="I103" i="14" l="1"/>
  <c r="I86" i="9"/>
  <c r="I93" s="1"/>
  <c r="I103" i="13"/>
  <c r="I94" i="12"/>
  <c r="I93" i="10"/>
  <c r="H60" i="8" l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H34" s="1"/>
  <c r="F33"/>
  <c r="H33" s="1"/>
  <c r="F32"/>
  <c r="H32" s="1"/>
  <c r="F31"/>
  <c r="H31" s="1"/>
  <c r="F28"/>
  <c r="H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58" l="1"/>
  <c r="H17"/>
  <c r="I34"/>
  <c r="I51"/>
  <c r="I39"/>
  <c r="I42"/>
  <c r="H43"/>
  <c r="I33"/>
  <c r="I31"/>
  <c r="I32"/>
  <c r="I28"/>
  <c r="I27"/>
  <c r="I18"/>
  <c r="H18"/>
  <c r="I16"/>
  <c r="I99" l="1"/>
  <c r="I104" i="11"/>
</calcChain>
</file>

<file path=xl/sharedStrings.xml><?xml version="1.0" encoding="utf-8"?>
<sst xmlns="http://schemas.openxmlformats.org/spreadsheetml/2006/main" count="2756" uniqueCount="291">
  <si>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</si>
  <si>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</si>
  <si>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</si>
  <si>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</si>
  <si>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</si>
  <si>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</si>
  <si>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</si>
  <si>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</si>
  <si>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</si>
  <si>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</si>
  <si>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</si>
  <si>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</si>
  <si>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</si>
  <si>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</si>
  <si>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</si>
  <si>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</si>
  <si>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</si>
  <si>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</si>
  <si>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</si>
  <si>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</si>
  <si>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</si>
  <si>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</si>
  <si>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</si>
  <si>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</si>
  <si>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</si>
  <si>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</si>
  <si>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</si>
  <si>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</si>
  <si>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</si>
  <si>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</si>
  <si>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</si>
  <si>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</si>
  <si>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</si>
  <si>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</si>
  <si>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</si>
  <si>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</si>
  <si>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</si>
  <si>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</si>
  <si>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</si>
  <si>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</si>
  <si>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</si>
  <si>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</si>
  <si>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</si>
  <si>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</si>
  <si>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</si>
  <si>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</si>
  <si>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</si>
  <si>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</si>
  <si>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</si>
  <si>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</si>
  <si>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</si>
  <si>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</si>
  <si>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</si>
  <si>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</si>
  <si>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</si>
  <si>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</si>
  <si>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</si>
  <si>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</si>
  <si>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</si>
  <si>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</si>
  <si>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</si>
  <si>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</si>
  <si>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</si>
  <si>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</si>
  <si>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</si>
  <si>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</si>
  <si>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</si>
  <si>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</si>
  <si>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</si>
  <si>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</si>
  <si>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</si>
  <si>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</si>
  <si>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</si>
  <si>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</si>
  <si>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</si>
  <si>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</si>
  <si>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</si>
  <si>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</si>
  <si>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</si>
  <si>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</si>
  <si>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</si>
  <si>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</si>
  <si>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</si>
  <si>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</si>
  <si>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</si>
  <si>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Замена ламп ДРЛ</t>
  </si>
  <si>
    <t>генеральный директор Куканов Ю.Л.</t>
  </si>
  <si>
    <t>3м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</si>
  <si>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</si>
  <si>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</si>
  <si>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</si>
  <si>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</si>
  <si>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</si>
  <si>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</si>
  <si>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</si>
  <si>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</si>
  <si>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</si>
  <si>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</si>
  <si>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</si>
  <si>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</si>
  <si>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</si>
  <si>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</si>
  <si>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</si>
  <si>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</si>
  <si>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</si>
  <si>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</si>
  <si>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</si>
  <si>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</si>
  <si>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</si>
  <si>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</si>
  <si>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</si>
  <si>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</si>
  <si>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</si>
  <si>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</si>
  <si>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</si>
  <si>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</si>
  <si>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</si>
  <si>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</si>
  <si>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</si>
  <si>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</si>
  <si>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</si>
  <si>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</si>
  <si>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</si>
  <si>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</si>
  <si>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</si>
  <si>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</si>
  <si>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</si>
  <si>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</si>
  <si>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</si>
  <si>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</si>
  <si>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</si>
  <si>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</si>
  <si>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</si>
  <si>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</si>
  <si>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</si>
  <si>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</si>
  <si>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</si>
  <si>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</si>
  <si>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</si>
  <si>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</si>
  <si>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Внеплановый осмотр электросетей, армазуры и электрооборудования на лестничных клетках</t>
  </si>
  <si>
    <t>АКТ №1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</si>
  <si>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</si>
  <si>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</si>
  <si>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III. Проведение технических осмотров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</si>
  <si>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</si>
  <si>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</si>
  <si>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</si>
  <si>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</si>
  <si>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Очистка чердака, подвала от мусора</t>
  </si>
  <si>
    <t>ежемесячно</t>
  </si>
  <si>
    <t>Установка хомута диаметром до 50 мм</t>
  </si>
  <si>
    <t>Итого затраты за месяц</t>
  </si>
  <si>
    <t>АКТ №2</t>
  </si>
  <si>
    <t>Смена трубопроводов на полипропиленовые трубы PN25 диаметром 20 мм</t>
  </si>
  <si>
    <t>1 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</si>
  <si>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</si>
  <si>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</si>
  <si>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№3</t>
  </si>
  <si>
    <t>III. Содержание общего имущества МКД</t>
  </si>
  <si>
    <t>IV. Прочие услуги</t>
  </si>
  <si>
    <t>АКТ №4</t>
  </si>
  <si>
    <t>Смена арматуры - вентилей и клапанов обратных муфтовых диаметром до 20 мм</t>
  </si>
  <si>
    <t>1 шт</t>
  </si>
  <si>
    <t>АКТ №5</t>
  </si>
  <si>
    <t>АКТ №6</t>
  </si>
  <si>
    <t>АКТ №7</t>
  </si>
  <si>
    <t>Смена трубопроводов на полипропиленовые трубы PN25 диаметром 25 мм</t>
  </si>
  <si>
    <t>АКТ №8</t>
  </si>
  <si>
    <t>Смена арматуры - вентилей и клапанов обратных муфтовых диаметром до 32 мм</t>
  </si>
  <si>
    <t>Подключение и отключение сварочного аппарата</t>
  </si>
  <si>
    <t>АКТ №9</t>
  </si>
  <si>
    <t>АКТ №10</t>
  </si>
  <si>
    <t>АКТ №11</t>
  </si>
  <si>
    <t>АКТ №12</t>
  </si>
  <si>
    <t>1м</t>
  </si>
  <si>
    <t>Мелкий ремонт электропроводки</t>
  </si>
  <si>
    <t>за период с 01.01.2018 г. по 31.01.2018 г.</t>
  </si>
  <si>
    <t>Очистка канализационной сети внутренней</t>
  </si>
  <si>
    <t>за период с 01.02.2018 г. по 28.02.2018 г.</t>
  </si>
  <si>
    <t>за период с 01.03.2018 г. по 31.03.2018 г.</t>
  </si>
  <si>
    <t>за период с 01.04.2018 г. по 30.04.2018 г.</t>
  </si>
  <si>
    <t>Ремонт силового предохранительного шкафа( со стоимостью материалов)</t>
  </si>
  <si>
    <t>Муфта разъемная 25*3/4 ВР</t>
  </si>
  <si>
    <t>Муфта 25*20</t>
  </si>
  <si>
    <t>Колено 20-90º</t>
  </si>
  <si>
    <t>Колено 20-45º</t>
  </si>
  <si>
    <t>Муфта разъемная 20*1/2 НР</t>
  </si>
  <si>
    <t>Тройник 20</t>
  </si>
  <si>
    <t>Муфта 20</t>
  </si>
  <si>
    <t>Смена трубопроводов СО PN20 Dу20 на полипропиленовые трубы</t>
  </si>
  <si>
    <t>Муфта разъемная 20*1/2 ВР</t>
  </si>
  <si>
    <t>Смена светодиодных светильников</t>
  </si>
  <si>
    <t>12 м</t>
  </si>
  <si>
    <t>за период с 01.05.2018 г. по 31.05.2018 г.</t>
  </si>
  <si>
    <t>за период с 01.06.2018 г. по 30.06.2018 г.</t>
  </si>
  <si>
    <t>Ремонт дверных коробок в каменных стенах без снятия полотна</t>
  </si>
  <si>
    <t>коробка</t>
  </si>
  <si>
    <t>Внеплановый осмотр элекгросетей, арматуры и электрооборудования на чердаках и подвалах</t>
  </si>
  <si>
    <t>Внеплановый осмотр кровли рулонной</t>
  </si>
  <si>
    <t xml:space="preserve">Заделка выбоин в полах цементных </t>
  </si>
  <si>
    <t>I место</t>
  </si>
  <si>
    <t>Внеплановый осмотр водопроводов, канализации, отопления в квартирах</t>
  </si>
  <si>
    <t>100 кв.</t>
  </si>
  <si>
    <t>Работа ротенбергера</t>
  </si>
  <si>
    <t>час</t>
  </si>
  <si>
    <t>Анкер.болт</t>
  </si>
  <si>
    <t>Герметизация межпанельных швов</t>
  </si>
  <si>
    <t>п.м</t>
  </si>
  <si>
    <t>2. Всего за период с 01.05.2018 по 31.05.2018 выполнено работ (оказано услуг) на общую сумму: 183538,39 руб.</t>
  </si>
  <si>
    <t>(сто восемьдесят три тысячи пятьсот тридцать восемь рублей 39 копеек)</t>
  </si>
  <si>
    <t>ООО «Движение»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</si>
  <si>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</si>
  <si>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01.07.2018 г. по 31.07.2018 г.</t>
  </si>
  <si>
    <t>Прочистка засоров ГВС, XВC</t>
  </si>
  <si>
    <t>Внеплановая проверка ветканалов</t>
  </si>
  <si>
    <t>мЗ</t>
  </si>
  <si>
    <t>Засыпка ям</t>
  </si>
  <si>
    <t>2. Всего за период с 01.07.2018 по 31.07.2018 выполнено работ (оказано услуг) на общую сумму: 61184,41 руб.</t>
  </si>
  <si>
    <t>(шестьдесят одна тысяча сто восемьдесят четыре рубля 41 копейка)</t>
  </si>
  <si>
    <t>2. Всего за период с 01.06.2018 по 30.06.2018 выполнено работ (оказано услуг) на общую сумму: 84899,14 руб.</t>
  </si>
  <si>
    <t>(восемдесят четыре тысячи восемьсот девяносто девять рублей 14 копеек)</t>
  </si>
  <si>
    <t>2. Всего за период с 01.01.2018 по 31.01.2018 выполнено работ (оказано услуг) на общую сумму: 108145,87 руб.</t>
  </si>
  <si>
    <t>(сто восемь тысяч сто сорок пять рублей 87 копеек)</t>
  </si>
  <si>
    <t>125м2</t>
  </si>
  <si>
    <t>2. Всего за период с 01.02.2018 по 28.02.2018 выполнено работ (оказано услуг) на общую сумму: 79879,98 руб.</t>
  </si>
  <si>
    <t>(семьдесят девять тысяч восемьсот семьдесят девять рублей 98 копеек)</t>
  </si>
  <si>
    <t>167м2</t>
  </si>
  <si>
    <t>2. Всего за период с 01.03.2018 по 31.03.2018 выполнено работ (оказано услуг) на общую сумму: 80077,51 руб.</t>
  </si>
  <si>
    <t>(восемьдесят тысяч семьдесят семь рублей 51 копейка)</t>
  </si>
  <si>
    <t>62м2</t>
  </si>
  <si>
    <t>2. Всего за период с 01.04.2018 по 30.04.2018 выполнено работ (оказано услуг) на общую сумму: 100223,58 руб.</t>
  </si>
  <si>
    <t>(сто тысяч двести двадцать три рубля 58 копеек)</t>
  </si>
  <si>
    <t>за период с 01.08.2018 г. по 31.08.2018 г.</t>
  </si>
  <si>
    <t>за период с 01.09.2018 г. по 30.09.2018 г.</t>
  </si>
  <si>
    <t>Ревизия вентиля</t>
  </si>
  <si>
    <t>2. Всего за период с 01.09.2018 по 30.09.2018 выполнено работ (оказано услуг) на общую сумму: 75428,79 руб.</t>
  </si>
  <si>
    <t>(семьдесят пять тысяч четыреста двадцать восемь рублей 79 копеек)</t>
  </si>
  <si>
    <t>за период с 01.10.2018 г. по 31.10.2018 г.</t>
  </si>
  <si>
    <t>м</t>
  </si>
  <si>
    <t>Работа автовышки</t>
  </si>
  <si>
    <t>маш-час</t>
  </si>
  <si>
    <t>20м2</t>
  </si>
  <si>
    <t>Муфта 32</t>
  </si>
  <si>
    <t>Муфта разъемная 32*25 ВР</t>
  </si>
  <si>
    <t>Муфта разъемная 25*3/4 НР</t>
  </si>
  <si>
    <t>Смена трубопроводов на полипропиленовые трубы PN 25 Dу 32 ( кв. 41)</t>
  </si>
  <si>
    <t>Смена трубопроводов на полипропиленовые трубы PN25 диаметром 25 мм (кв. 80)</t>
  </si>
  <si>
    <t>2м</t>
  </si>
  <si>
    <t>Смена трубопроводов на полипропиленовые трубы PN25 диаметром 20 мм ( с 34 до 31 кв.), ( кв. 41)</t>
  </si>
  <si>
    <t>2м, 3м</t>
  </si>
  <si>
    <t>Ремонт рулонной кровли</t>
  </si>
  <si>
    <t>за период с 01.11.2018 г. по 30.11.2018 г.</t>
  </si>
  <si>
    <t>Закрыли слуховое окно</t>
  </si>
  <si>
    <t>Очистка вручную от снега и наледи люков каналиационных и водопроводных колодцев</t>
  </si>
  <si>
    <t>Муфта 25</t>
  </si>
  <si>
    <t>Смена трубопроводов на полипропиленовые трубы PN25 диаметром 25 мм ( 99 кв)</t>
  </si>
  <si>
    <t>2. Всего за период с 01.11.2018 по 30.11.2018 выполнено работ (оказано услуг) на общую сумму: 56271,30 руб.</t>
  </si>
  <si>
    <t>(пятьдесят шесть тысяч двести семьдесят один рубль 30 копеек)</t>
  </si>
  <si>
    <t>за период с 01.12.2018 г. по 31.12.2018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</si>
  <si>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06.11.2018г. № 29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</si>
  <si>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3 раза в неделю 156 раз в год</t>
  </si>
  <si>
    <t>2 раза в неделю 104 раза в год</t>
  </si>
  <si>
    <t>18 раз в год</t>
  </si>
  <si>
    <t>1 раз в месяц</t>
  </si>
  <si>
    <t>2 раза в неделю 52 раза в сезон</t>
  </si>
  <si>
    <t>52 раза за сезон</t>
  </si>
  <si>
    <t>по мере необходимости</t>
  </si>
  <si>
    <t>Подметание снега с тротуара, крылец, конт. площадок, входных площадок</t>
  </si>
  <si>
    <t>35 раз за сезон</t>
  </si>
  <si>
    <t>Очистка вручную от снега и наледи люков канализационных и водопроводных колодцев</t>
  </si>
  <si>
    <t>2 раза в месяц</t>
  </si>
  <si>
    <t>1 раз в месяц (5 раз за сезон)</t>
  </si>
  <si>
    <t>Очистка карниза кровли от наледи, снега и сосулек</t>
  </si>
  <si>
    <t>Водоснабжение,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</si>
  <si>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</si>
  <si>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</si>
  <si>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 с общедомовых приборов учета холодной воды</t>
  </si>
  <si>
    <t>Работы по управлению, начислению, сбору платы за содержание и ремонт, и взысканию задолжностей</t>
  </si>
  <si>
    <t>1м2</t>
  </si>
  <si>
    <t>Осмотр электросетей, армазуры и электрооборудования на лестничных клетках</t>
  </si>
  <si>
    <t>Герметизация стыков трубопроводов</t>
  </si>
  <si>
    <t>1 место</t>
  </si>
  <si>
    <t>2. Всего за период с 01.12.2018 по 31.12.2018 выполнено работ (оказано услуг) на общую сумму: 105510,81 руб.</t>
  </si>
  <si>
    <t>(сто пять тысяч пятьсот десять рулей 81 копейка)</t>
  </si>
  <si>
    <t>2. Всего за период с 01.10.2018 по 31.10.2018 выполнено работ (оказано услуг) на общую сумму: 112616,88 руб.</t>
  </si>
  <si>
    <t>(сто двенадцать тысяч шестьсот шестнадцать рублей 88 копеек)</t>
  </si>
  <si>
    <t>ВДГО</t>
  </si>
  <si>
    <t>руб</t>
  </si>
  <si>
    <t>2. Всего за период с 01.08.2018 по 31.08.2018 выполнено работ (оказано услуг) на общую сумму: 130250,45 руб.</t>
  </si>
  <si>
    <t>(сто тридцать тысяч двести пятьдесят рублей 45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</si>
</sst>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/>
    </xf>
    <xf numFmtId="4" fontId="20" fillId="4" borderId="7" xfId="0" applyNumberFormat="1" applyFont="1" applyFill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4" fontId="20" fillId="4" borderId="7" xfId="0" applyNumberFormat="1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opLeftCell="A89" workbookViewId="0">
      <selection activeCell="B101" sqref="B101:G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141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177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8"/>
      <c r="G6" s="57"/>
      <c r="H6" s="68"/>
      <c r="I6" s="30">
        <v>43131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3"/>
        <v>2.5094383200000001</v>
      </c>
      <c r="I44" s="13">
        <f>F44/7.5*G44</f>
        <v>334.59177600000004</v>
      </c>
      <c r="J44" s="23"/>
      <c r="L44" s="19"/>
      <c r="M44" s="20"/>
      <c r="N44" s="21"/>
    </row>
    <row r="45" spans="1:14" ht="15.75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3"/>
        <v>0.71820000000000006</v>
      </c>
      <c r="I45" s="13">
        <f>F45/7.5*G45</f>
        <v>95.76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15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4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4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4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4"/>
        <v>3.0022979600000004</v>
      </c>
      <c r="I50" s="13">
        <v>0</v>
      </c>
      <c r="J50" s="23"/>
      <c r="L50" s="19"/>
      <c r="M50" s="20"/>
      <c r="N50" s="21"/>
    </row>
    <row r="51" spans="1:14" ht="15.75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4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4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4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4"/>
        <v>0.11304260000000001</v>
      </c>
      <c r="I54" s="13">
        <v>0</v>
      </c>
      <c r="J54" s="23"/>
      <c r="L54" s="19"/>
      <c r="M54" s="20"/>
      <c r="N54" s="21"/>
    </row>
    <row r="55" spans="1:14" ht="15.75" customHeight="1">
      <c r="A55" s="40">
        <v>14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4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customHeight="1">
      <c r="A57" s="5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15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15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62" t="s">
        <v>43</v>
      </c>
      <c r="C61" s="62"/>
      <c r="D61" s="62"/>
      <c r="E61" s="62"/>
      <c r="F61" s="70"/>
      <c r="G61" s="62"/>
      <c r="H61" s="70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16</v>
      </c>
      <c r="B63" s="113" t="s">
        <v>91</v>
      </c>
      <c r="C63" s="114" t="s">
        <v>26</v>
      </c>
      <c r="D63" s="113"/>
      <c r="E63" s="115">
        <v>200</v>
      </c>
      <c r="F63" s="116">
        <f>E63*12</f>
        <v>2400</v>
      </c>
      <c r="G63" s="117">
        <v>1.2</v>
      </c>
      <c r="H63" s="11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62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17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5">SUM(F65*G65/1000)</f>
        <v>8.8960000000000008</v>
      </c>
      <c r="I65" s="13">
        <f>G65*5</f>
        <v>1112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5"/>
        <v>1.5249999999999999</v>
      </c>
      <c r="I66" s="13">
        <v>0</v>
      </c>
    </row>
    <row r="67" spans="1:22" ht="15.75" hidden="1" customHeight="1">
      <c r="A67" s="29">
        <v>8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5"/>
        <v>40.075135000000003</v>
      </c>
      <c r="I67" s="13">
        <v>0</v>
      </c>
    </row>
    <row r="68" spans="1:22" ht="15.75" hidden="1" customHeight="1">
      <c r="A68" s="29">
        <v>9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5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5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5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5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5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52"/>
      <c r="B73" s="62" t="s">
        <v>124</v>
      </c>
      <c r="C73" s="62"/>
      <c r="D73" s="62"/>
      <c r="E73" s="62"/>
      <c r="F73" s="70"/>
      <c r="G73" s="62"/>
      <c r="H73" s="70"/>
      <c r="I73" s="18"/>
    </row>
    <row r="74" spans="1:22" ht="15.75" hidden="1" customHeight="1">
      <c r="A74" s="29">
        <v>19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/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6">SUM(F76*G76/1000)</f>
        <v>0.50161999999999995</v>
      </c>
      <c r="I76" s="13">
        <v>0</v>
      </c>
    </row>
    <row r="77" spans="1:22" ht="15.7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5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15.75" hidden="1" customHeight="1">
      <c r="A79" s="29"/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v>0</v>
      </c>
    </row>
    <row r="80" spans="1:22" ht="15.75" hidden="1" customHeight="1">
      <c r="A80" s="29">
        <v>17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6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7">SUM(F82*G82/1000)</f>
        <v>3.725244</v>
      </c>
      <c r="I82" s="13">
        <v>0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18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19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52"/>
      <c r="B86" s="39" t="s">
        <v>79</v>
      </c>
      <c r="C86" s="40"/>
      <c r="D86" s="15"/>
      <c r="E86" s="15"/>
      <c r="F86" s="15"/>
      <c r="G86" s="18"/>
      <c r="H86" s="18"/>
      <c r="I86" s="31">
        <f>I85+I84+I65+I63+I59+I55+I51+I45+I44+I43+I42+I40+I39+I38+I28+I27+I18+I17+I16</f>
        <v>86560.063626599993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20</v>
      </c>
      <c r="B88" s="55" t="s">
        <v>151</v>
      </c>
      <c r="C88" s="65" t="s">
        <v>81</v>
      </c>
      <c r="D88" s="51"/>
      <c r="E88" s="13"/>
      <c r="F88" s="13">
        <v>1</v>
      </c>
      <c r="G88" s="13">
        <v>203.68</v>
      </c>
      <c r="H88" s="100">
        <f t="shared" ref="H88:H96" si="8">G88*F88/1000</f>
        <v>0.20368</v>
      </c>
      <c r="I88" s="119">
        <f>G88</f>
        <v>203.68</v>
      </c>
    </row>
    <row r="89" spans="1:9" ht="31.5" customHeight="1">
      <c r="A89" s="29">
        <v>21</v>
      </c>
      <c r="B89" s="55" t="s">
        <v>167</v>
      </c>
      <c r="C89" s="65" t="s">
        <v>155</v>
      </c>
      <c r="D89" s="51"/>
      <c r="E89" s="13"/>
      <c r="F89" s="13">
        <v>3</v>
      </c>
      <c r="G89" s="13">
        <v>1272</v>
      </c>
      <c r="H89" s="100">
        <f t="shared" si="8"/>
        <v>3.8159999999999998</v>
      </c>
      <c r="I89" s="119">
        <f>G89*(2+1)</f>
        <v>3816</v>
      </c>
    </row>
    <row r="90" spans="1:9" ht="31.5" customHeight="1">
      <c r="A90" s="29">
        <v>22</v>
      </c>
      <c r="B90" s="55" t="s">
        <v>162</v>
      </c>
      <c r="C90" s="65" t="s">
        <v>163</v>
      </c>
      <c r="D90" s="51"/>
      <c r="E90" s="13"/>
      <c r="F90" s="13">
        <v>4</v>
      </c>
      <c r="G90" s="13">
        <v>613.44000000000005</v>
      </c>
      <c r="H90" s="100">
        <f t="shared" si="8"/>
        <v>2.4537600000000004</v>
      </c>
      <c r="I90" s="119">
        <f>G90*(2+1)</f>
        <v>1840.3200000000002</v>
      </c>
    </row>
    <row r="91" spans="1:9" ht="31.5" customHeight="1">
      <c r="A91" s="29">
        <v>23</v>
      </c>
      <c r="B91" s="55" t="s">
        <v>169</v>
      </c>
      <c r="C91" s="65" t="s">
        <v>163</v>
      </c>
      <c r="D91" s="51"/>
      <c r="E91" s="13"/>
      <c r="F91" s="13">
        <v>1</v>
      </c>
      <c r="G91" s="13">
        <v>835.68</v>
      </c>
      <c r="H91" s="100">
        <f t="shared" si="8"/>
        <v>0.83567999999999998</v>
      </c>
      <c r="I91" s="119">
        <f>G91</f>
        <v>835.68</v>
      </c>
    </row>
    <row r="92" spans="1:9" ht="15.75" customHeight="1">
      <c r="A92" s="29">
        <v>24</v>
      </c>
      <c r="B92" s="55" t="s">
        <v>178</v>
      </c>
      <c r="C92" s="65" t="s">
        <v>175</v>
      </c>
      <c r="D92" s="99"/>
      <c r="E92" s="18"/>
      <c r="F92" s="13">
        <v>55</v>
      </c>
      <c r="G92" s="13">
        <v>134.12</v>
      </c>
      <c r="H92" s="100">
        <f t="shared" si="8"/>
        <v>7.3766000000000007</v>
      </c>
      <c r="I92" s="119">
        <f>G92*(15+15+10+15)</f>
        <v>7376.6</v>
      </c>
    </row>
    <row r="93" spans="1:9" ht="31.5" customHeight="1">
      <c r="A93" s="29">
        <v>25</v>
      </c>
      <c r="B93" s="55" t="s">
        <v>154</v>
      </c>
      <c r="C93" s="65" t="s">
        <v>155</v>
      </c>
      <c r="D93" s="51"/>
      <c r="E93" s="13"/>
      <c r="F93" s="13">
        <v>6</v>
      </c>
      <c r="G93" s="13">
        <v>1187</v>
      </c>
      <c r="H93" s="100">
        <f t="shared" si="8"/>
        <v>7.1219999999999999</v>
      </c>
      <c r="I93" s="119">
        <f>G93*(1+5)</f>
        <v>7122</v>
      </c>
    </row>
    <row r="94" spans="1:9" ht="31.5" customHeight="1">
      <c r="A94" s="29">
        <v>26</v>
      </c>
      <c r="B94" s="55" t="s">
        <v>140</v>
      </c>
      <c r="C94" s="65" t="s">
        <v>37</v>
      </c>
      <c r="D94" s="99"/>
      <c r="E94" s="18"/>
      <c r="F94" s="13">
        <v>0.04</v>
      </c>
      <c r="G94" s="13">
        <v>3724.37</v>
      </c>
      <c r="H94" s="100">
        <f t="shared" si="8"/>
        <v>0.14897479999999999</v>
      </c>
      <c r="I94" s="119">
        <f>G94*0.03</f>
        <v>111.7311</v>
      </c>
    </row>
    <row r="95" spans="1:9" ht="31.5" customHeight="1">
      <c r="A95" s="29">
        <v>27</v>
      </c>
      <c r="B95" s="55" t="s">
        <v>78</v>
      </c>
      <c r="C95" s="65" t="s">
        <v>117</v>
      </c>
      <c r="D95" s="99"/>
      <c r="E95" s="18"/>
      <c r="F95" s="13">
        <v>3</v>
      </c>
      <c r="G95" s="13">
        <v>86.69</v>
      </c>
      <c r="H95" s="100">
        <f t="shared" si="8"/>
        <v>0.26006999999999997</v>
      </c>
      <c r="I95" s="13">
        <f>G95*3</f>
        <v>260.07</v>
      </c>
    </row>
    <row r="96" spans="1:9" ht="15.75" customHeight="1">
      <c r="A96" s="29">
        <v>28</v>
      </c>
      <c r="B96" s="55" t="s">
        <v>176</v>
      </c>
      <c r="C96" s="103" t="s">
        <v>155</v>
      </c>
      <c r="D96" s="51"/>
      <c r="E96" s="13"/>
      <c r="F96" s="13">
        <v>1</v>
      </c>
      <c r="G96" s="13">
        <v>19.73</v>
      </c>
      <c r="H96" s="100">
        <f t="shared" si="8"/>
        <v>1.9730000000000001E-2</v>
      </c>
      <c r="I96" s="119">
        <f>G96</f>
        <v>19.73</v>
      </c>
    </row>
    <row r="97" spans="1:9" ht="15.75" customHeight="1">
      <c r="A97" s="29"/>
      <c r="B97" s="45" t="s">
        <v>50</v>
      </c>
      <c r="C97" s="41"/>
      <c r="D97" s="53"/>
      <c r="E97" s="41">
        <v>1</v>
      </c>
      <c r="F97" s="41"/>
      <c r="G97" s="41"/>
      <c r="H97" s="41"/>
      <c r="I97" s="31">
        <f>SUM(I88:I96)</f>
        <v>21585.811099999999</v>
      </c>
    </row>
    <row r="98" spans="1:9" ht="15.75" customHeight="1">
      <c r="A98" s="29"/>
      <c r="B98" s="51" t="s">
        <v>77</v>
      </c>
      <c r="C98" s="15"/>
      <c r="D98" s="15"/>
      <c r="E98" s="42"/>
      <c r="F98" s="42"/>
      <c r="G98" s="43"/>
      <c r="H98" s="43"/>
      <c r="I98" s="17">
        <v>0</v>
      </c>
    </row>
    <row r="99" spans="1:9" ht="15.75" customHeight="1">
      <c r="A99" s="54"/>
      <c r="B99" s="46" t="s">
        <v>152</v>
      </c>
      <c r="C99" s="34"/>
      <c r="D99" s="34"/>
      <c r="E99" s="34"/>
      <c r="F99" s="34"/>
      <c r="G99" s="34"/>
      <c r="H99" s="34"/>
      <c r="I99" s="44">
        <f>I86+I97</f>
        <v>108145.87472659998</v>
      </c>
    </row>
    <row r="100" spans="1:9" ht="15.75">
      <c r="A100" s="181" t="s">
        <v>222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>
      <c r="A101" s="61"/>
      <c r="B101" s="182" t="s">
        <v>223</v>
      </c>
      <c r="C101" s="182"/>
      <c r="D101" s="182"/>
      <c r="E101" s="182"/>
      <c r="F101" s="182"/>
      <c r="G101" s="182"/>
      <c r="H101" s="80"/>
      <c r="I101" s="3"/>
    </row>
    <row r="102" spans="1:9">
      <c r="A102" s="56"/>
      <c r="B102" s="180" t="s">
        <v>6</v>
      </c>
      <c r="C102" s="180"/>
      <c r="D102" s="180"/>
      <c r="E102" s="180"/>
      <c r="F102" s="180"/>
      <c r="G102" s="180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83" t="s">
        <v>7</v>
      </c>
      <c r="B104" s="183"/>
      <c r="C104" s="183"/>
      <c r="D104" s="183"/>
      <c r="E104" s="183"/>
      <c r="F104" s="183"/>
      <c r="G104" s="183"/>
      <c r="H104" s="183"/>
      <c r="I104" s="183"/>
    </row>
    <row r="105" spans="1:9" ht="15.75">
      <c r="A105" s="183" t="s">
        <v>8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>
      <c r="A106" s="177" t="s">
        <v>59</v>
      </c>
      <c r="B106" s="177"/>
      <c r="C106" s="177"/>
      <c r="D106" s="177"/>
      <c r="E106" s="177"/>
      <c r="F106" s="177"/>
      <c r="G106" s="177"/>
      <c r="H106" s="177"/>
      <c r="I106" s="177"/>
    </row>
    <row r="107" spans="1:9" ht="15.75">
      <c r="A107" s="11"/>
    </row>
    <row r="108" spans="1:9" ht="15.75">
      <c r="A108" s="178" t="s">
        <v>9</v>
      </c>
      <c r="B108" s="178"/>
      <c r="C108" s="178"/>
      <c r="D108" s="178"/>
      <c r="E108" s="178"/>
      <c r="F108" s="178"/>
      <c r="G108" s="178"/>
      <c r="H108" s="178"/>
      <c r="I108" s="178"/>
    </row>
    <row r="109" spans="1:9" ht="15.75">
      <c r="A109" s="4"/>
    </row>
    <row r="110" spans="1:9" ht="15.75">
      <c r="B110" s="59" t="s">
        <v>10</v>
      </c>
      <c r="C110" s="179" t="s">
        <v>86</v>
      </c>
      <c r="D110" s="179"/>
      <c r="E110" s="179"/>
      <c r="F110" s="78"/>
      <c r="I110" s="60"/>
    </row>
    <row r="111" spans="1:9">
      <c r="A111" s="56"/>
      <c r="C111" s="180" t="s">
        <v>11</v>
      </c>
      <c r="D111" s="180"/>
      <c r="E111" s="180"/>
      <c r="F111" s="24"/>
      <c r="I111" s="5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59" t="s">
        <v>13</v>
      </c>
      <c r="C113" s="174"/>
      <c r="D113" s="174"/>
      <c r="E113" s="174"/>
      <c r="F113" s="79"/>
      <c r="I113" s="60"/>
    </row>
    <row r="114" spans="1:9">
      <c r="A114" s="56"/>
      <c r="C114" s="175" t="s">
        <v>11</v>
      </c>
      <c r="D114" s="175"/>
      <c r="E114" s="175"/>
      <c r="F114" s="69"/>
      <c r="I114" s="58" t="s">
        <v>12</v>
      </c>
    </row>
    <row r="115" spans="1:9" ht="15.75">
      <c r="A115" s="4" t="s">
        <v>14</v>
      </c>
    </row>
    <row r="116" spans="1:9">
      <c r="A116" s="176" t="s">
        <v>15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45" customHeight="1">
      <c r="A117" s="173" t="s">
        <v>16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30" customHeight="1">
      <c r="A118" s="173" t="s">
        <v>17</v>
      </c>
      <c r="B118" s="173"/>
      <c r="C118" s="173"/>
      <c r="D118" s="173"/>
      <c r="E118" s="173"/>
      <c r="F118" s="173"/>
      <c r="G118" s="173"/>
      <c r="H118" s="173"/>
      <c r="I118" s="173"/>
    </row>
    <row r="119" spans="1:9" ht="30" customHeight="1">
      <c r="A119" s="173" t="s">
        <v>21</v>
      </c>
      <c r="B119" s="173"/>
      <c r="C119" s="173"/>
      <c r="D119" s="173"/>
      <c r="E119" s="173"/>
      <c r="F119" s="173"/>
      <c r="G119" s="173"/>
      <c r="H119" s="173"/>
      <c r="I119" s="173"/>
    </row>
    <row r="120" spans="1:9" ht="15" customHeight="1">
      <c r="A120" s="173" t="s">
        <v>20</v>
      </c>
      <c r="B120" s="173"/>
      <c r="C120" s="173"/>
      <c r="D120" s="173"/>
      <c r="E120" s="173"/>
      <c r="F120" s="173"/>
      <c r="G120" s="173"/>
      <c r="H120" s="173"/>
      <c r="I120" s="173"/>
    </row>
  </sheetData>
  <autoFilter ref="I12:I66"/>
  <mergeCells count="29">
    <mergeCell ref="A83:I83"/>
    <mergeCell ref="A87:I87"/>
    <mergeCell ref="R71:U71"/>
    <mergeCell ref="A3:I3"/>
    <mergeCell ref="A4:I4"/>
    <mergeCell ref="A8:I8"/>
    <mergeCell ref="A10:I10"/>
    <mergeCell ref="A5:I5"/>
    <mergeCell ref="A14:I14"/>
    <mergeCell ref="A15:I15"/>
    <mergeCell ref="A29:I29"/>
    <mergeCell ref="A46:I46"/>
    <mergeCell ref="A56:I5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A119:I119"/>
    <mergeCell ref="A120:I120"/>
    <mergeCell ref="C113:E113"/>
    <mergeCell ref="C114:E114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2"/>
  <sheetViews>
    <sheetView topLeftCell="A97" workbookViewId="0">
      <selection activeCell="K108" sqref="K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172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238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43404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212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9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customHeight="1">
      <c r="A52" s="40">
        <v>9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customHeight="1">
      <c r="A53" s="40">
        <v>10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customHeight="1">
      <c r="A54" s="40">
        <v>11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customHeight="1">
      <c r="A55" s="40">
        <v>12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7.5" customHeight="1">
      <c r="A58" s="40">
        <v>13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G58*0.0431</f>
        <v>66.687767999999991</v>
      </c>
      <c r="J58" s="23"/>
      <c r="L58" s="19"/>
      <c r="M58" s="20"/>
      <c r="N58" s="21"/>
    </row>
    <row r="59" spans="1:14" ht="20.2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20.2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G65*4</f>
        <v>889.6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16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15.75" hidden="1" customHeight="1">
      <c r="A74" s="29">
        <v>11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5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16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17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I85+I84+I65+I63+I58+I55+I54+I53+I52+I34+I32+I31+I28+I27+I18+I17+I16</f>
        <v>77135.518079822214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28.5" customHeight="1">
      <c r="A88" s="29">
        <v>18</v>
      </c>
      <c r="B88" s="66" t="s">
        <v>246</v>
      </c>
      <c r="C88" s="67" t="s">
        <v>239</v>
      </c>
      <c r="D88" s="38" t="s">
        <v>87</v>
      </c>
      <c r="E88" s="36"/>
      <c r="F88" s="36">
        <v>6</v>
      </c>
      <c r="G88" s="36">
        <v>1365</v>
      </c>
      <c r="H88" s="102">
        <f t="shared" ref="H88:H90" si="12">G88*F88/1000</f>
        <v>8.19</v>
      </c>
      <c r="I88" s="13">
        <f>G88*3</f>
        <v>4095</v>
      </c>
    </row>
    <row r="89" spans="1:9" ht="15.75" customHeight="1">
      <c r="A89" s="29">
        <v>19</v>
      </c>
      <c r="B89" s="66" t="s">
        <v>156</v>
      </c>
      <c r="C89" s="67" t="s">
        <v>157</v>
      </c>
      <c r="D89" s="64"/>
      <c r="E89" s="36"/>
      <c r="F89" s="36">
        <f>327/3</f>
        <v>109</v>
      </c>
      <c r="G89" s="36">
        <v>56.34</v>
      </c>
      <c r="H89" s="102">
        <f t="shared" si="12"/>
        <v>6.1410600000000004</v>
      </c>
      <c r="I89" s="13">
        <f>G89*1</f>
        <v>56.34</v>
      </c>
    </row>
    <row r="90" spans="1:9" ht="18.75" customHeight="1">
      <c r="A90" s="29">
        <v>20</v>
      </c>
      <c r="B90" s="66" t="s">
        <v>251</v>
      </c>
      <c r="C90" s="67" t="s">
        <v>26</v>
      </c>
      <c r="D90" s="38" t="s">
        <v>242</v>
      </c>
      <c r="E90" s="36"/>
      <c r="F90" s="36">
        <v>0.13</v>
      </c>
      <c r="G90" s="36">
        <v>760</v>
      </c>
      <c r="H90" s="102">
        <f t="shared" si="12"/>
        <v>9.8799999999999999E-2</v>
      </c>
      <c r="I90" s="13">
        <f>G90*20</f>
        <v>15200</v>
      </c>
    </row>
    <row r="91" spans="1:9" ht="15.75" customHeight="1">
      <c r="A91" s="29">
        <v>21</v>
      </c>
      <c r="B91" s="66" t="s">
        <v>240</v>
      </c>
      <c r="C91" s="67" t="s">
        <v>241</v>
      </c>
      <c r="D91" s="64"/>
      <c r="E91" s="36"/>
      <c r="F91" s="36">
        <v>1</v>
      </c>
      <c r="G91" s="36">
        <v>1645</v>
      </c>
      <c r="H91" s="100">
        <f t="shared" ref="H91" si="13">G91*F91/1000</f>
        <v>1.645</v>
      </c>
      <c r="I91" s="13">
        <f>G91*2</f>
        <v>3290</v>
      </c>
    </row>
    <row r="92" spans="1:9" ht="30.75" customHeight="1">
      <c r="A92" s="29">
        <v>22</v>
      </c>
      <c r="B92" s="55" t="s">
        <v>247</v>
      </c>
      <c r="C92" s="65" t="s">
        <v>155</v>
      </c>
      <c r="D92" s="38" t="s">
        <v>248</v>
      </c>
      <c r="E92" s="36"/>
      <c r="F92" s="36"/>
      <c r="G92" s="36">
        <v>1272</v>
      </c>
      <c r="H92" s="100"/>
      <c r="I92" s="13">
        <f>G92*2</f>
        <v>2544</v>
      </c>
    </row>
    <row r="93" spans="1:9" ht="15.75" customHeight="1">
      <c r="A93" s="29">
        <v>23</v>
      </c>
      <c r="B93" s="55" t="s">
        <v>184</v>
      </c>
      <c r="C93" s="65" t="s">
        <v>117</v>
      </c>
      <c r="D93" s="64"/>
      <c r="E93" s="36"/>
      <c r="F93" s="36"/>
      <c r="G93" s="36">
        <v>5.43</v>
      </c>
      <c r="H93" s="100"/>
      <c r="I93" s="13">
        <f>G93*2</f>
        <v>10.86</v>
      </c>
    </row>
    <row r="94" spans="1:9" ht="15.75" customHeight="1">
      <c r="A94" s="29">
        <v>24</v>
      </c>
      <c r="B94" s="66" t="s">
        <v>178</v>
      </c>
      <c r="C94" s="67" t="s">
        <v>175</v>
      </c>
      <c r="D94" s="64"/>
      <c r="E94" s="36"/>
      <c r="F94" s="36"/>
      <c r="G94" s="36">
        <v>134.12</v>
      </c>
      <c r="H94" s="100"/>
      <c r="I94" s="13">
        <f>G94*15</f>
        <v>2011.8000000000002</v>
      </c>
    </row>
    <row r="95" spans="1:9" ht="28.5" customHeight="1">
      <c r="A95" s="29">
        <v>25</v>
      </c>
      <c r="B95" s="66" t="s">
        <v>202</v>
      </c>
      <c r="C95" s="67" t="s">
        <v>203</v>
      </c>
      <c r="D95" s="64"/>
      <c r="E95" s="36"/>
      <c r="F95" s="36"/>
      <c r="G95" s="36">
        <v>24829.08</v>
      </c>
      <c r="H95" s="100"/>
      <c r="I95" s="13">
        <f>G95*0.02</f>
        <v>496.58160000000004</v>
      </c>
    </row>
    <row r="96" spans="1:9" ht="30.75" customHeight="1">
      <c r="A96" s="29">
        <v>26</v>
      </c>
      <c r="B96" s="55" t="s">
        <v>249</v>
      </c>
      <c r="C96" s="65" t="s">
        <v>155</v>
      </c>
      <c r="D96" s="38" t="s">
        <v>250</v>
      </c>
      <c r="E96" s="36"/>
      <c r="F96" s="36"/>
      <c r="G96" s="36">
        <v>1187</v>
      </c>
      <c r="H96" s="100"/>
      <c r="I96" s="13">
        <f>G96*5</f>
        <v>5935</v>
      </c>
    </row>
    <row r="97" spans="1:9" ht="15.75" customHeight="1">
      <c r="A97" s="29">
        <v>27</v>
      </c>
      <c r="B97" s="66" t="s">
        <v>185</v>
      </c>
      <c r="C97" s="67" t="s">
        <v>117</v>
      </c>
      <c r="D97" s="64"/>
      <c r="E97" s="36"/>
      <c r="F97" s="36"/>
      <c r="G97" s="36">
        <v>5.42</v>
      </c>
      <c r="H97" s="100"/>
      <c r="I97" s="13">
        <f>G97*4</f>
        <v>21.68</v>
      </c>
    </row>
    <row r="98" spans="1:9" ht="15.75" customHeight="1">
      <c r="A98" s="29">
        <v>28</v>
      </c>
      <c r="B98" s="66" t="s">
        <v>186</v>
      </c>
      <c r="C98" s="67" t="s">
        <v>117</v>
      </c>
      <c r="D98" s="64"/>
      <c r="E98" s="36"/>
      <c r="F98" s="36"/>
      <c r="G98" s="36">
        <v>6.2</v>
      </c>
      <c r="H98" s="100"/>
      <c r="I98" s="13">
        <f>G98*4</f>
        <v>24.8</v>
      </c>
    </row>
    <row r="99" spans="1:9" ht="15.75" customHeight="1">
      <c r="A99" s="29">
        <v>29</v>
      </c>
      <c r="B99" s="66" t="s">
        <v>243</v>
      </c>
      <c r="C99" s="67" t="s">
        <v>117</v>
      </c>
      <c r="D99" s="64"/>
      <c r="E99" s="36"/>
      <c r="F99" s="36"/>
      <c r="G99" s="36">
        <v>9.77</v>
      </c>
      <c r="H99" s="100"/>
      <c r="I99" s="13">
        <f>G99*2</f>
        <v>19.54</v>
      </c>
    </row>
    <row r="100" spans="1:9" ht="15.75" customHeight="1">
      <c r="A100" s="29">
        <v>30</v>
      </c>
      <c r="B100" s="66" t="s">
        <v>244</v>
      </c>
      <c r="C100" s="67" t="s">
        <v>117</v>
      </c>
      <c r="D100" s="64"/>
      <c r="E100" s="36"/>
      <c r="F100" s="36"/>
      <c r="G100" s="36">
        <v>100.37</v>
      </c>
      <c r="H100" s="100"/>
      <c r="I100" s="13">
        <f>G100*2</f>
        <v>200.74</v>
      </c>
    </row>
    <row r="101" spans="1:9" ht="15.75" customHeight="1">
      <c r="A101" s="29">
        <v>31</v>
      </c>
      <c r="B101" s="66" t="s">
        <v>189</v>
      </c>
      <c r="C101" s="67" t="s">
        <v>117</v>
      </c>
      <c r="D101" s="64"/>
      <c r="E101" s="36"/>
      <c r="F101" s="36"/>
      <c r="G101" s="36">
        <v>4.46</v>
      </c>
      <c r="H101" s="100"/>
      <c r="I101" s="13">
        <f>G101*4</f>
        <v>17.84</v>
      </c>
    </row>
    <row r="102" spans="1:9" ht="15.75" customHeight="1">
      <c r="A102" s="29">
        <v>32</v>
      </c>
      <c r="B102" s="55" t="s">
        <v>187</v>
      </c>
      <c r="C102" s="65" t="s">
        <v>117</v>
      </c>
      <c r="D102" s="64"/>
      <c r="E102" s="36"/>
      <c r="F102" s="36"/>
      <c r="G102" s="36">
        <v>95.25</v>
      </c>
      <c r="H102" s="100"/>
      <c r="I102" s="13">
        <f>G102*2</f>
        <v>190.5</v>
      </c>
    </row>
    <row r="103" spans="1:9" ht="15.75" customHeight="1">
      <c r="A103" s="29">
        <v>33</v>
      </c>
      <c r="B103" s="55" t="s">
        <v>191</v>
      </c>
      <c r="C103" s="65" t="s">
        <v>117</v>
      </c>
      <c r="D103" s="64"/>
      <c r="E103" s="36"/>
      <c r="F103" s="36"/>
      <c r="G103" s="36">
        <v>89.92</v>
      </c>
      <c r="H103" s="100"/>
      <c r="I103" s="13">
        <f>G103*3</f>
        <v>269.76</v>
      </c>
    </row>
    <row r="104" spans="1:9" ht="15.75" customHeight="1">
      <c r="A104" s="29">
        <v>34</v>
      </c>
      <c r="B104" s="55" t="s">
        <v>183</v>
      </c>
      <c r="C104" s="65" t="s">
        <v>117</v>
      </c>
      <c r="D104" s="64"/>
      <c r="E104" s="36"/>
      <c r="F104" s="36"/>
      <c r="G104" s="36">
        <v>151.31</v>
      </c>
      <c r="H104" s="100"/>
      <c r="I104" s="13">
        <f>G104*3</f>
        <v>453.93</v>
      </c>
    </row>
    <row r="105" spans="1:9" ht="15.75" customHeight="1">
      <c r="A105" s="29">
        <v>35</v>
      </c>
      <c r="B105" s="55" t="s">
        <v>245</v>
      </c>
      <c r="C105" s="65" t="s">
        <v>117</v>
      </c>
      <c r="D105" s="64"/>
      <c r="E105" s="36"/>
      <c r="F105" s="36"/>
      <c r="G105" s="36">
        <v>169.24</v>
      </c>
      <c r="H105" s="100"/>
      <c r="I105" s="13">
        <f>G105*3</f>
        <v>507.72</v>
      </c>
    </row>
    <row r="106" spans="1:9" ht="15.75" customHeight="1">
      <c r="A106" s="29">
        <v>36</v>
      </c>
      <c r="B106" s="55" t="s">
        <v>185</v>
      </c>
      <c r="C106" s="65" t="s">
        <v>117</v>
      </c>
      <c r="D106" s="64"/>
      <c r="E106" s="36"/>
      <c r="F106" s="36"/>
      <c r="G106" s="36">
        <v>5.42</v>
      </c>
      <c r="H106" s="100"/>
      <c r="I106" s="13">
        <f>G106*2</f>
        <v>10.84</v>
      </c>
    </row>
    <row r="107" spans="1:9" ht="15.75" customHeight="1">
      <c r="A107" s="29">
        <v>37</v>
      </c>
      <c r="B107" s="66" t="s">
        <v>199</v>
      </c>
      <c r="C107" s="67" t="s">
        <v>30</v>
      </c>
      <c r="D107" s="64"/>
      <c r="E107" s="36"/>
      <c r="F107" s="36"/>
      <c r="G107" s="36">
        <v>1158.7</v>
      </c>
      <c r="H107" s="100"/>
      <c r="I107" s="13">
        <f>G107*0.0431</f>
        <v>49.939970000000002</v>
      </c>
    </row>
    <row r="108" spans="1:9" ht="30" customHeight="1">
      <c r="A108" s="29">
        <v>38</v>
      </c>
      <c r="B108" s="55" t="s">
        <v>140</v>
      </c>
      <c r="C108" s="65" t="s">
        <v>37</v>
      </c>
      <c r="D108" s="64"/>
      <c r="E108" s="36"/>
      <c r="F108" s="36"/>
      <c r="G108" s="36">
        <v>3724.37</v>
      </c>
      <c r="H108" s="100"/>
      <c r="I108" s="13">
        <f>G108*0.02</f>
        <v>74.487399999999994</v>
      </c>
    </row>
    <row r="109" spans="1:9" ht="15.75" customHeight="1">
      <c r="A109" s="29"/>
      <c r="B109" s="45" t="s">
        <v>50</v>
      </c>
      <c r="C109" s="41"/>
      <c r="D109" s="53"/>
      <c r="E109" s="41">
        <v>1</v>
      </c>
      <c r="F109" s="41"/>
      <c r="G109" s="41"/>
      <c r="H109" s="41"/>
      <c r="I109" s="31">
        <f>SUM(I88:I108)</f>
        <v>35481.358970000001</v>
      </c>
    </row>
    <row r="110" spans="1:9" ht="15.75" customHeight="1">
      <c r="A110" s="29"/>
      <c r="B110" s="51" t="s">
        <v>77</v>
      </c>
      <c r="C110" s="15"/>
      <c r="D110" s="15"/>
      <c r="E110" s="42"/>
      <c r="F110" s="42"/>
      <c r="G110" s="43"/>
      <c r="H110" s="43"/>
      <c r="I110" s="17">
        <v>0</v>
      </c>
    </row>
    <row r="111" spans="1:9" ht="15.75" customHeight="1">
      <c r="A111" s="54"/>
      <c r="B111" s="46" t="s">
        <v>152</v>
      </c>
      <c r="C111" s="34"/>
      <c r="D111" s="34"/>
      <c r="E111" s="34"/>
      <c r="F111" s="34"/>
      <c r="G111" s="34"/>
      <c r="H111" s="34"/>
      <c r="I111" s="44">
        <f>I86+I109</f>
        <v>112616.87704982221</v>
      </c>
    </row>
    <row r="112" spans="1:9" ht="15.75">
      <c r="A112" s="181" t="s">
        <v>285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15.75">
      <c r="A113" s="61"/>
      <c r="B113" s="182" t="s">
        <v>286</v>
      </c>
      <c r="C113" s="182"/>
      <c r="D113" s="182"/>
      <c r="E113" s="182"/>
      <c r="F113" s="182"/>
      <c r="G113" s="182"/>
      <c r="H113" s="80"/>
      <c r="I113" s="3"/>
    </row>
    <row r="114" spans="1:9">
      <c r="A114" s="74"/>
      <c r="B114" s="180" t="s">
        <v>6</v>
      </c>
      <c r="C114" s="180"/>
      <c r="D114" s="180"/>
      <c r="E114" s="180"/>
      <c r="F114" s="180"/>
      <c r="G114" s="180"/>
      <c r="H114" s="24"/>
      <c r="I114" s="5"/>
    </row>
    <row r="115" spans="1:9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5.75">
      <c r="A116" s="183" t="s">
        <v>7</v>
      </c>
      <c r="B116" s="183"/>
      <c r="C116" s="183"/>
      <c r="D116" s="183"/>
      <c r="E116" s="183"/>
      <c r="F116" s="183"/>
      <c r="G116" s="183"/>
      <c r="H116" s="183"/>
      <c r="I116" s="183"/>
    </row>
    <row r="117" spans="1:9" ht="15.75">
      <c r="A117" s="183" t="s">
        <v>8</v>
      </c>
      <c r="B117" s="183"/>
      <c r="C117" s="183"/>
      <c r="D117" s="183"/>
      <c r="E117" s="183"/>
      <c r="F117" s="183"/>
      <c r="G117" s="183"/>
      <c r="H117" s="183"/>
      <c r="I117" s="183"/>
    </row>
    <row r="118" spans="1:9" ht="15.75">
      <c r="A118" s="177" t="s">
        <v>59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15.75">
      <c r="A119" s="11"/>
    </row>
    <row r="120" spans="1:9" ht="15.75">
      <c r="A120" s="178" t="s">
        <v>9</v>
      </c>
      <c r="B120" s="178"/>
      <c r="C120" s="178"/>
      <c r="D120" s="178"/>
      <c r="E120" s="178"/>
      <c r="F120" s="178"/>
      <c r="G120" s="178"/>
      <c r="H120" s="178"/>
      <c r="I120" s="178"/>
    </row>
    <row r="121" spans="1:9" ht="15.75">
      <c r="A121" s="4"/>
    </row>
    <row r="122" spans="1:9" ht="15.75">
      <c r="B122" s="72" t="s">
        <v>10</v>
      </c>
      <c r="C122" s="179" t="s">
        <v>86</v>
      </c>
      <c r="D122" s="179"/>
      <c r="E122" s="179"/>
      <c r="F122" s="78"/>
      <c r="I122" s="73"/>
    </row>
    <row r="123" spans="1:9">
      <c r="A123" s="74"/>
      <c r="C123" s="180" t="s">
        <v>11</v>
      </c>
      <c r="D123" s="180"/>
      <c r="E123" s="180"/>
      <c r="F123" s="24"/>
      <c r="I123" s="71" t="s">
        <v>12</v>
      </c>
    </row>
    <row r="124" spans="1:9" ht="15.75">
      <c r="A124" s="25"/>
      <c r="C124" s="12"/>
      <c r="D124" s="12"/>
      <c r="G124" s="12"/>
      <c r="H124" s="12"/>
    </row>
    <row r="125" spans="1:9" ht="15.75">
      <c r="B125" s="72" t="s">
        <v>13</v>
      </c>
      <c r="C125" s="174"/>
      <c r="D125" s="174"/>
      <c r="E125" s="174"/>
      <c r="F125" s="79"/>
      <c r="I125" s="73"/>
    </row>
    <row r="126" spans="1:9">
      <c r="A126" s="74"/>
      <c r="C126" s="175" t="s">
        <v>11</v>
      </c>
      <c r="D126" s="175"/>
      <c r="E126" s="175"/>
      <c r="F126" s="74"/>
      <c r="I126" s="71" t="s">
        <v>12</v>
      </c>
    </row>
    <row r="127" spans="1:9" ht="15.75">
      <c r="A127" s="4" t="s">
        <v>14</v>
      </c>
    </row>
    <row r="128" spans="1:9">
      <c r="A128" s="176" t="s">
        <v>15</v>
      </c>
      <c r="B128" s="176"/>
      <c r="C128" s="176"/>
      <c r="D128" s="176"/>
      <c r="E128" s="176"/>
      <c r="F128" s="176"/>
      <c r="G128" s="176"/>
      <c r="H128" s="176"/>
      <c r="I128" s="176"/>
    </row>
    <row r="129" spans="1:9" ht="45" customHeight="1">
      <c r="A129" s="173" t="s">
        <v>16</v>
      </c>
      <c r="B129" s="173"/>
      <c r="C129" s="173"/>
      <c r="D129" s="173"/>
      <c r="E129" s="173"/>
      <c r="F129" s="173"/>
      <c r="G129" s="173"/>
      <c r="H129" s="173"/>
      <c r="I129" s="173"/>
    </row>
    <row r="130" spans="1:9" ht="30" customHeight="1">
      <c r="A130" s="173" t="s">
        <v>17</v>
      </c>
      <c r="B130" s="173"/>
      <c r="C130" s="173"/>
      <c r="D130" s="173"/>
      <c r="E130" s="173"/>
      <c r="F130" s="173"/>
      <c r="G130" s="173"/>
      <c r="H130" s="173"/>
      <c r="I130" s="173"/>
    </row>
    <row r="131" spans="1:9" ht="30" customHeight="1">
      <c r="A131" s="173" t="s">
        <v>21</v>
      </c>
      <c r="B131" s="173"/>
      <c r="C131" s="173"/>
      <c r="D131" s="173"/>
      <c r="E131" s="173"/>
      <c r="F131" s="173"/>
      <c r="G131" s="173"/>
      <c r="H131" s="173"/>
      <c r="I131" s="173"/>
    </row>
    <row r="132" spans="1:9" ht="15" customHeight="1">
      <c r="A132" s="173" t="s">
        <v>20</v>
      </c>
      <c r="B132" s="173"/>
      <c r="C132" s="173"/>
      <c r="D132" s="173"/>
      <c r="E132" s="173"/>
      <c r="F132" s="173"/>
      <c r="G132" s="173"/>
      <c r="H132" s="173"/>
      <c r="I132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26:E126"/>
    <mergeCell ref="A87:I87"/>
    <mergeCell ref="A112:I112"/>
    <mergeCell ref="B113:G113"/>
    <mergeCell ref="B114:G114"/>
    <mergeCell ref="A116:I116"/>
    <mergeCell ref="A117:I117"/>
    <mergeCell ref="A118:I118"/>
    <mergeCell ref="A120:I120"/>
    <mergeCell ref="C122:E122"/>
    <mergeCell ref="C123:E123"/>
    <mergeCell ref="C125:E125"/>
    <mergeCell ref="A83:I83"/>
    <mergeCell ref="A128:I128"/>
    <mergeCell ref="A129:I129"/>
    <mergeCell ref="A130:I130"/>
    <mergeCell ref="A131:I131"/>
    <mergeCell ref="A132:I13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  <ignoredErrors>
    <ignoredError sqref="I10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topLeftCell="A92" workbookViewId="0">
      <selection activeCell="B99" sqref="B99:G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173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252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0">
        <v>43434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212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5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6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customHeight="1">
      <c r="A40" s="33">
        <v>7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customHeight="1">
      <c r="A42" s="33">
        <v>8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customHeight="1">
      <c r="A43" s="33">
        <v>9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10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F44/7.5*G44</f>
        <v>334.59177600000004</v>
      </c>
      <c r="J44" s="23"/>
      <c r="L44" s="19"/>
      <c r="M44" s="20"/>
      <c r="N44" s="21"/>
    </row>
    <row r="45" spans="1:14" ht="15.75" customHeight="1">
      <c r="A45" s="33">
        <v>11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F45/7.5*G45</f>
        <v>95.76</v>
      </c>
      <c r="J45" s="23"/>
      <c r="L45" s="19"/>
      <c r="M45" s="20"/>
      <c r="N45" s="21"/>
    </row>
    <row r="46" spans="1:14" ht="15.75" hidden="1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9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9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159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customHeight="1">
      <c r="A57" s="11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12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G58*0.429</f>
        <v>663.78311999999994</v>
      </c>
      <c r="J58" s="23"/>
      <c r="L58" s="19"/>
      <c r="M58" s="20"/>
      <c r="N58" s="21"/>
    </row>
    <row r="59" spans="1:14" ht="15.75" customHeight="1">
      <c r="A59" s="40">
        <v>13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111" t="s">
        <v>43</v>
      </c>
      <c r="C61" s="111"/>
      <c r="D61" s="111"/>
      <c r="E61" s="111"/>
      <c r="F61" s="111"/>
      <c r="G61" s="111"/>
      <c r="H61" s="111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111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G65*5</f>
        <v>1112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16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112"/>
      <c r="B73" s="111" t="s">
        <v>124</v>
      </c>
      <c r="C73" s="111"/>
      <c r="D73" s="111"/>
      <c r="E73" s="111"/>
      <c r="F73" s="111"/>
      <c r="G73" s="111"/>
      <c r="H73" s="111"/>
      <c r="I73" s="18"/>
    </row>
    <row r="74" spans="1:22" ht="15.75" hidden="1" customHeight="1">
      <c r="A74" s="29">
        <v>11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f>G74</f>
        <v>27865.200000000001</v>
      </c>
    </row>
    <row r="75" spans="1:22" ht="2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7.25" customHeight="1">
      <c r="A76" s="29">
        <v>16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G76*0.2</f>
        <v>100.32400000000001</v>
      </c>
    </row>
    <row r="77" spans="1:22" ht="19.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8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4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22.5" hidden="1" customHeight="1">
      <c r="A80" s="29">
        <v>10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f>G80</f>
        <v>358.51</v>
      </c>
    </row>
    <row r="81" spans="1:9" ht="22.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9.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160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17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18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112"/>
      <c r="B86" s="39" t="s">
        <v>79</v>
      </c>
      <c r="C86" s="40"/>
      <c r="D86" s="15"/>
      <c r="E86" s="15"/>
      <c r="F86" s="15"/>
      <c r="G86" s="18"/>
      <c r="H86" s="18"/>
      <c r="I86" s="31">
        <f>I85+I84+I76+I65+I63+I59+I58+I45+I44+I43+I42+I40+I39+I38+I27+I18+I17+I16</f>
        <v>52865.809731599998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19</v>
      </c>
      <c r="B88" s="151" t="s">
        <v>253</v>
      </c>
      <c r="C88" s="40" t="s">
        <v>97</v>
      </c>
      <c r="D88" s="64"/>
      <c r="E88" s="36"/>
      <c r="F88" s="36">
        <v>12</v>
      </c>
      <c r="G88" s="36">
        <v>3413.41</v>
      </c>
      <c r="H88" s="102">
        <f t="shared" ref="H88:H89" si="12">G88*F88/1000</f>
        <v>40.960920000000002</v>
      </c>
      <c r="I88" s="13">
        <f>G88*0.06</f>
        <v>204.80459999999999</v>
      </c>
    </row>
    <row r="89" spans="1:9" ht="31.5" customHeight="1">
      <c r="A89" s="29">
        <v>20</v>
      </c>
      <c r="B89" s="66" t="s">
        <v>254</v>
      </c>
      <c r="C89" s="67" t="s">
        <v>30</v>
      </c>
      <c r="D89" s="64"/>
      <c r="E89" s="36"/>
      <c r="F89" s="36">
        <v>6</v>
      </c>
      <c r="G89" s="36">
        <v>18798.34</v>
      </c>
      <c r="H89" s="102">
        <f t="shared" si="12"/>
        <v>112.79004</v>
      </c>
      <c r="I89" s="13">
        <f>G89*1.599/1000</f>
        <v>30.05854566</v>
      </c>
    </row>
    <row r="90" spans="1:9" ht="16.5" customHeight="1">
      <c r="A90" s="29">
        <v>21</v>
      </c>
      <c r="B90" s="66" t="s">
        <v>151</v>
      </c>
      <c r="C90" s="67" t="s">
        <v>81</v>
      </c>
      <c r="D90" s="64"/>
      <c r="E90" s="36"/>
      <c r="F90" s="36"/>
      <c r="G90" s="36">
        <v>203.68</v>
      </c>
      <c r="H90" s="102"/>
      <c r="I90" s="13">
        <f>G90*1</f>
        <v>203.68</v>
      </c>
    </row>
    <row r="91" spans="1:9" ht="16.5" customHeight="1">
      <c r="A91" s="29">
        <v>22</v>
      </c>
      <c r="B91" s="55" t="s">
        <v>245</v>
      </c>
      <c r="C91" s="65" t="s">
        <v>117</v>
      </c>
      <c r="D91" s="64"/>
      <c r="E91" s="36"/>
      <c r="F91" s="36"/>
      <c r="G91" s="36">
        <v>169.24</v>
      </c>
      <c r="H91" s="102"/>
      <c r="I91" s="13">
        <f>G91*1</f>
        <v>169.24</v>
      </c>
    </row>
    <row r="92" spans="1:9" ht="31.5" customHeight="1">
      <c r="A92" s="29">
        <v>23</v>
      </c>
      <c r="B92" s="55" t="s">
        <v>256</v>
      </c>
      <c r="C92" s="65" t="s">
        <v>155</v>
      </c>
      <c r="D92" s="38" t="s">
        <v>248</v>
      </c>
      <c r="E92" s="36"/>
      <c r="F92" s="36"/>
      <c r="G92" s="36">
        <v>1272</v>
      </c>
      <c r="H92" s="102"/>
      <c r="I92" s="13">
        <f>G92*2</f>
        <v>2544</v>
      </c>
    </row>
    <row r="93" spans="1:9" ht="16.5" customHeight="1">
      <c r="A93" s="29">
        <v>24</v>
      </c>
      <c r="B93" s="55" t="s">
        <v>255</v>
      </c>
      <c r="C93" s="65" t="s">
        <v>117</v>
      </c>
      <c r="D93" s="64"/>
      <c r="E93" s="36"/>
      <c r="F93" s="36"/>
      <c r="G93" s="36">
        <v>5.42</v>
      </c>
      <c r="H93" s="102"/>
      <c r="I93" s="13">
        <f>G93*1</f>
        <v>5.42</v>
      </c>
    </row>
    <row r="94" spans="1:9" ht="30" customHeight="1">
      <c r="A94" s="29">
        <v>25</v>
      </c>
      <c r="B94" s="66" t="s">
        <v>202</v>
      </c>
      <c r="C94" s="67" t="s">
        <v>203</v>
      </c>
      <c r="D94" s="64"/>
      <c r="E94" s="36"/>
      <c r="F94" s="36"/>
      <c r="G94" s="36">
        <v>24829.08</v>
      </c>
      <c r="H94" s="102"/>
      <c r="I94" s="13">
        <f>G94*0.01</f>
        <v>248.29080000000002</v>
      </c>
    </row>
    <row r="95" spans="1:9" ht="15.75" customHeight="1">
      <c r="A95" s="29"/>
      <c r="B95" s="45" t="s">
        <v>50</v>
      </c>
      <c r="C95" s="41"/>
      <c r="D95" s="53"/>
      <c r="E95" s="41">
        <v>1</v>
      </c>
      <c r="F95" s="41"/>
      <c r="G95" s="41"/>
      <c r="H95" s="41"/>
      <c r="I95" s="31">
        <f>SUM(I88:I94)</f>
        <v>3405.49394566</v>
      </c>
    </row>
    <row r="96" spans="1:9" ht="15.75" customHeight="1">
      <c r="A96" s="29"/>
      <c r="B96" s="51" t="s">
        <v>77</v>
      </c>
      <c r="C96" s="15"/>
      <c r="D96" s="15"/>
      <c r="E96" s="42"/>
      <c r="F96" s="42"/>
      <c r="G96" s="43"/>
      <c r="H96" s="43"/>
      <c r="I96" s="17">
        <v>0</v>
      </c>
    </row>
    <row r="97" spans="1:9" ht="15.75" customHeight="1">
      <c r="A97" s="54"/>
      <c r="B97" s="46" t="s">
        <v>152</v>
      </c>
      <c r="C97" s="34"/>
      <c r="D97" s="34"/>
      <c r="E97" s="34"/>
      <c r="F97" s="34"/>
      <c r="G97" s="34"/>
      <c r="H97" s="34"/>
      <c r="I97" s="44">
        <f>I86+I95</f>
        <v>56271.303677259995</v>
      </c>
    </row>
    <row r="98" spans="1:9" ht="15.75">
      <c r="A98" s="181" t="s">
        <v>257</v>
      </c>
      <c r="B98" s="181"/>
      <c r="C98" s="181"/>
      <c r="D98" s="181"/>
      <c r="E98" s="181"/>
      <c r="F98" s="181"/>
      <c r="G98" s="181"/>
      <c r="H98" s="181"/>
      <c r="I98" s="181"/>
    </row>
    <row r="99" spans="1:9" ht="15.75">
      <c r="A99" s="61"/>
      <c r="B99" s="182" t="s">
        <v>258</v>
      </c>
      <c r="C99" s="182"/>
      <c r="D99" s="182"/>
      <c r="E99" s="182"/>
      <c r="F99" s="182"/>
      <c r="G99" s="182"/>
      <c r="H99" s="80"/>
      <c r="I99" s="3"/>
    </row>
    <row r="100" spans="1:9">
      <c r="A100" s="107"/>
      <c r="B100" s="180" t="s">
        <v>6</v>
      </c>
      <c r="C100" s="180"/>
      <c r="D100" s="180"/>
      <c r="E100" s="180"/>
      <c r="F100" s="180"/>
      <c r="G100" s="180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83" t="s">
        <v>7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15.75">
      <c r="A103" s="183" t="s">
        <v>8</v>
      </c>
      <c r="B103" s="183"/>
      <c r="C103" s="183"/>
      <c r="D103" s="183"/>
      <c r="E103" s="183"/>
      <c r="F103" s="183"/>
      <c r="G103" s="183"/>
      <c r="H103" s="183"/>
      <c r="I103" s="183"/>
    </row>
    <row r="104" spans="1:9" ht="15.75">
      <c r="A104" s="177" t="s">
        <v>59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>
      <c r="A105" s="11"/>
    </row>
    <row r="106" spans="1:9" ht="15.75">
      <c r="A106" s="178" t="s">
        <v>9</v>
      </c>
      <c r="B106" s="178"/>
      <c r="C106" s="178"/>
      <c r="D106" s="178"/>
      <c r="E106" s="178"/>
      <c r="F106" s="178"/>
      <c r="G106" s="178"/>
      <c r="H106" s="178"/>
      <c r="I106" s="178"/>
    </row>
    <row r="107" spans="1:9" ht="15.75">
      <c r="A107" s="4"/>
    </row>
    <row r="108" spans="1:9" ht="15.75">
      <c r="B108" s="108" t="s">
        <v>10</v>
      </c>
      <c r="C108" s="179" t="s">
        <v>86</v>
      </c>
      <c r="D108" s="179"/>
      <c r="E108" s="179"/>
      <c r="F108" s="78"/>
      <c r="I108" s="106"/>
    </row>
    <row r="109" spans="1:9">
      <c r="A109" s="107"/>
      <c r="C109" s="180" t="s">
        <v>11</v>
      </c>
      <c r="D109" s="180"/>
      <c r="E109" s="180"/>
      <c r="F109" s="24"/>
      <c r="I109" s="109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108" t="s">
        <v>13</v>
      </c>
      <c r="C111" s="174"/>
      <c r="D111" s="174"/>
      <c r="E111" s="174"/>
      <c r="F111" s="79"/>
      <c r="I111" s="106"/>
    </row>
    <row r="112" spans="1:9">
      <c r="A112" s="107"/>
      <c r="C112" s="175" t="s">
        <v>11</v>
      </c>
      <c r="D112" s="175"/>
      <c r="E112" s="175"/>
      <c r="F112" s="107"/>
      <c r="I112" s="109" t="s">
        <v>12</v>
      </c>
    </row>
    <row r="113" spans="1:9" ht="15.75">
      <c r="A113" s="4" t="s">
        <v>14</v>
      </c>
    </row>
    <row r="114" spans="1:9">
      <c r="A114" s="176" t="s">
        <v>15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45" customHeight="1">
      <c r="A115" s="173" t="s">
        <v>16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30" customHeight="1">
      <c r="A116" s="173" t="s">
        <v>17</v>
      </c>
      <c r="B116" s="173"/>
      <c r="C116" s="173"/>
      <c r="D116" s="173"/>
      <c r="E116" s="173"/>
      <c r="F116" s="173"/>
      <c r="G116" s="173"/>
      <c r="H116" s="173"/>
      <c r="I116" s="173"/>
    </row>
    <row r="117" spans="1:9" ht="30" customHeight="1">
      <c r="A117" s="173" t="s">
        <v>21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15" customHeight="1">
      <c r="A118" s="173" t="s">
        <v>20</v>
      </c>
      <c r="B118" s="173"/>
      <c r="C118" s="173"/>
      <c r="D118" s="173"/>
      <c r="E118" s="173"/>
      <c r="F118" s="173"/>
      <c r="G118" s="173"/>
      <c r="H118" s="173"/>
      <c r="I118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2:E112"/>
    <mergeCell ref="A87:I87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3:I83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3"/>
  <sheetViews>
    <sheetView topLeftCell="A87" workbookViewId="0">
      <selection activeCell="M97" sqref="M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174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259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0">
        <v>43465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260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32" t="s">
        <v>84</v>
      </c>
      <c r="C16" s="139" t="s">
        <v>92</v>
      </c>
      <c r="D16" s="32" t="s">
        <v>261</v>
      </c>
      <c r="E16" s="165">
        <v>129.88</v>
      </c>
      <c r="F16" s="140">
        <f>SUM(E16*156/100)</f>
        <v>202.61279999999999</v>
      </c>
      <c r="G16" s="140">
        <v>239.2</v>
      </c>
      <c r="H16" s="86">
        <f t="shared" ref="H16:H27" si="0">SUM(F16*G16/1000)</f>
        <v>48.464981759999993</v>
      </c>
      <c r="I16" s="13">
        <f>F16/12*G16</f>
        <v>4038.7484799999997</v>
      </c>
      <c r="J16" s="8"/>
      <c r="K16" s="8"/>
      <c r="L16" s="8"/>
      <c r="M16" s="8"/>
    </row>
    <row r="17" spans="1:13" ht="15.75" customHeight="1">
      <c r="A17" s="29">
        <v>2</v>
      </c>
      <c r="B17" s="32" t="s">
        <v>88</v>
      </c>
      <c r="C17" s="139" t="s">
        <v>92</v>
      </c>
      <c r="D17" s="32" t="s">
        <v>262</v>
      </c>
      <c r="E17" s="165">
        <v>519.52</v>
      </c>
      <c r="F17" s="140">
        <f>SUM(E17*104/100)</f>
        <v>540.30079999999998</v>
      </c>
      <c r="G17" s="140">
        <v>239.2</v>
      </c>
      <c r="H17" s="86">
        <f t="shared" si="0"/>
        <v>129.23995135999999</v>
      </c>
      <c r="I17" s="13">
        <f>F17/12*G17</f>
        <v>10769.995946666666</v>
      </c>
      <c r="J17" s="22"/>
      <c r="K17" s="8"/>
      <c r="L17" s="8"/>
      <c r="M17" s="8"/>
    </row>
    <row r="18" spans="1:13" ht="15.75" customHeight="1">
      <c r="A18" s="29">
        <v>3</v>
      </c>
      <c r="B18" s="32" t="s">
        <v>89</v>
      </c>
      <c r="C18" s="139" t="s">
        <v>92</v>
      </c>
      <c r="D18" s="32" t="s">
        <v>263</v>
      </c>
      <c r="E18" s="165">
        <f>SUM(E16+E17)</f>
        <v>649.4</v>
      </c>
      <c r="F18" s="140">
        <f>SUM(E18*18/100)</f>
        <v>116.892</v>
      </c>
      <c r="G18" s="140">
        <v>688.14</v>
      </c>
      <c r="H18" s="86">
        <f t="shared" si="0"/>
        <v>80.438060879999995</v>
      </c>
      <c r="I18" s="13">
        <f>F18/12*G18</f>
        <v>6703.1717399999998</v>
      </c>
      <c r="J18" s="22"/>
      <c r="K18" s="8"/>
      <c r="L18" s="8"/>
      <c r="M18" s="8"/>
    </row>
    <row r="19" spans="1:13" ht="15.75" hidden="1" customHeight="1">
      <c r="A19" s="29">
        <v>4</v>
      </c>
      <c r="B19" s="32" t="s">
        <v>96</v>
      </c>
      <c r="C19" s="139" t="s">
        <v>97</v>
      </c>
      <c r="D19" s="32" t="s">
        <v>98</v>
      </c>
      <c r="E19" s="165">
        <v>124.8</v>
      </c>
      <c r="F19" s="140">
        <f>SUM(E19/10)</f>
        <v>12.48</v>
      </c>
      <c r="G19" s="140">
        <v>232.1</v>
      </c>
      <c r="H19" s="86">
        <f t="shared" si="0"/>
        <v>2.8966080000000001</v>
      </c>
      <c r="I19" s="13">
        <f>F19/2*G19</f>
        <v>1448.3040000000001</v>
      </c>
      <c r="J19" s="22"/>
      <c r="K19" s="8"/>
      <c r="L19" s="8"/>
      <c r="M19" s="8"/>
    </row>
    <row r="20" spans="1:13" ht="15.75" customHeight="1">
      <c r="A20" s="29">
        <v>5</v>
      </c>
      <c r="B20" s="32" t="s">
        <v>101</v>
      </c>
      <c r="C20" s="139" t="s">
        <v>92</v>
      </c>
      <c r="D20" s="32" t="s">
        <v>264</v>
      </c>
      <c r="E20" s="165">
        <v>57.5</v>
      </c>
      <c r="F20" s="140">
        <f>SUM(E20*12/100)</f>
        <v>6.9</v>
      </c>
      <c r="G20" s="140">
        <v>297.19</v>
      </c>
      <c r="H20" s="86">
        <f t="shared" si="0"/>
        <v>2.050611</v>
      </c>
      <c r="I20" s="13">
        <f>F20*G20/12</f>
        <v>170.88424999999998</v>
      </c>
      <c r="J20" s="22"/>
      <c r="K20" s="8"/>
      <c r="L20" s="8"/>
      <c r="M20" s="8"/>
    </row>
    <row r="21" spans="1:13" ht="20.25" customHeight="1">
      <c r="A21" s="29">
        <v>6</v>
      </c>
      <c r="B21" s="32" t="s">
        <v>102</v>
      </c>
      <c r="C21" s="139" t="s">
        <v>92</v>
      </c>
      <c r="D21" s="32" t="s">
        <v>264</v>
      </c>
      <c r="E21" s="165">
        <v>13.41</v>
      </c>
      <c r="F21" s="140">
        <f>SUM(E21*12/100)</f>
        <v>1.6092000000000002</v>
      </c>
      <c r="G21" s="140">
        <v>294.77999999999997</v>
      </c>
      <c r="H21" s="86">
        <f t="shared" si="0"/>
        <v>0.47435997600000002</v>
      </c>
      <c r="I21" s="13">
        <f>F21*G21/12</f>
        <v>39.529997999999999</v>
      </c>
      <c r="J21" s="22"/>
      <c r="K21" s="8"/>
      <c r="L21" s="8"/>
      <c r="M21" s="8"/>
    </row>
    <row r="22" spans="1:13" ht="21.75" hidden="1" customHeight="1">
      <c r="A22" s="29">
        <v>7</v>
      </c>
      <c r="B22" s="32" t="s">
        <v>103</v>
      </c>
      <c r="C22" s="139" t="s">
        <v>51</v>
      </c>
      <c r="D22" s="32" t="s">
        <v>98</v>
      </c>
      <c r="E22" s="165">
        <v>820.5</v>
      </c>
      <c r="F22" s="140">
        <f>SUM(E22/100)</f>
        <v>8.2050000000000001</v>
      </c>
      <c r="G22" s="140">
        <v>367.27</v>
      </c>
      <c r="H22" s="86">
        <f t="shared" si="0"/>
        <v>3.0134503500000003</v>
      </c>
      <c r="I22" s="13">
        <f t="shared" ref="I22:I26" si="1">F22*G22</f>
        <v>3013.4503500000001</v>
      </c>
      <c r="J22" s="22"/>
      <c r="K22" s="8"/>
      <c r="L22" s="8"/>
      <c r="M22" s="8"/>
    </row>
    <row r="23" spans="1:13" ht="22.5" hidden="1" customHeight="1">
      <c r="A23" s="29">
        <v>8</v>
      </c>
      <c r="B23" s="32" t="s">
        <v>104</v>
      </c>
      <c r="C23" s="139" t="s">
        <v>51</v>
      </c>
      <c r="D23" s="32" t="s">
        <v>98</v>
      </c>
      <c r="E23" s="172">
        <v>60.25</v>
      </c>
      <c r="F23" s="140">
        <f>SUM(E23/100)</f>
        <v>0.60250000000000004</v>
      </c>
      <c r="G23" s="140">
        <v>60.41</v>
      </c>
      <c r="H23" s="86">
        <f t="shared" si="0"/>
        <v>3.6397025E-2</v>
      </c>
      <c r="I23" s="13">
        <f t="shared" si="1"/>
        <v>36.397024999999999</v>
      </c>
      <c r="J23" s="22"/>
      <c r="K23" s="8"/>
      <c r="L23" s="8"/>
      <c r="M23" s="8"/>
    </row>
    <row r="24" spans="1:13" ht="13.5" hidden="1" customHeight="1">
      <c r="A24" s="29">
        <v>9</v>
      </c>
      <c r="B24" s="32" t="s">
        <v>99</v>
      </c>
      <c r="C24" s="139" t="s">
        <v>51</v>
      </c>
      <c r="D24" s="32" t="s">
        <v>100</v>
      </c>
      <c r="E24" s="165">
        <v>19.149999999999999</v>
      </c>
      <c r="F24" s="140">
        <f>E24/100</f>
        <v>0.19149999999999998</v>
      </c>
      <c r="G24" s="140">
        <v>531.55999999999995</v>
      </c>
      <c r="H24" s="86">
        <f t="shared" si="0"/>
        <v>0.10179373999999997</v>
      </c>
      <c r="I24" s="13">
        <f t="shared" si="1"/>
        <v>101.79373999999997</v>
      </c>
      <c r="J24" s="22"/>
      <c r="K24" s="8"/>
      <c r="L24" s="8"/>
      <c r="M24" s="8"/>
    </row>
    <row r="25" spans="1:13" ht="15.75" hidden="1" customHeight="1">
      <c r="A25" s="29">
        <v>10</v>
      </c>
      <c r="B25" s="32" t="s">
        <v>106</v>
      </c>
      <c r="C25" s="139" t="s">
        <v>51</v>
      </c>
      <c r="D25" s="32" t="s">
        <v>52</v>
      </c>
      <c r="E25" s="165">
        <v>31.5</v>
      </c>
      <c r="F25" s="140">
        <v>0.32</v>
      </c>
      <c r="G25" s="140">
        <v>294.77999999999997</v>
      </c>
      <c r="H25" s="86">
        <f t="shared" si="0"/>
        <v>9.43296E-2</v>
      </c>
      <c r="I25" s="13">
        <f t="shared" si="1"/>
        <v>94.329599999999999</v>
      </c>
      <c r="J25" s="22"/>
      <c r="K25" s="8"/>
      <c r="L25" s="8"/>
      <c r="M25" s="8"/>
    </row>
    <row r="26" spans="1:13" ht="18" hidden="1" customHeight="1">
      <c r="A26" s="29">
        <v>11</v>
      </c>
      <c r="B26" s="32" t="s">
        <v>105</v>
      </c>
      <c r="C26" s="139" t="s">
        <v>51</v>
      </c>
      <c r="D26" s="32" t="s">
        <v>98</v>
      </c>
      <c r="E26" s="165">
        <v>37.5</v>
      </c>
      <c r="F26" s="140">
        <f>SUM(E26/100)</f>
        <v>0.375</v>
      </c>
      <c r="G26" s="140">
        <v>710.37</v>
      </c>
      <c r="H26" s="86">
        <f t="shared" si="0"/>
        <v>0.26638875000000001</v>
      </c>
      <c r="I26" s="13">
        <f t="shared" si="1"/>
        <v>266.38875000000002</v>
      </c>
      <c r="J26" s="22"/>
      <c r="K26" s="8"/>
      <c r="L26" s="8"/>
      <c r="M26" s="8"/>
    </row>
    <row r="27" spans="1:13" ht="15.75" customHeight="1">
      <c r="A27" s="29">
        <v>7</v>
      </c>
      <c r="B27" s="32" t="s">
        <v>62</v>
      </c>
      <c r="C27" s="139" t="s">
        <v>33</v>
      </c>
      <c r="D27" s="32" t="s">
        <v>61</v>
      </c>
      <c r="E27" s="171">
        <v>0.2</v>
      </c>
      <c r="F27" s="140">
        <f>SUM(E27*155)</f>
        <v>31</v>
      </c>
      <c r="G27" s="140">
        <v>275.45</v>
      </c>
      <c r="H27" s="86">
        <f t="shared" si="0"/>
        <v>8.538949999999998</v>
      </c>
      <c r="I27" s="13">
        <f>F27/12*G27</f>
        <v>711.57916666666665</v>
      </c>
      <c r="J27" s="22"/>
      <c r="K27" s="8"/>
      <c r="L27" s="8"/>
      <c r="M27" s="8"/>
    </row>
    <row r="28" spans="1:13" ht="15.75" customHeight="1">
      <c r="A28" s="196" t="s">
        <v>82</v>
      </c>
      <c r="B28" s="196"/>
      <c r="C28" s="196"/>
      <c r="D28" s="196"/>
      <c r="E28" s="196"/>
      <c r="F28" s="196"/>
      <c r="G28" s="196"/>
      <c r="H28" s="196"/>
      <c r="I28" s="196"/>
      <c r="J28" s="22"/>
      <c r="K28" s="8"/>
      <c r="L28" s="8"/>
      <c r="M28" s="8"/>
    </row>
    <row r="29" spans="1:13" ht="15" hidden="1" customHeight="1">
      <c r="A29" s="40"/>
      <c r="B29" s="50" t="s">
        <v>29</v>
      </c>
      <c r="C29" s="50"/>
      <c r="D29" s="50"/>
      <c r="E29" s="50"/>
      <c r="F29" s="50"/>
      <c r="G29" s="50"/>
      <c r="H29" s="50"/>
      <c r="I29" s="18"/>
      <c r="J29" s="22"/>
      <c r="K29" s="8"/>
      <c r="L29" s="8"/>
      <c r="M29" s="8"/>
    </row>
    <row r="30" spans="1:13" ht="27.75" hidden="1" customHeight="1">
      <c r="A30" s="40">
        <v>6</v>
      </c>
      <c r="B30" s="152" t="s">
        <v>107</v>
      </c>
      <c r="C30" s="153" t="s">
        <v>108</v>
      </c>
      <c r="D30" s="152" t="s">
        <v>265</v>
      </c>
      <c r="E30" s="155">
        <v>1304.45</v>
      </c>
      <c r="F30" s="155">
        <f>SUM(E30*52/1000)</f>
        <v>67.831400000000002</v>
      </c>
      <c r="G30" s="155">
        <v>212.62</v>
      </c>
      <c r="H30" s="86">
        <f t="shared" ref="H30:H35" si="2">SUM(F30*G30/1000)</f>
        <v>14.422312268000001</v>
      </c>
      <c r="I30" s="13">
        <f>F30/6*G30</f>
        <v>2403.7187113333334</v>
      </c>
      <c r="J30" s="22"/>
      <c r="K30" s="8"/>
      <c r="L30" s="8"/>
      <c r="M30" s="8"/>
    </row>
    <row r="31" spans="1:13" ht="27.75" hidden="1" customHeight="1">
      <c r="A31" s="40">
        <v>7</v>
      </c>
      <c r="B31" s="152" t="s">
        <v>147</v>
      </c>
      <c r="C31" s="153" t="s">
        <v>108</v>
      </c>
      <c r="D31" s="152" t="s">
        <v>266</v>
      </c>
      <c r="E31" s="155">
        <v>287.83999999999997</v>
      </c>
      <c r="F31" s="155">
        <f>SUM(E31*52/1000)</f>
        <v>14.967679999999998</v>
      </c>
      <c r="G31" s="155">
        <v>352.77</v>
      </c>
      <c r="H31" s="86">
        <f t="shared" si="2"/>
        <v>5.2801484735999997</v>
      </c>
      <c r="I31" s="13">
        <f t="shared" ref="I31:I33" si="3">F31/6*G31</f>
        <v>880.02474559999985</v>
      </c>
      <c r="J31" s="22"/>
      <c r="K31" s="8"/>
      <c r="L31" s="8"/>
      <c r="M31" s="8"/>
    </row>
    <row r="32" spans="1:13" ht="24" hidden="1" customHeight="1">
      <c r="A32" s="40">
        <v>16</v>
      </c>
      <c r="B32" s="152" t="s">
        <v>28</v>
      </c>
      <c r="C32" s="153" t="s">
        <v>108</v>
      </c>
      <c r="D32" s="152" t="s">
        <v>52</v>
      </c>
      <c r="E32" s="155">
        <v>1304.45</v>
      </c>
      <c r="F32" s="155">
        <f>SUM(E32/1000)</f>
        <v>1.3044500000000001</v>
      </c>
      <c r="G32" s="155">
        <v>4119.68</v>
      </c>
      <c r="H32" s="86">
        <f t="shared" si="2"/>
        <v>5.3739165760000009</v>
      </c>
      <c r="I32" s="13">
        <f>F32*G32</f>
        <v>5373.9165760000005</v>
      </c>
      <c r="J32" s="22"/>
      <c r="K32" s="8"/>
      <c r="L32" s="8"/>
      <c r="M32" s="8"/>
    </row>
    <row r="33" spans="1:14" ht="23.25" hidden="1" customHeight="1">
      <c r="A33" s="40">
        <v>8</v>
      </c>
      <c r="B33" s="152" t="s">
        <v>111</v>
      </c>
      <c r="C33" s="153" t="s">
        <v>31</v>
      </c>
      <c r="D33" s="152" t="s">
        <v>61</v>
      </c>
      <c r="E33" s="157">
        <v>0.33333333333333331</v>
      </c>
      <c r="F33" s="155">
        <f>155/3</f>
        <v>51.666666666666664</v>
      </c>
      <c r="G33" s="155">
        <v>77.33</v>
      </c>
      <c r="H33" s="86">
        <f t="shared" si="2"/>
        <v>3.9953833333333333</v>
      </c>
      <c r="I33" s="13">
        <f t="shared" si="3"/>
        <v>665.89722222222213</v>
      </c>
      <c r="J33" s="23"/>
    </row>
    <row r="34" spans="1:14" ht="21" hidden="1" customHeight="1">
      <c r="A34" s="40">
        <v>4</v>
      </c>
      <c r="B34" s="152" t="s">
        <v>62</v>
      </c>
      <c r="C34" s="153" t="s">
        <v>33</v>
      </c>
      <c r="D34" s="152" t="s">
        <v>61</v>
      </c>
      <c r="E34" s="156">
        <v>0.2</v>
      </c>
      <c r="F34" s="155">
        <f>SUM(E34*155)</f>
        <v>31</v>
      </c>
      <c r="G34" s="155">
        <v>275.45</v>
      </c>
      <c r="H34" s="86">
        <f t="shared" si="2"/>
        <v>8.538949999999998</v>
      </c>
      <c r="I34" s="13">
        <v>0</v>
      </c>
      <c r="J34" s="23"/>
    </row>
    <row r="35" spans="1:14" ht="28.5" hidden="1" customHeight="1">
      <c r="A35" s="29">
        <v>8</v>
      </c>
      <c r="B35" s="152" t="s">
        <v>63</v>
      </c>
      <c r="C35" s="153" t="s">
        <v>33</v>
      </c>
      <c r="D35" s="152" t="s">
        <v>267</v>
      </c>
      <c r="E35" s="154"/>
      <c r="F35" s="155">
        <v>2</v>
      </c>
      <c r="G35" s="155">
        <v>260.95</v>
      </c>
      <c r="H35" s="86">
        <f t="shared" si="2"/>
        <v>0.52190000000000003</v>
      </c>
      <c r="I35" s="13">
        <v>0</v>
      </c>
      <c r="J35" s="23"/>
    </row>
    <row r="36" spans="1:14" ht="27.75" hidden="1" customHeight="1">
      <c r="A36" s="29"/>
      <c r="B36" s="152" t="s">
        <v>64</v>
      </c>
      <c r="C36" s="153" t="s">
        <v>32</v>
      </c>
      <c r="D36" s="152" t="s">
        <v>267</v>
      </c>
      <c r="E36" s="154"/>
      <c r="F36" s="155">
        <v>1</v>
      </c>
      <c r="G36" s="155">
        <v>1549.92</v>
      </c>
      <c r="H36" s="97"/>
      <c r="I36" s="13"/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8</v>
      </c>
      <c r="B38" s="168" t="s">
        <v>27</v>
      </c>
      <c r="C38" s="139" t="s">
        <v>32</v>
      </c>
      <c r="D38" s="32"/>
      <c r="E38" s="165"/>
      <c r="F38" s="140">
        <v>8</v>
      </c>
      <c r="G38" s="140">
        <v>2083</v>
      </c>
      <c r="H38" s="86">
        <f t="shared" ref="H38:H45" si="4">SUM(F38*G38/1000)</f>
        <v>16.664000000000001</v>
      </c>
      <c r="I38" s="13">
        <f>F38/6*G38</f>
        <v>2777.333333333333</v>
      </c>
      <c r="J38" s="23"/>
    </row>
    <row r="39" spans="1:14" ht="15.75" customHeight="1">
      <c r="A39" s="33">
        <v>9</v>
      </c>
      <c r="B39" s="168" t="s">
        <v>129</v>
      </c>
      <c r="C39" s="169" t="s">
        <v>30</v>
      </c>
      <c r="D39" s="168" t="s">
        <v>112</v>
      </c>
      <c r="E39" s="170">
        <v>287.83999999999997</v>
      </c>
      <c r="F39" s="170">
        <f>SUM(E39*30/1000)</f>
        <v>8.6351999999999993</v>
      </c>
      <c r="G39" s="170">
        <v>2868.09</v>
      </c>
      <c r="H39" s="86">
        <f t="shared" si="4"/>
        <v>24.766530767999999</v>
      </c>
      <c r="I39" s="13">
        <f>F39/6*G39</f>
        <v>4127.7551279999998</v>
      </c>
      <c r="J39" s="23"/>
    </row>
    <row r="40" spans="1:14" ht="31.5" customHeight="1">
      <c r="A40" s="33">
        <v>10</v>
      </c>
      <c r="B40" s="168" t="s">
        <v>268</v>
      </c>
      <c r="C40" s="169" t="s">
        <v>30</v>
      </c>
      <c r="D40" s="32" t="s">
        <v>113</v>
      </c>
      <c r="E40" s="165">
        <v>287.83999999999997</v>
      </c>
      <c r="F40" s="170">
        <f>E40*155/1000</f>
        <v>44.615199999999994</v>
      </c>
      <c r="G40" s="140">
        <v>478.42</v>
      </c>
      <c r="H40" s="86">
        <f>G40*F40/1000</f>
        <v>21.344803983999999</v>
      </c>
      <c r="I40" s="13">
        <f>F40/6*G40</f>
        <v>3557.4673306666664</v>
      </c>
      <c r="J40" s="23"/>
    </row>
    <row r="41" spans="1:14" ht="15.75" hidden="1" customHeight="1">
      <c r="A41" s="33">
        <v>7</v>
      </c>
      <c r="B41" s="168" t="s">
        <v>268</v>
      </c>
      <c r="C41" s="169" t="s">
        <v>30</v>
      </c>
      <c r="D41" s="32" t="s">
        <v>113</v>
      </c>
      <c r="E41" s="165">
        <v>287.83999999999997</v>
      </c>
      <c r="F41" s="170">
        <f>E41*155/1000</f>
        <v>44.615199999999994</v>
      </c>
      <c r="G41" s="140">
        <v>478.42</v>
      </c>
      <c r="H41" s="86">
        <f>G41*F41/1000</f>
        <v>21.344803983999999</v>
      </c>
      <c r="I41" s="13">
        <v>0</v>
      </c>
      <c r="J41" s="23"/>
    </row>
    <row r="42" spans="1:14" ht="48.75" customHeight="1">
      <c r="A42" s="33">
        <v>11</v>
      </c>
      <c r="B42" s="32" t="s">
        <v>80</v>
      </c>
      <c r="C42" s="139" t="s">
        <v>108</v>
      </c>
      <c r="D42" s="32" t="s">
        <v>269</v>
      </c>
      <c r="E42" s="140">
        <v>130.6</v>
      </c>
      <c r="F42" s="170">
        <f>SUM(E42*35/1000)</f>
        <v>4.5709999999999997</v>
      </c>
      <c r="G42" s="140">
        <v>7915.6</v>
      </c>
      <c r="H42" s="86">
        <f t="shared" si="4"/>
        <v>36.182207599999998</v>
      </c>
      <c r="I42" s="13">
        <f>F42/6*G42</f>
        <v>6030.367933333333</v>
      </c>
      <c r="J42" s="23"/>
    </row>
    <row r="43" spans="1:14" ht="19.5" customHeight="1">
      <c r="A43" s="33">
        <v>12</v>
      </c>
      <c r="B43" s="32" t="s">
        <v>114</v>
      </c>
      <c r="C43" s="139" t="s">
        <v>108</v>
      </c>
      <c r="D43" s="32" t="s">
        <v>67</v>
      </c>
      <c r="E43" s="140">
        <v>287.83999999999997</v>
      </c>
      <c r="F43" s="170">
        <f>SUM(E43*45/1000)</f>
        <v>12.9528</v>
      </c>
      <c r="G43" s="140">
        <v>584.74</v>
      </c>
      <c r="H43" s="86">
        <f t="shared" si="4"/>
        <v>7.5740202719999994</v>
      </c>
      <c r="I43" s="13">
        <f>F43/7.5*1.5*G43</f>
        <v>1514.8040544</v>
      </c>
      <c r="J43" s="23"/>
      <c r="L43" s="19"/>
      <c r="M43" s="20"/>
      <c r="N43" s="21"/>
    </row>
    <row r="44" spans="1:14" ht="15.75" customHeight="1">
      <c r="A44" s="33">
        <v>13</v>
      </c>
      <c r="B44" s="168" t="s">
        <v>68</v>
      </c>
      <c r="C44" s="169" t="s">
        <v>33</v>
      </c>
      <c r="D44" s="168"/>
      <c r="E44" s="171"/>
      <c r="F44" s="170">
        <v>0.9</v>
      </c>
      <c r="G44" s="170">
        <v>800</v>
      </c>
      <c r="H44" s="86">
        <f t="shared" si="4"/>
        <v>0.72</v>
      </c>
      <c r="I44" s="13">
        <f>F44/7.5*1.5*G44</f>
        <v>144.00000000000003</v>
      </c>
      <c r="J44" s="23"/>
      <c r="L44" s="19"/>
      <c r="M44" s="20"/>
      <c r="N44" s="21"/>
    </row>
    <row r="45" spans="1:14" ht="30.75" customHeight="1">
      <c r="A45" s="158">
        <v>14</v>
      </c>
      <c r="B45" s="168" t="s">
        <v>270</v>
      </c>
      <c r="C45" s="169" t="s">
        <v>108</v>
      </c>
      <c r="D45" s="168" t="s">
        <v>271</v>
      </c>
      <c r="E45" s="171">
        <v>0.6</v>
      </c>
      <c r="F45" s="170">
        <v>0.01</v>
      </c>
      <c r="G45" s="170">
        <v>18798.34</v>
      </c>
      <c r="H45" s="98">
        <f t="shared" si="4"/>
        <v>0.18798340000000002</v>
      </c>
      <c r="I45" s="119">
        <f>F45/6*G45</f>
        <v>31.33056666666667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9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15</v>
      </c>
      <c r="B51" s="32" t="s">
        <v>54</v>
      </c>
      <c r="C51" s="139" t="s">
        <v>108</v>
      </c>
      <c r="D51" s="32" t="s">
        <v>272</v>
      </c>
      <c r="E51" s="165">
        <v>5162.6000000000004</v>
      </c>
      <c r="F51" s="140">
        <f>SUM(E51*5/1000)</f>
        <v>25.812999999999999</v>
      </c>
      <c r="G51" s="36">
        <v>1655.27</v>
      </c>
      <c r="H51" s="86">
        <f t="shared" si="5"/>
        <v>42.727484509999996</v>
      </c>
      <c r="I51" s="13">
        <f>F51/5*G51</f>
        <v>8545.496901999999</v>
      </c>
      <c r="J51" s="23"/>
      <c r="L51" s="19"/>
      <c r="M51" s="20"/>
      <c r="N51" s="21"/>
    </row>
    <row r="52" spans="1:14" ht="30.75" hidden="1" customHeight="1">
      <c r="A52" s="40">
        <v>9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customHeight="1">
      <c r="A57" s="11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16</v>
      </c>
      <c r="B58" s="32" t="s">
        <v>118</v>
      </c>
      <c r="C58" s="139" t="s">
        <v>92</v>
      </c>
      <c r="D58" s="32" t="s">
        <v>119</v>
      </c>
      <c r="E58" s="165">
        <v>128.5</v>
      </c>
      <c r="F58" s="140">
        <f>SUM(E58*6/100)</f>
        <v>7.71</v>
      </c>
      <c r="G58" s="36">
        <v>2110.4699999999998</v>
      </c>
      <c r="H58" s="86">
        <f>SUM(F58*G58/1000)</f>
        <v>16.271723699999999</v>
      </c>
      <c r="I58" s="13">
        <f>F58/6*G58</f>
        <v>2711.9539499999996</v>
      </c>
      <c r="J58" s="23"/>
      <c r="L58" s="19"/>
      <c r="M58" s="20"/>
      <c r="N58" s="21"/>
    </row>
    <row r="59" spans="1:14" ht="17.25" customHeight="1">
      <c r="A59" s="40">
        <v>17</v>
      </c>
      <c r="B59" s="32" t="s">
        <v>273</v>
      </c>
      <c r="C59" s="139" t="s">
        <v>92</v>
      </c>
      <c r="D59" s="32" t="s">
        <v>119</v>
      </c>
      <c r="E59" s="166">
        <v>69.5</v>
      </c>
      <c r="F59" s="167">
        <f>E59*6/100</f>
        <v>4.17</v>
      </c>
      <c r="G59" s="140">
        <v>2110.4699999999998</v>
      </c>
      <c r="H59" s="86">
        <f>F59*G59/1000</f>
        <v>8.8006598999999994</v>
      </c>
      <c r="I59" s="13">
        <f>F59/6*G59</f>
        <v>1466.7766499999998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hidden="1" customHeight="1">
      <c r="A61" s="40"/>
      <c r="B61" s="152" t="s">
        <v>240</v>
      </c>
      <c r="C61" s="153" t="s">
        <v>241</v>
      </c>
      <c r="D61" s="152" t="s">
        <v>267</v>
      </c>
      <c r="E61" s="160"/>
      <c r="F61" s="127">
        <v>8</v>
      </c>
      <c r="G61" s="159">
        <v>1645</v>
      </c>
      <c r="H61" s="97"/>
      <c r="I61" s="13"/>
      <c r="J61" s="23"/>
      <c r="L61" s="19"/>
      <c r="M61" s="20"/>
      <c r="N61" s="21"/>
    </row>
    <row r="62" spans="1:14" ht="15.75" customHeight="1">
      <c r="A62" s="40"/>
      <c r="B62" s="111" t="s">
        <v>43</v>
      </c>
      <c r="C62" s="111"/>
      <c r="D62" s="111"/>
      <c r="E62" s="111"/>
      <c r="F62" s="111"/>
      <c r="G62" s="111"/>
      <c r="H62" s="111"/>
      <c r="I62" s="35"/>
      <c r="J62" s="23"/>
      <c r="L62" s="19"/>
      <c r="M62" s="20"/>
      <c r="N62" s="21"/>
    </row>
    <row r="63" spans="1:14" ht="15.75" hidden="1" customHeight="1">
      <c r="A63" s="40">
        <v>27</v>
      </c>
      <c r="B63" s="82" t="s">
        <v>149</v>
      </c>
      <c r="C63" s="83"/>
      <c r="D63" s="82" t="s">
        <v>52</v>
      </c>
      <c r="E63" s="84">
        <v>1349.3</v>
      </c>
      <c r="F63" s="86">
        <v>13.493</v>
      </c>
      <c r="G63" s="13">
        <v>793.61</v>
      </c>
      <c r="H63" s="92">
        <f>F63*G63/1000</f>
        <v>10.708179729999999</v>
      </c>
      <c r="I63" s="13">
        <v>0</v>
      </c>
      <c r="J63" s="23"/>
      <c r="L63" s="19"/>
      <c r="M63" s="20"/>
      <c r="N63" s="21"/>
    </row>
    <row r="64" spans="1:14" ht="15.75" customHeight="1">
      <c r="A64" s="40">
        <v>18</v>
      </c>
      <c r="B64" s="113" t="s">
        <v>91</v>
      </c>
      <c r="C64" s="114" t="s">
        <v>26</v>
      </c>
      <c r="D64" s="113"/>
      <c r="E64" s="115">
        <v>200</v>
      </c>
      <c r="F64" s="116">
        <f>E64*12</f>
        <v>2400</v>
      </c>
      <c r="G64" s="117">
        <v>1.2</v>
      </c>
      <c r="H64" s="98">
        <f>F64*G64</f>
        <v>2880</v>
      </c>
      <c r="I64" s="13">
        <f>F64/12*G64</f>
        <v>240</v>
      </c>
      <c r="J64" s="23"/>
      <c r="L64" s="19"/>
      <c r="M64" s="20"/>
      <c r="N64" s="21"/>
    </row>
    <row r="65" spans="1:22" ht="15.75" customHeight="1">
      <c r="A65" s="40"/>
      <c r="B65" s="111" t="s">
        <v>44</v>
      </c>
      <c r="C65" s="16"/>
      <c r="D65" s="37"/>
      <c r="E65" s="15"/>
      <c r="F65" s="15"/>
      <c r="G65" s="29"/>
      <c r="H65" s="29"/>
      <c r="I65" s="18"/>
      <c r="J65" s="23"/>
      <c r="L65" s="19"/>
    </row>
    <row r="66" spans="1:22" ht="15.75" customHeight="1">
      <c r="A66" s="40">
        <v>19</v>
      </c>
      <c r="B66" s="164" t="s">
        <v>45</v>
      </c>
      <c r="C66" s="38" t="s">
        <v>117</v>
      </c>
      <c r="D66" s="37" t="s">
        <v>267</v>
      </c>
      <c r="E66" s="17">
        <v>40</v>
      </c>
      <c r="F66" s="140">
        <f>E66</f>
        <v>40</v>
      </c>
      <c r="G66" s="36">
        <v>303.35000000000002</v>
      </c>
      <c r="H66" s="100">
        <f t="shared" ref="H66:H73" si="8">SUM(F66*G66/1000)</f>
        <v>12.134</v>
      </c>
      <c r="I66" s="13">
        <f>G66*3</f>
        <v>910.05000000000007</v>
      </c>
    </row>
    <row r="67" spans="1:22" ht="15.75" hidden="1" customHeight="1">
      <c r="A67" s="29">
        <v>29</v>
      </c>
      <c r="B67" s="99" t="s">
        <v>46</v>
      </c>
      <c r="C67" s="16" t="s">
        <v>117</v>
      </c>
      <c r="D67" s="99" t="s">
        <v>65</v>
      </c>
      <c r="E67" s="18">
        <v>20</v>
      </c>
      <c r="F67" s="85">
        <v>20</v>
      </c>
      <c r="G67" s="13">
        <v>76.25</v>
      </c>
      <c r="H67" s="100">
        <f t="shared" si="8"/>
        <v>1.5249999999999999</v>
      </c>
      <c r="I67" s="13">
        <v>0</v>
      </c>
    </row>
    <row r="68" spans="1:22" ht="15.75" hidden="1" customHeight="1">
      <c r="A68" s="29">
        <v>25</v>
      </c>
      <c r="B68" s="99" t="s">
        <v>47</v>
      </c>
      <c r="C68" s="16" t="s">
        <v>120</v>
      </c>
      <c r="D68" s="99" t="s">
        <v>52</v>
      </c>
      <c r="E68" s="84">
        <v>18890</v>
      </c>
      <c r="F68" s="13">
        <f>SUM(E68/100)</f>
        <v>188.9</v>
      </c>
      <c r="G68" s="13">
        <v>212.15</v>
      </c>
      <c r="H68" s="100">
        <f t="shared" si="8"/>
        <v>40.075135000000003</v>
      </c>
      <c r="I68" s="13">
        <f>F68*G68</f>
        <v>40075.135000000002</v>
      </c>
    </row>
    <row r="69" spans="1:22" ht="15.75" hidden="1" customHeight="1">
      <c r="A69" s="29">
        <v>26</v>
      </c>
      <c r="B69" s="99" t="s">
        <v>48</v>
      </c>
      <c r="C69" s="16" t="s">
        <v>121</v>
      </c>
      <c r="D69" s="99"/>
      <c r="E69" s="84">
        <v>18890</v>
      </c>
      <c r="F69" s="13">
        <f>SUM(E69/1000)</f>
        <v>18.89</v>
      </c>
      <c r="G69" s="13">
        <v>165.21</v>
      </c>
      <c r="H69" s="100">
        <f t="shared" si="8"/>
        <v>3.1208169000000003</v>
      </c>
      <c r="I69" s="13">
        <f t="shared" ref="I69:I72" si="9">F69*G69</f>
        <v>3120.8169000000003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29">
        <v>27</v>
      </c>
      <c r="B70" s="99" t="s">
        <v>49</v>
      </c>
      <c r="C70" s="16" t="s">
        <v>75</v>
      </c>
      <c r="D70" s="99" t="s">
        <v>52</v>
      </c>
      <c r="E70" s="84">
        <v>3004</v>
      </c>
      <c r="F70" s="13">
        <f>SUM(E70/100)</f>
        <v>30.04</v>
      </c>
      <c r="G70" s="13">
        <v>2074.63</v>
      </c>
      <c r="H70" s="100">
        <f t="shared" si="8"/>
        <v>62.321885200000004</v>
      </c>
      <c r="I70" s="13">
        <f t="shared" si="9"/>
        <v>62321.885200000004</v>
      </c>
      <c r="J70" s="25"/>
      <c r="K70" s="25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29">
        <v>28</v>
      </c>
      <c r="B71" s="101" t="s">
        <v>122</v>
      </c>
      <c r="C71" s="16" t="s">
        <v>33</v>
      </c>
      <c r="D71" s="99"/>
      <c r="E71" s="84">
        <v>15.8</v>
      </c>
      <c r="F71" s="13">
        <f>SUM(E71)</f>
        <v>15.8</v>
      </c>
      <c r="G71" s="13">
        <v>42.67</v>
      </c>
      <c r="H71" s="100">
        <f t="shared" si="8"/>
        <v>0.67418600000000006</v>
      </c>
      <c r="I71" s="13">
        <f t="shared" si="9"/>
        <v>674.18600000000004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29">
        <v>29</v>
      </c>
      <c r="B72" s="101" t="s">
        <v>123</v>
      </c>
      <c r="C72" s="16" t="s">
        <v>33</v>
      </c>
      <c r="D72" s="99"/>
      <c r="E72" s="84">
        <v>15.8</v>
      </c>
      <c r="F72" s="13">
        <f>SUM(E72)</f>
        <v>15.8</v>
      </c>
      <c r="G72" s="13">
        <v>39.81</v>
      </c>
      <c r="H72" s="100">
        <f t="shared" si="8"/>
        <v>0.62899800000000006</v>
      </c>
      <c r="I72" s="13">
        <f t="shared" si="9"/>
        <v>628.99800000000005</v>
      </c>
      <c r="J72" s="5"/>
      <c r="K72" s="5"/>
      <c r="L72" s="5"/>
      <c r="M72" s="5"/>
      <c r="N72" s="5"/>
      <c r="O72" s="5"/>
      <c r="P72" s="5"/>
      <c r="Q72" s="5"/>
      <c r="R72" s="175"/>
      <c r="S72" s="175"/>
      <c r="T72" s="175"/>
      <c r="U72" s="175"/>
    </row>
    <row r="73" spans="1:22" ht="20.25" hidden="1" customHeight="1">
      <c r="A73" s="29">
        <v>16</v>
      </c>
      <c r="B73" s="99" t="s">
        <v>55</v>
      </c>
      <c r="C73" s="16" t="s">
        <v>56</v>
      </c>
      <c r="D73" s="99" t="s">
        <v>52</v>
      </c>
      <c r="E73" s="18">
        <v>15</v>
      </c>
      <c r="F73" s="85">
        <v>15</v>
      </c>
      <c r="G73" s="13">
        <v>49.88</v>
      </c>
      <c r="H73" s="100">
        <f t="shared" si="8"/>
        <v>0.74820000000000009</v>
      </c>
      <c r="I73" s="13">
        <f>G73*15</f>
        <v>748.2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0.25" customHeight="1">
      <c r="A74" s="29"/>
      <c r="B74" s="163" t="s">
        <v>274</v>
      </c>
      <c r="C74" s="126"/>
      <c r="D74" s="161"/>
      <c r="E74" s="162"/>
      <c r="F74" s="129"/>
      <c r="G74" s="127"/>
      <c r="H74" s="100"/>
      <c r="I74" s="13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29.25" customHeight="1">
      <c r="A75" s="29">
        <v>20</v>
      </c>
      <c r="B75" s="37" t="s">
        <v>275</v>
      </c>
      <c r="C75" s="40" t="s">
        <v>276</v>
      </c>
      <c r="D75" s="37" t="s">
        <v>267</v>
      </c>
      <c r="E75" s="17">
        <v>5162.6000000000004</v>
      </c>
      <c r="F75" s="36">
        <f>E75*12</f>
        <v>61951.200000000004</v>
      </c>
      <c r="G75" s="36">
        <v>2.37</v>
      </c>
      <c r="H75" s="100"/>
      <c r="I75" s="13">
        <f>G75*61951.2/12</f>
        <v>12235.362000000001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19.5" hidden="1" customHeight="1">
      <c r="A76" s="112"/>
      <c r="B76" s="111" t="s">
        <v>124</v>
      </c>
      <c r="C76" s="111"/>
      <c r="D76" s="111"/>
      <c r="E76" s="111"/>
      <c r="F76" s="111"/>
      <c r="G76" s="111"/>
      <c r="H76" s="111"/>
      <c r="I76" s="18"/>
    </row>
    <row r="77" spans="1:22" ht="17.25" hidden="1" customHeight="1">
      <c r="A77" s="29">
        <v>11</v>
      </c>
      <c r="B77" s="82" t="s">
        <v>125</v>
      </c>
      <c r="C77" s="16"/>
      <c r="D77" s="99"/>
      <c r="E77" s="77"/>
      <c r="F77" s="13">
        <v>1</v>
      </c>
      <c r="G77" s="13">
        <v>27865.200000000001</v>
      </c>
      <c r="H77" s="100">
        <f>G77*F77/1000</f>
        <v>27.865200000000002</v>
      </c>
      <c r="I77" s="13">
        <f>G77</f>
        <v>27865.200000000001</v>
      </c>
    </row>
    <row r="78" spans="1:22" ht="15.75" customHeight="1">
      <c r="A78" s="29"/>
      <c r="B78" s="48" t="s">
        <v>70</v>
      </c>
      <c r="C78" s="48"/>
      <c r="D78" s="48"/>
      <c r="E78" s="18"/>
      <c r="F78" s="18"/>
      <c r="G78" s="29"/>
      <c r="H78" s="29"/>
      <c r="I78" s="18"/>
    </row>
    <row r="79" spans="1:22" ht="32.25" customHeight="1">
      <c r="A79" s="29">
        <v>21</v>
      </c>
      <c r="B79" s="37" t="s">
        <v>71</v>
      </c>
      <c r="C79" s="38" t="s">
        <v>73</v>
      </c>
      <c r="D79" s="37" t="s">
        <v>267</v>
      </c>
      <c r="E79" s="17">
        <v>8</v>
      </c>
      <c r="F79" s="36">
        <f>E79/10</f>
        <v>0.8</v>
      </c>
      <c r="G79" s="36">
        <v>684.19</v>
      </c>
      <c r="H79" s="100">
        <f t="shared" ref="H79:H83" si="10">SUM(F79*G79/1000)</f>
        <v>0.54735200000000006</v>
      </c>
      <c r="I79" s="13">
        <f>G79*0.2</f>
        <v>136.83800000000002</v>
      </c>
    </row>
    <row r="80" spans="1:22" ht="17.25" hidden="1" customHeight="1">
      <c r="A80" s="29"/>
      <c r="B80" s="99" t="s">
        <v>138</v>
      </c>
      <c r="C80" s="16" t="s">
        <v>31</v>
      </c>
      <c r="D80" s="99"/>
      <c r="E80" s="18">
        <v>1</v>
      </c>
      <c r="F80" s="13">
        <v>1</v>
      </c>
      <c r="G80" s="13">
        <v>99.85</v>
      </c>
      <c r="H80" s="100">
        <f>F80*G80/1000</f>
        <v>9.9849999999999994E-2</v>
      </c>
      <c r="I80" s="13">
        <v>0</v>
      </c>
    </row>
    <row r="81" spans="1:9" ht="21" hidden="1" customHeight="1">
      <c r="A81" s="29"/>
      <c r="B81" s="99" t="s">
        <v>139</v>
      </c>
      <c r="C81" s="16" t="s">
        <v>31</v>
      </c>
      <c r="D81" s="99"/>
      <c r="E81" s="18">
        <v>1</v>
      </c>
      <c r="F81" s="13">
        <v>1</v>
      </c>
      <c r="G81" s="13">
        <v>120.26</v>
      </c>
      <c r="H81" s="100">
        <f>F81*G81/1000</f>
        <v>0.12026000000000001</v>
      </c>
      <c r="I81" s="13">
        <v>0</v>
      </c>
    </row>
    <row r="82" spans="1:9" ht="17.25" hidden="1" customHeight="1">
      <c r="A82" s="29">
        <v>19</v>
      </c>
      <c r="B82" s="99" t="s">
        <v>72</v>
      </c>
      <c r="C82" s="16" t="s">
        <v>31</v>
      </c>
      <c r="D82" s="99"/>
      <c r="E82" s="18">
        <v>2</v>
      </c>
      <c r="F82" s="97">
        <v>2</v>
      </c>
      <c r="G82" s="13">
        <v>852.99</v>
      </c>
      <c r="H82" s="100">
        <f>F82*G82/1000</f>
        <v>1.7059800000000001</v>
      </c>
      <c r="I82" s="13">
        <f>G82</f>
        <v>852.99</v>
      </c>
    </row>
    <row r="83" spans="1:9" ht="18.75" hidden="1" customHeight="1">
      <c r="A83" s="29">
        <v>10</v>
      </c>
      <c r="B83" s="99" t="s">
        <v>85</v>
      </c>
      <c r="C83" s="16" t="s">
        <v>117</v>
      </c>
      <c r="D83" s="99"/>
      <c r="E83" s="18">
        <v>1</v>
      </c>
      <c r="F83" s="85">
        <f>SUM(E83)</f>
        <v>1</v>
      </c>
      <c r="G83" s="13">
        <v>358.51</v>
      </c>
      <c r="H83" s="100">
        <f t="shared" si="10"/>
        <v>0.35851</v>
      </c>
      <c r="I83" s="13">
        <f>G83</f>
        <v>358.51</v>
      </c>
    </row>
    <row r="84" spans="1:9" ht="31.5" customHeight="1">
      <c r="A84" s="29">
        <v>22</v>
      </c>
      <c r="B84" s="37" t="s">
        <v>277</v>
      </c>
      <c r="C84" s="38" t="s">
        <v>117</v>
      </c>
      <c r="D84" s="37" t="s">
        <v>264</v>
      </c>
      <c r="E84" s="17">
        <v>1</v>
      </c>
      <c r="F84" s="36">
        <f>E84*12</f>
        <v>12</v>
      </c>
      <c r="G84" s="36">
        <v>55.55</v>
      </c>
      <c r="H84" s="100"/>
      <c r="I84" s="13">
        <f>G84*1</f>
        <v>55.55</v>
      </c>
    </row>
    <row r="85" spans="1:9" ht="18.75" hidden="1" customHeight="1">
      <c r="A85" s="29"/>
      <c r="B85" s="49" t="s">
        <v>74</v>
      </c>
      <c r="C85" s="38"/>
      <c r="D85" s="29"/>
      <c r="E85" s="18"/>
      <c r="F85" s="18"/>
      <c r="G85" s="36"/>
      <c r="H85" s="36"/>
      <c r="I85" s="18"/>
    </row>
    <row r="86" spans="1:9" ht="16.5" hidden="1" customHeight="1">
      <c r="A86" s="29">
        <v>39</v>
      </c>
      <c r="B86" s="51" t="s">
        <v>126</v>
      </c>
      <c r="C86" s="16" t="s">
        <v>75</v>
      </c>
      <c r="D86" s="99"/>
      <c r="E86" s="18"/>
      <c r="F86" s="13">
        <v>1.35</v>
      </c>
      <c r="G86" s="13">
        <v>2759.44</v>
      </c>
      <c r="H86" s="100">
        <f t="shared" ref="H86" si="11">SUM(F86*G86/1000)</f>
        <v>3.725244</v>
      </c>
      <c r="I86" s="13">
        <v>0</v>
      </c>
    </row>
    <row r="87" spans="1:9" ht="15.75" customHeight="1">
      <c r="A87" s="184" t="s">
        <v>146</v>
      </c>
      <c r="B87" s="185"/>
      <c r="C87" s="185"/>
      <c r="D87" s="185"/>
      <c r="E87" s="185"/>
      <c r="F87" s="185"/>
      <c r="G87" s="185"/>
      <c r="H87" s="185"/>
      <c r="I87" s="186"/>
    </row>
    <row r="88" spans="1:9" ht="15.75" customHeight="1">
      <c r="A88" s="29">
        <v>23</v>
      </c>
      <c r="B88" s="32" t="s">
        <v>127</v>
      </c>
      <c r="C88" s="38" t="s">
        <v>53</v>
      </c>
      <c r="D88" s="63"/>
      <c r="E88" s="36">
        <v>5162.6000000000004</v>
      </c>
      <c r="F88" s="36">
        <f>SUM(E88*12)</f>
        <v>61951.200000000004</v>
      </c>
      <c r="G88" s="36">
        <v>3.22</v>
      </c>
      <c r="H88" s="102">
        <f>SUM(F88*G88/1000)</f>
        <v>199.48286400000003</v>
      </c>
      <c r="I88" s="13">
        <f>F88/12*G88</f>
        <v>16623.572000000004</v>
      </c>
    </row>
    <row r="89" spans="1:9" ht="31.5" customHeight="1">
      <c r="A89" s="29">
        <v>24</v>
      </c>
      <c r="B89" s="37" t="s">
        <v>278</v>
      </c>
      <c r="C89" s="114" t="s">
        <v>279</v>
      </c>
      <c r="D89" s="37"/>
      <c r="E89" s="17">
        <v>5162.6000000000004</v>
      </c>
      <c r="F89" s="36">
        <f>E89*12</f>
        <v>61951.200000000004</v>
      </c>
      <c r="G89" s="36">
        <v>3.64</v>
      </c>
      <c r="H89" s="100">
        <f>F89*G89/1000</f>
        <v>225.50236800000002</v>
      </c>
      <c r="I89" s="13">
        <f>F89/12*G89</f>
        <v>18791.864000000001</v>
      </c>
    </row>
    <row r="90" spans="1:9" ht="15.75" customHeight="1">
      <c r="A90" s="112"/>
      <c r="B90" s="39" t="s">
        <v>79</v>
      </c>
      <c r="C90" s="40"/>
      <c r="D90" s="15"/>
      <c r="E90" s="15"/>
      <c r="F90" s="15"/>
      <c r="G90" s="18"/>
      <c r="H90" s="18"/>
      <c r="I90" s="31">
        <f>I89+I88+I84+I79+I75+I66+I64+I59+I58+I51+I45+I44+I43+I42+I40+I39+I38+I27+I21+I20+I18+I17+I16</f>
        <v>102334.43142973333</v>
      </c>
    </row>
    <row r="91" spans="1:9" ht="15.75" customHeight="1">
      <c r="A91" s="187" t="s">
        <v>58</v>
      </c>
      <c r="B91" s="188"/>
      <c r="C91" s="188"/>
      <c r="D91" s="188"/>
      <c r="E91" s="188"/>
      <c r="F91" s="188"/>
      <c r="G91" s="188"/>
      <c r="H91" s="188"/>
      <c r="I91" s="189"/>
    </row>
    <row r="92" spans="1:9" ht="15.75" customHeight="1">
      <c r="A92" s="29">
        <v>25</v>
      </c>
      <c r="B92" s="66" t="s">
        <v>178</v>
      </c>
      <c r="C92" s="67" t="s">
        <v>175</v>
      </c>
      <c r="D92" s="37"/>
      <c r="E92" s="36"/>
      <c r="F92" s="36">
        <f>6+7</f>
        <v>13</v>
      </c>
      <c r="G92" s="36">
        <v>134.12</v>
      </c>
      <c r="H92" s="102">
        <f t="shared" ref="H92:H99" si="12">G92*F92/1000</f>
        <v>1.74356</v>
      </c>
      <c r="I92" s="13">
        <f>G92*13</f>
        <v>1743.56</v>
      </c>
    </row>
    <row r="93" spans="1:9" ht="31.5" customHeight="1">
      <c r="A93" s="29">
        <v>26</v>
      </c>
      <c r="B93" s="66" t="s">
        <v>280</v>
      </c>
      <c r="C93" s="67" t="s">
        <v>37</v>
      </c>
      <c r="D93" s="37"/>
      <c r="E93" s="36"/>
      <c r="F93" s="36">
        <v>0.02</v>
      </c>
      <c r="G93" s="36">
        <v>3724.37</v>
      </c>
      <c r="H93" s="102">
        <f t="shared" si="12"/>
        <v>7.4487399999999995E-2</v>
      </c>
      <c r="I93" s="13">
        <f>G93*0.02</f>
        <v>74.487399999999994</v>
      </c>
    </row>
    <row r="94" spans="1:9" ht="31.5" customHeight="1">
      <c r="A94" s="29">
        <v>27</v>
      </c>
      <c r="B94" s="66" t="s">
        <v>78</v>
      </c>
      <c r="C94" s="67" t="s">
        <v>117</v>
      </c>
      <c r="D94" s="37"/>
      <c r="E94" s="36"/>
      <c r="F94" s="36">
        <v>2</v>
      </c>
      <c r="G94" s="36">
        <v>86.69</v>
      </c>
      <c r="H94" s="102">
        <f t="shared" si="12"/>
        <v>0.17338000000000001</v>
      </c>
      <c r="I94" s="13">
        <f>G94*2</f>
        <v>173.38</v>
      </c>
    </row>
    <row r="95" spans="1:9" ht="15.75" customHeight="1">
      <c r="A95" s="29">
        <v>28</v>
      </c>
      <c r="B95" s="66" t="s">
        <v>156</v>
      </c>
      <c r="C95" s="67" t="s">
        <v>157</v>
      </c>
      <c r="D95" s="37"/>
      <c r="E95" s="36"/>
      <c r="F95" s="36">
        <v>1</v>
      </c>
      <c r="G95" s="36">
        <v>56.34</v>
      </c>
      <c r="H95" s="102">
        <f t="shared" si="12"/>
        <v>5.6340000000000001E-2</v>
      </c>
      <c r="I95" s="13">
        <f>G95*1</f>
        <v>56.34</v>
      </c>
    </row>
    <row r="96" spans="1:9" ht="15.75" customHeight="1">
      <c r="A96" s="29">
        <v>29</v>
      </c>
      <c r="B96" s="66" t="s">
        <v>151</v>
      </c>
      <c r="C96" s="67" t="s">
        <v>81</v>
      </c>
      <c r="D96" s="37"/>
      <c r="E96" s="36"/>
      <c r="F96" s="36">
        <v>1</v>
      </c>
      <c r="G96" s="36">
        <v>203.68</v>
      </c>
      <c r="H96" s="102">
        <f t="shared" si="12"/>
        <v>0.20368</v>
      </c>
      <c r="I96" s="13">
        <f>G96*1</f>
        <v>203.68</v>
      </c>
    </row>
    <row r="97" spans="1:9" ht="31.5" customHeight="1">
      <c r="A97" s="29">
        <v>30</v>
      </c>
      <c r="B97" s="66" t="s">
        <v>202</v>
      </c>
      <c r="C97" s="67" t="s">
        <v>203</v>
      </c>
      <c r="D97" s="37"/>
      <c r="E97" s="36"/>
      <c r="F97" s="36">
        <v>0.03</v>
      </c>
      <c r="G97" s="36">
        <v>24829.08</v>
      </c>
      <c r="H97" s="102">
        <f t="shared" si="12"/>
        <v>0.74487239999999999</v>
      </c>
      <c r="I97" s="13">
        <f>G97*0.03</f>
        <v>744.87239999999997</v>
      </c>
    </row>
    <row r="98" spans="1:9" ht="16.5" customHeight="1">
      <c r="A98" s="29">
        <v>31</v>
      </c>
      <c r="B98" s="66" t="s">
        <v>281</v>
      </c>
      <c r="C98" s="105" t="s">
        <v>282</v>
      </c>
      <c r="D98" s="37"/>
      <c r="E98" s="36"/>
      <c r="F98" s="36">
        <v>1</v>
      </c>
      <c r="G98" s="36">
        <v>160.33000000000001</v>
      </c>
      <c r="H98" s="102">
        <f t="shared" si="12"/>
        <v>0.16033</v>
      </c>
      <c r="I98" s="13">
        <f>G98*1</f>
        <v>160.33000000000001</v>
      </c>
    </row>
    <row r="99" spans="1:9" ht="15.75" customHeight="1">
      <c r="A99" s="29">
        <v>32</v>
      </c>
      <c r="B99" s="66" t="s">
        <v>176</v>
      </c>
      <c r="C99" s="105" t="s">
        <v>155</v>
      </c>
      <c r="D99" s="37"/>
      <c r="E99" s="36"/>
      <c r="F99" s="36">
        <v>1</v>
      </c>
      <c r="G99" s="36">
        <v>19.73</v>
      </c>
      <c r="H99" s="102">
        <f t="shared" si="12"/>
        <v>1.9730000000000001E-2</v>
      </c>
      <c r="I99" s="13">
        <f>G99*1</f>
        <v>19.73</v>
      </c>
    </row>
    <row r="100" spans="1:9" ht="15.75" customHeight="1">
      <c r="A100" s="29"/>
      <c r="B100" s="45" t="s">
        <v>50</v>
      </c>
      <c r="C100" s="41"/>
      <c r="D100" s="53"/>
      <c r="E100" s="41">
        <v>1</v>
      </c>
      <c r="F100" s="41"/>
      <c r="G100" s="41"/>
      <c r="H100" s="41"/>
      <c r="I100" s="31">
        <f>SUM(I92:I99)</f>
        <v>3176.3798000000002</v>
      </c>
    </row>
    <row r="101" spans="1:9" ht="15.75" customHeight="1">
      <c r="A101" s="29"/>
      <c r="B101" s="51" t="s">
        <v>77</v>
      </c>
      <c r="C101" s="15"/>
      <c r="D101" s="15"/>
      <c r="E101" s="42"/>
      <c r="F101" s="42"/>
      <c r="G101" s="43"/>
      <c r="H101" s="43"/>
      <c r="I101" s="17">
        <v>0</v>
      </c>
    </row>
    <row r="102" spans="1:9" ht="15.75" customHeight="1">
      <c r="A102" s="54"/>
      <c r="B102" s="46" t="s">
        <v>152</v>
      </c>
      <c r="C102" s="34"/>
      <c r="D102" s="34"/>
      <c r="E102" s="34"/>
      <c r="F102" s="34"/>
      <c r="G102" s="34"/>
      <c r="H102" s="34"/>
      <c r="I102" s="44">
        <f>I90+I100</f>
        <v>105510.81122973333</v>
      </c>
    </row>
    <row r="103" spans="1:9" ht="15.75">
      <c r="A103" s="181" t="s">
        <v>283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>
      <c r="A104" s="61"/>
      <c r="B104" s="182" t="s">
        <v>284</v>
      </c>
      <c r="C104" s="182"/>
      <c r="D104" s="182"/>
      <c r="E104" s="182"/>
      <c r="F104" s="182"/>
      <c r="G104" s="182"/>
      <c r="H104" s="80"/>
      <c r="I104" s="3"/>
    </row>
    <row r="105" spans="1:9">
      <c r="A105" s="107"/>
      <c r="B105" s="180" t="s">
        <v>6</v>
      </c>
      <c r="C105" s="180"/>
      <c r="D105" s="180"/>
      <c r="E105" s="180"/>
      <c r="F105" s="180"/>
      <c r="G105" s="180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83" t="s">
        <v>7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83" t="s">
        <v>8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77" t="s">
        <v>59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5.75">
      <c r="A110" s="11"/>
    </row>
    <row r="111" spans="1:9" ht="15.75">
      <c r="A111" s="178" t="s">
        <v>9</v>
      </c>
      <c r="B111" s="178"/>
      <c r="C111" s="178"/>
      <c r="D111" s="178"/>
      <c r="E111" s="178"/>
      <c r="F111" s="178"/>
      <c r="G111" s="178"/>
      <c r="H111" s="178"/>
      <c r="I111" s="178"/>
    </row>
    <row r="112" spans="1:9" ht="15.75">
      <c r="A112" s="4"/>
    </row>
    <row r="113" spans="1:9" ht="15.75">
      <c r="B113" s="108" t="s">
        <v>10</v>
      </c>
      <c r="C113" s="179" t="s">
        <v>86</v>
      </c>
      <c r="D113" s="179"/>
      <c r="E113" s="179"/>
      <c r="F113" s="78"/>
      <c r="I113" s="106"/>
    </row>
    <row r="114" spans="1:9">
      <c r="A114" s="107"/>
      <c r="C114" s="180" t="s">
        <v>11</v>
      </c>
      <c r="D114" s="180"/>
      <c r="E114" s="180"/>
      <c r="F114" s="24"/>
      <c r="I114" s="109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108" t="s">
        <v>13</v>
      </c>
      <c r="C116" s="174"/>
      <c r="D116" s="174"/>
      <c r="E116" s="174"/>
      <c r="F116" s="79"/>
      <c r="I116" s="106"/>
    </row>
    <row r="117" spans="1:9">
      <c r="A117" s="107"/>
      <c r="C117" s="175" t="s">
        <v>11</v>
      </c>
      <c r="D117" s="175"/>
      <c r="E117" s="175"/>
      <c r="F117" s="107"/>
      <c r="I117" s="109" t="s">
        <v>12</v>
      </c>
    </row>
    <row r="118" spans="1:9" ht="15.75">
      <c r="A118" s="4" t="s">
        <v>14</v>
      </c>
    </row>
    <row r="119" spans="1:9">
      <c r="A119" s="176" t="s">
        <v>15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45" customHeight="1">
      <c r="A120" s="173" t="s">
        <v>16</v>
      </c>
      <c r="B120" s="173"/>
      <c r="C120" s="173"/>
      <c r="D120" s="173"/>
      <c r="E120" s="173"/>
      <c r="F120" s="173"/>
      <c r="G120" s="173"/>
      <c r="H120" s="173"/>
      <c r="I120" s="173"/>
    </row>
    <row r="121" spans="1:9" ht="30" customHeight="1">
      <c r="A121" s="173" t="s">
        <v>17</v>
      </c>
      <c r="B121" s="173"/>
      <c r="C121" s="173"/>
      <c r="D121" s="173"/>
      <c r="E121" s="173"/>
      <c r="F121" s="173"/>
      <c r="G121" s="173"/>
      <c r="H121" s="173"/>
      <c r="I121" s="173"/>
    </row>
    <row r="122" spans="1:9" ht="30" customHeight="1">
      <c r="A122" s="173" t="s">
        <v>21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15" customHeight="1">
      <c r="A123" s="173" t="s">
        <v>20</v>
      </c>
      <c r="B123" s="173"/>
      <c r="C123" s="173"/>
      <c r="D123" s="173"/>
      <c r="E123" s="173"/>
      <c r="F123" s="173"/>
      <c r="G123" s="173"/>
      <c r="H123" s="173"/>
      <c r="I123" s="173"/>
    </row>
  </sheetData>
  <autoFilter ref="I12:I67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2:U72"/>
    <mergeCell ref="C117:E117"/>
    <mergeCell ref="A91:I91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7:I87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topLeftCell="A63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153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179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43159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3"/>
        <v>2.5094383200000001</v>
      </c>
      <c r="I44" s="13">
        <f>F44/7.5*G44</f>
        <v>334.59177600000004</v>
      </c>
      <c r="J44" s="23"/>
      <c r="L44" s="19"/>
      <c r="M44" s="20"/>
      <c r="N44" s="21"/>
    </row>
    <row r="45" spans="1:14" ht="15.75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3"/>
        <v>0.71820000000000006</v>
      </c>
      <c r="I45" s="13">
        <f>F45/7.5*G45</f>
        <v>95.76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15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4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4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4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4"/>
        <v>3.0022979600000004</v>
      </c>
      <c r="I50" s="13">
        <v>0</v>
      </c>
      <c r="J50" s="23"/>
      <c r="L50" s="19"/>
      <c r="M50" s="20"/>
      <c r="N50" s="21"/>
    </row>
    <row r="51" spans="1:14" ht="15.75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4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4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4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4"/>
        <v>0.11304260000000001</v>
      </c>
      <c r="I54" s="13">
        <v>0</v>
      </c>
      <c r="J54" s="23"/>
      <c r="L54" s="19"/>
      <c r="M54" s="20"/>
      <c r="N54" s="21"/>
    </row>
    <row r="55" spans="1:14" ht="15.75" hidden="1" customHeight="1">
      <c r="A55" s="40">
        <v>14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4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14</v>
      </c>
      <c r="B58" s="82" t="s">
        <v>118</v>
      </c>
      <c r="C58" s="83" t="s">
        <v>92</v>
      </c>
      <c r="D58" s="82" t="s">
        <v>224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G58*1.25</f>
        <v>1934.1</v>
      </c>
      <c r="J58" s="23"/>
      <c r="L58" s="19"/>
      <c r="M58" s="20"/>
      <c r="N58" s="21"/>
    </row>
    <row r="59" spans="1:14" ht="15.75" customHeight="1">
      <c r="A59" s="40">
        <v>15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16</v>
      </c>
      <c r="B63" s="113" t="s">
        <v>91</v>
      </c>
      <c r="C63" s="114" t="s">
        <v>26</v>
      </c>
      <c r="D63" s="113"/>
      <c r="E63" s="115">
        <v>200</v>
      </c>
      <c r="F63" s="116">
        <f>E63*12</f>
        <v>2400</v>
      </c>
      <c r="G63" s="11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hidden="1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17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5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5"/>
        <v>1.5249999999999999</v>
      </c>
      <c r="I66" s="13">
        <v>0</v>
      </c>
    </row>
    <row r="67" spans="1:22" ht="15.75" hidden="1" customHeight="1">
      <c r="A67" s="29">
        <v>8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5"/>
        <v>40.075135000000003</v>
      </c>
      <c r="I67" s="13">
        <v>0</v>
      </c>
    </row>
    <row r="68" spans="1:22" ht="15.75" hidden="1" customHeight="1">
      <c r="A68" s="29">
        <v>9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5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5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5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5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5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customHeight="1">
      <c r="A73" s="29"/>
      <c r="B73" s="48" t="s">
        <v>70</v>
      </c>
      <c r="C73" s="48"/>
      <c r="D73" s="48"/>
      <c r="E73" s="18"/>
      <c r="F73" s="18"/>
      <c r="G73" s="29"/>
      <c r="H73" s="29"/>
      <c r="I73" s="18"/>
    </row>
    <row r="74" spans="1:22" ht="15.75" hidden="1" customHeight="1">
      <c r="A74" s="29">
        <v>18</v>
      </c>
      <c r="B74" s="99" t="s">
        <v>71</v>
      </c>
      <c r="C74" s="16" t="s">
        <v>73</v>
      </c>
      <c r="D74" s="99"/>
      <c r="E74" s="18">
        <v>10</v>
      </c>
      <c r="F74" s="13">
        <v>1</v>
      </c>
      <c r="G74" s="13">
        <v>501.62</v>
      </c>
      <c r="H74" s="100">
        <f t="shared" ref="H74:H78" si="6">SUM(F74*G74/1000)</f>
        <v>0.50161999999999995</v>
      </c>
      <c r="I74" s="13">
        <f>G74*0.1</f>
        <v>50.162000000000006</v>
      </c>
    </row>
    <row r="75" spans="1:22" ht="15.75" hidden="1" customHeight="1">
      <c r="A75" s="29"/>
      <c r="B75" s="99" t="s">
        <v>138</v>
      </c>
      <c r="C75" s="16" t="s">
        <v>31</v>
      </c>
      <c r="D75" s="99"/>
      <c r="E75" s="18">
        <v>1</v>
      </c>
      <c r="F75" s="13">
        <v>1</v>
      </c>
      <c r="G75" s="13">
        <v>99.85</v>
      </c>
      <c r="H75" s="100">
        <f>F75*G75/1000</f>
        <v>9.9849999999999994E-2</v>
      </c>
      <c r="I75" s="13">
        <v>0</v>
      </c>
    </row>
    <row r="76" spans="1:22" ht="15.75" hidden="1" customHeight="1">
      <c r="A76" s="29"/>
      <c r="B76" s="99" t="s">
        <v>139</v>
      </c>
      <c r="C76" s="16" t="s">
        <v>31</v>
      </c>
      <c r="D76" s="99"/>
      <c r="E76" s="18">
        <v>1</v>
      </c>
      <c r="F76" s="13">
        <v>1</v>
      </c>
      <c r="G76" s="13">
        <v>120.26</v>
      </c>
      <c r="H76" s="100">
        <f>F76*G76/1000</f>
        <v>0.12026000000000001</v>
      </c>
      <c r="I76" s="13">
        <v>0</v>
      </c>
    </row>
    <row r="77" spans="1:22" ht="15.75" hidden="1" customHeight="1">
      <c r="A77" s="29">
        <v>19</v>
      </c>
      <c r="B77" s="99" t="s">
        <v>72</v>
      </c>
      <c r="C77" s="16" t="s">
        <v>31</v>
      </c>
      <c r="D77" s="99"/>
      <c r="E77" s="18">
        <v>2</v>
      </c>
      <c r="F77" s="97">
        <v>2</v>
      </c>
      <c r="G77" s="13">
        <v>852.99</v>
      </c>
      <c r="H77" s="100">
        <f>F77*G77/1000</f>
        <v>1.7059800000000001</v>
      </c>
      <c r="I77" s="13">
        <f>G77</f>
        <v>852.99</v>
      </c>
    </row>
    <row r="78" spans="1:22" ht="15.75" customHeight="1">
      <c r="A78" s="29">
        <v>17</v>
      </c>
      <c r="B78" s="99" t="s">
        <v>85</v>
      </c>
      <c r="C78" s="16" t="s">
        <v>117</v>
      </c>
      <c r="D78" s="99"/>
      <c r="E78" s="18">
        <v>1</v>
      </c>
      <c r="F78" s="85">
        <f>SUM(E78)</f>
        <v>1</v>
      </c>
      <c r="G78" s="13">
        <v>358.51</v>
      </c>
      <c r="H78" s="100">
        <f t="shared" si="6"/>
        <v>0.35851</v>
      </c>
      <c r="I78" s="13">
        <f>G78</f>
        <v>358.51</v>
      </c>
    </row>
    <row r="79" spans="1:22" ht="15.75" hidden="1" customHeight="1">
      <c r="A79" s="29"/>
      <c r="B79" s="49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51" t="s">
        <v>126</v>
      </c>
      <c r="C80" s="16" t="s">
        <v>75</v>
      </c>
      <c r="D80" s="99"/>
      <c r="E80" s="18"/>
      <c r="F80" s="13">
        <v>1.35</v>
      </c>
      <c r="G80" s="13">
        <v>2759.44</v>
      </c>
      <c r="H80" s="100">
        <f t="shared" ref="H80" si="7">SUM(F80*G80/1000)</f>
        <v>3.725244</v>
      </c>
      <c r="I80" s="13">
        <v>0</v>
      </c>
    </row>
    <row r="81" spans="1:9" ht="15.75" customHeight="1">
      <c r="A81" s="81"/>
      <c r="B81" s="76" t="s">
        <v>124</v>
      </c>
      <c r="C81" s="76"/>
      <c r="D81" s="76"/>
      <c r="E81" s="76"/>
      <c r="F81" s="76"/>
      <c r="G81" s="76"/>
      <c r="H81" s="76"/>
      <c r="I81" s="18"/>
    </row>
    <row r="82" spans="1:9" ht="15.75" customHeight="1">
      <c r="A82" s="29">
        <v>18</v>
      </c>
      <c r="B82" s="82" t="s">
        <v>125</v>
      </c>
      <c r="C82" s="16"/>
      <c r="D82" s="99"/>
      <c r="E82" s="77"/>
      <c r="F82" s="13">
        <v>1</v>
      </c>
      <c r="G82" s="120">
        <v>29502.400000000001</v>
      </c>
      <c r="H82" s="100">
        <f>G82*F82/1000</f>
        <v>29.502400000000002</v>
      </c>
      <c r="I82" s="13">
        <v>6914.4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19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20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SUM(I16+I17+I18+I27+I28+I38+I39+I40+I42+I43+I44+I45+I51+I58+I59+I63+I78+I82+I84+I85)</f>
        <v>79025.613626599996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41">
        <v>21</v>
      </c>
      <c r="B88" s="55" t="s">
        <v>151</v>
      </c>
      <c r="C88" s="65" t="s">
        <v>81</v>
      </c>
      <c r="D88" s="51"/>
      <c r="E88" s="13"/>
      <c r="F88" s="13">
        <v>3</v>
      </c>
      <c r="G88" s="13">
        <v>203.68</v>
      </c>
      <c r="H88" s="100">
        <f t="shared" ref="H88" si="8">G88*F88/1000</f>
        <v>0.61103999999999992</v>
      </c>
      <c r="I88" s="119">
        <f>G88</f>
        <v>203.68</v>
      </c>
    </row>
    <row r="89" spans="1:9" ht="31.5" customHeight="1">
      <c r="A89" s="29">
        <v>22</v>
      </c>
      <c r="B89" s="55" t="s">
        <v>162</v>
      </c>
      <c r="C89" s="65" t="s">
        <v>163</v>
      </c>
      <c r="D89" s="51"/>
      <c r="E89" s="13"/>
      <c r="F89" s="13">
        <v>4</v>
      </c>
      <c r="G89" s="13">
        <v>613.44000000000005</v>
      </c>
      <c r="H89" s="100">
        <f t="shared" ref="H89:H90" si="9">G89*F89/1000</f>
        <v>2.4537600000000004</v>
      </c>
      <c r="I89" s="13">
        <f>G89</f>
        <v>613.44000000000005</v>
      </c>
    </row>
    <row r="90" spans="1:9" ht="31.5" customHeight="1">
      <c r="A90" s="29">
        <v>23</v>
      </c>
      <c r="B90" s="55" t="s">
        <v>140</v>
      </c>
      <c r="C90" s="65" t="s">
        <v>37</v>
      </c>
      <c r="D90" s="37"/>
      <c r="E90" s="17"/>
      <c r="F90" s="36">
        <v>0.04</v>
      </c>
      <c r="G90" s="36">
        <v>3724.37</v>
      </c>
      <c r="H90" s="102">
        <f t="shared" si="9"/>
        <v>0.14897479999999999</v>
      </c>
      <c r="I90" s="13">
        <f>G90*0.01</f>
        <v>37.243699999999997</v>
      </c>
    </row>
    <row r="91" spans="1:9" ht="15.75" customHeight="1">
      <c r="A91" s="29"/>
      <c r="B91" s="45" t="s">
        <v>50</v>
      </c>
      <c r="C91" s="41"/>
      <c r="D91" s="53"/>
      <c r="E91" s="41">
        <v>1</v>
      </c>
      <c r="F91" s="41"/>
      <c r="G91" s="41"/>
      <c r="H91" s="41"/>
      <c r="I91" s="31">
        <f>SUM(I88:I90)</f>
        <v>854.36370000000011</v>
      </c>
    </row>
    <row r="92" spans="1:9" ht="15.75" customHeight="1">
      <c r="A92" s="29"/>
      <c r="B92" s="51" t="s">
        <v>77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152</v>
      </c>
      <c r="C93" s="34"/>
      <c r="D93" s="34"/>
      <c r="E93" s="34"/>
      <c r="F93" s="34"/>
      <c r="G93" s="34"/>
      <c r="H93" s="34"/>
      <c r="I93" s="44">
        <f>I86+I91</f>
        <v>79879.977326599997</v>
      </c>
    </row>
    <row r="94" spans="1:9" ht="15.75">
      <c r="A94" s="181" t="s">
        <v>225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>
      <c r="A95" s="61"/>
      <c r="B95" s="182" t="s">
        <v>226</v>
      </c>
      <c r="C95" s="182"/>
      <c r="D95" s="182"/>
      <c r="E95" s="182"/>
      <c r="F95" s="182"/>
      <c r="G95" s="182"/>
      <c r="H95" s="80"/>
      <c r="I95" s="3"/>
    </row>
    <row r="96" spans="1:9">
      <c r="A96" s="74"/>
      <c r="B96" s="180" t="s">
        <v>6</v>
      </c>
      <c r="C96" s="180"/>
      <c r="D96" s="180"/>
      <c r="E96" s="180"/>
      <c r="F96" s="180"/>
      <c r="G96" s="180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3" t="s">
        <v>7</v>
      </c>
      <c r="B98" s="183"/>
      <c r="C98" s="183"/>
      <c r="D98" s="183"/>
      <c r="E98" s="183"/>
      <c r="F98" s="183"/>
      <c r="G98" s="183"/>
      <c r="H98" s="183"/>
      <c r="I98" s="183"/>
    </row>
    <row r="99" spans="1:9" ht="15.75">
      <c r="A99" s="183" t="s">
        <v>8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77" t="s">
        <v>59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1"/>
    </row>
    <row r="102" spans="1:9" ht="15.75">
      <c r="A102" s="178" t="s">
        <v>9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4"/>
    </row>
    <row r="104" spans="1:9" ht="15.75">
      <c r="B104" s="72" t="s">
        <v>10</v>
      </c>
      <c r="C104" s="179" t="s">
        <v>86</v>
      </c>
      <c r="D104" s="179"/>
      <c r="E104" s="179"/>
      <c r="F104" s="78"/>
      <c r="I104" s="73"/>
    </row>
    <row r="105" spans="1:9">
      <c r="A105" s="74"/>
      <c r="C105" s="180" t="s">
        <v>11</v>
      </c>
      <c r="D105" s="180"/>
      <c r="E105" s="180"/>
      <c r="F105" s="24"/>
      <c r="I105" s="71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72" t="s">
        <v>13</v>
      </c>
      <c r="C107" s="174"/>
      <c r="D107" s="174"/>
      <c r="E107" s="174"/>
      <c r="F107" s="79"/>
      <c r="I107" s="73"/>
    </row>
    <row r="108" spans="1:9">
      <c r="A108" s="74"/>
      <c r="C108" s="175" t="s">
        <v>11</v>
      </c>
      <c r="D108" s="175"/>
      <c r="E108" s="175"/>
      <c r="F108" s="74"/>
      <c r="I108" s="71" t="s">
        <v>12</v>
      </c>
    </row>
    <row r="109" spans="1:9" ht="15.75">
      <c r="A109" s="4" t="s">
        <v>14</v>
      </c>
    </row>
    <row r="110" spans="1:9">
      <c r="A110" s="176" t="s">
        <v>15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45" customHeight="1">
      <c r="A111" s="173" t="s">
        <v>16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30" customHeight="1">
      <c r="A112" s="173" t="s">
        <v>17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21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15" customHeight="1">
      <c r="A114" s="173" t="s">
        <v>20</v>
      </c>
      <c r="B114" s="173"/>
      <c r="C114" s="173"/>
      <c r="D114" s="173"/>
      <c r="E114" s="173"/>
      <c r="F114" s="173"/>
      <c r="G114" s="173"/>
      <c r="H114" s="173"/>
      <c r="I114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63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158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180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43190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3"/>
        <v>2.5094383200000001</v>
      </c>
      <c r="I44" s="13">
        <f>(F44/7.5*1.5)*G44</f>
        <v>501.88766400000009</v>
      </c>
      <c r="J44" s="23"/>
      <c r="L44" s="19"/>
      <c r="M44" s="20"/>
      <c r="N44" s="21"/>
    </row>
    <row r="45" spans="1:14" ht="15.75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3"/>
        <v>0.71820000000000006</v>
      </c>
      <c r="I45" s="13">
        <f>(F45/7.5*1.5)*G45</f>
        <v>143.64000000000001</v>
      </c>
      <c r="J45" s="23"/>
      <c r="L45" s="19"/>
      <c r="M45" s="20"/>
      <c r="N45" s="21"/>
    </row>
    <row r="46" spans="1:14" ht="15.75" hidden="1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15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4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4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4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4"/>
        <v>3.0022979600000004</v>
      </c>
      <c r="I50" s="13">
        <v>0</v>
      </c>
      <c r="J50" s="23"/>
      <c r="L50" s="19"/>
      <c r="M50" s="20"/>
      <c r="N50" s="21"/>
    </row>
    <row r="51" spans="1:14" ht="15.75" hidden="1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4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4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4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4"/>
        <v>0.11304260000000001</v>
      </c>
      <c r="I54" s="13">
        <v>0</v>
      </c>
      <c r="J54" s="23"/>
      <c r="L54" s="19"/>
      <c r="M54" s="20"/>
      <c r="N54" s="21"/>
    </row>
    <row r="55" spans="1:14" ht="15.75" hidden="1" customHeight="1">
      <c r="A55" s="40">
        <v>14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4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159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13</v>
      </c>
      <c r="B58" s="82" t="s">
        <v>118</v>
      </c>
      <c r="C58" s="83" t="s">
        <v>92</v>
      </c>
      <c r="D58" s="82" t="s">
        <v>227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G58*1.67</f>
        <v>2583.9575999999997</v>
      </c>
      <c r="J58" s="23"/>
      <c r="L58" s="19"/>
      <c r="M58" s="20"/>
      <c r="N58" s="21"/>
    </row>
    <row r="59" spans="1:14" ht="15.75" customHeight="1">
      <c r="A59" s="40">
        <v>14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customHeight="1">
      <c r="A60" s="40">
        <v>15</v>
      </c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f>F60/2*G60</f>
        <v>1446.24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16</v>
      </c>
      <c r="B63" s="93" t="s">
        <v>91</v>
      </c>
      <c r="C63" s="94" t="s">
        <v>26</v>
      </c>
      <c r="D63" s="113"/>
      <c r="E63" s="115">
        <v>200</v>
      </c>
      <c r="F63" s="116">
        <f>E63*12</f>
        <v>2400</v>
      </c>
      <c r="G63" s="11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hidden="1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17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5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5"/>
        <v>1.5249999999999999</v>
      </c>
      <c r="I66" s="13">
        <v>0</v>
      </c>
    </row>
    <row r="67" spans="1:22" ht="15.75" hidden="1" customHeight="1">
      <c r="A67" s="29">
        <v>8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5"/>
        <v>40.075135000000003</v>
      </c>
      <c r="I67" s="13">
        <v>0</v>
      </c>
    </row>
    <row r="68" spans="1:22" ht="15.75" hidden="1" customHeight="1">
      <c r="A68" s="29">
        <v>9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5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5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5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5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5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15.75" hidden="1" customHeight="1">
      <c r="A74" s="29">
        <v>19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customHeight="1">
      <c r="A76" s="29">
        <v>17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6">SUM(F76*G76/1000)</f>
        <v>0.50161999999999995</v>
      </c>
      <c r="I76" s="13">
        <f>G76*0.5</f>
        <v>250.81</v>
      </c>
    </row>
    <row r="77" spans="1:22" ht="15.7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5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6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7">SUM(F82*G82/1000)</f>
        <v>3.725244</v>
      </c>
      <c r="I82" s="13">
        <v>0</v>
      </c>
    </row>
    <row r="83" spans="1:9" ht="15.75" customHeight="1">
      <c r="A83" s="184" t="s">
        <v>160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18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19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SUM(I16+I17+I18+I27+I28+I38+I39+I40+I42+I43+I44+I45+I58+I59+I60+I63+I76+I84+I85)</f>
        <v>72677.344099599984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20</v>
      </c>
      <c r="B88" s="55" t="s">
        <v>151</v>
      </c>
      <c r="C88" s="65" t="s">
        <v>81</v>
      </c>
      <c r="D88" s="51"/>
      <c r="E88" s="13"/>
      <c r="F88" s="13">
        <v>1</v>
      </c>
      <c r="G88" s="13">
        <v>203.68</v>
      </c>
      <c r="H88" s="100">
        <f t="shared" ref="H88:H90" si="8">G88*F88/1000</f>
        <v>0.20368</v>
      </c>
      <c r="I88" s="119">
        <f>G88</f>
        <v>203.68</v>
      </c>
    </row>
    <row r="89" spans="1:9" ht="31.5" customHeight="1">
      <c r="A89" s="29">
        <v>21</v>
      </c>
      <c r="B89" s="55" t="s">
        <v>154</v>
      </c>
      <c r="C89" s="65" t="s">
        <v>155</v>
      </c>
      <c r="D89" s="51"/>
      <c r="E89" s="13"/>
      <c r="F89" s="13">
        <v>6</v>
      </c>
      <c r="G89" s="13">
        <v>1187</v>
      </c>
      <c r="H89" s="100">
        <f t="shared" si="8"/>
        <v>7.1219999999999999</v>
      </c>
      <c r="I89" s="119">
        <f>G89*6</f>
        <v>7122</v>
      </c>
    </row>
    <row r="90" spans="1:9" ht="31.5" customHeight="1">
      <c r="A90" s="29">
        <v>22</v>
      </c>
      <c r="B90" s="55" t="s">
        <v>140</v>
      </c>
      <c r="C90" s="65" t="s">
        <v>37</v>
      </c>
      <c r="D90" s="99"/>
      <c r="E90" s="18"/>
      <c r="F90" s="13">
        <v>0.04</v>
      </c>
      <c r="G90" s="13">
        <v>3724.37</v>
      </c>
      <c r="H90" s="100">
        <f t="shared" si="8"/>
        <v>0.14897479999999999</v>
      </c>
      <c r="I90" s="119">
        <f>G90*0.02</f>
        <v>74.487399999999994</v>
      </c>
    </row>
    <row r="91" spans="1:9" ht="15.75" customHeight="1">
      <c r="A91" s="29"/>
      <c r="B91" s="45" t="s">
        <v>50</v>
      </c>
      <c r="C91" s="41"/>
      <c r="D91" s="53"/>
      <c r="E91" s="41">
        <v>1</v>
      </c>
      <c r="F91" s="41"/>
      <c r="G91" s="41"/>
      <c r="H91" s="41"/>
      <c r="I91" s="31">
        <f>SUM(I88:I90)</f>
        <v>7400.1674000000003</v>
      </c>
    </row>
    <row r="92" spans="1:9" ht="15.75" customHeight="1">
      <c r="A92" s="29"/>
      <c r="B92" s="51" t="s">
        <v>77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152</v>
      </c>
      <c r="C93" s="34"/>
      <c r="D93" s="34"/>
      <c r="E93" s="34"/>
      <c r="F93" s="34"/>
      <c r="G93" s="34"/>
      <c r="H93" s="34"/>
      <c r="I93" s="44">
        <f>I86+I91</f>
        <v>80077.51149959999</v>
      </c>
    </row>
    <row r="94" spans="1:9" ht="15.75">
      <c r="A94" s="181" t="s">
        <v>228</v>
      </c>
      <c r="B94" s="181"/>
      <c r="C94" s="181"/>
      <c r="D94" s="181"/>
      <c r="E94" s="181"/>
      <c r="F94" s="181"/>
      <c r="G94" s="181"/>
      <c r="H94" s="181"/>
      <c r="I94" s="181"/>
    </row>
    <row r="95" spans="1:9" ht="15.75">
      <c r="A95" s="61"/>
      <c r="B95" s="182" t="s">
        <v>229</v>
      </c>
      <c r="C95" s="182"/>
      <c r="D95" s="182"/>
      <c r="E95" s="182"/>
      <c r="F95" s="182"/>
      <c r="G95" s="182"/>
      <c r="H95" s="80"/>
      <c r="I95" s="3"/>
    </row>
    <row r="96" spans="1:9">
      <c r="A96" s="74"/>
      <c r="B96" s="180" t="s">
        <v>6</v>
      </c>
      <c r="C96" s="180"/>
      <c r="D96" s="180"/>
      <c r="E96" s="180"/>
      <c r="F96" s="180"/>
      <c r="G96" s="180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83" t="s">
        <v>7</v>
      </c>
      <c r="B98" s="183"/>
      <c r="C98" s="183"/>
      <c r="D98" s="183"/>
      <c r="E98" s="183"/>
      <c r="F98" s="183"/>
      <c r="G98" s="183"/>
      <c r="H98" s="183"/>
      <c r="I98" s="183"/>
    </row>
    <row r="99" spans="1:9" ht="15.75">
      <c r="A99" s="183" t="s">
        <v>8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77" t="s">
        <v>59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1"/>
    </row>
    <row r="102" spans="1:9" ht="15.75">
      <c r="A102" s="178" t="s">
        <v>9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4"/>
    </row>
    <row r="104" spans="1:9" ht="15.75">
      <c r="B104" s="72" t="s">
        <v>10</v>
      </c>
      <c r="C104" s="179" t="s">
        <v>86</v>
      </c>
      <c r="D104" s="179"/>
      <c r="E104" s="179"/>
      <c r="F104" s="78"/>
      <c r="I104" s="73"/>
    </row>
    <row r="105" spans="1:9">
      <c r="A105" s="74"/>
      <c r="C105" s="180" t="s">
        <v>11</v>
      </c>
      <c r="D105" s="180"/>
      <c r="E105" s="180"/>
      <c r="F105" s="24"/>
      <c r="I105" s="71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72" t="s">
        <v>13</v>
      </c>
      <c r="C107" s="174"/>
      <c r="D107" s="174"/>
      <c r="E107" s="174"/>
      <c r="F107" s="79"/>
      <c r="I107" s="73"/>
    </row>
    <row r="108" spans="1:9">
      <c r="A108" s="74"/>
      <c r="C108" s="175" t="s">
        <v>11</v>
      </c>
      <c r="D108" s="175"/>
      <c r="E108" s="175"/>
      <c r="F108" s="74"/>
      <c r="I108" s="71" t="s">
        <v>12</v>
      </c>
    </row>
    <row r="109" spans="1:9" ht="15.75">
      <c r="A109" s="4" t="s">
        <v>14</v>
      </c>
    </row>
    <row r="110" spans="1:9">
      <c r="A110" s="176" t="s">
        <v>15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45" customHeight="1">
      <c r="A111" s="173" t="s">
        <v>16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30" customHeight="1">
      <c r="A112" s="173" t="s">
        <v>17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21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15" customHeight="1">
      <c r="A114" s="173" t="s">
        <v>20</v>
      </c>
      <c r="B114" s="173"/>
      <c r="C114" s="173"/>
      <c r="D114" s="173"/>
      <c r="E114" s="173"/>
      <c r="F114" s="173"/>
      <c r="G114" s="173"/>
      <c r="H114" s="173"/>
      <c r="I114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5"/>
  <sheetViews>
    <sheetView topLeftCell="A77" workbookViewId="0">
      <selection activeCell="I112" sqref="I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161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181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43220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3"/>
        <v>2.5094383200000001</v>
      </c>
      <c r="I44" s="13">
        <f>F44/7.5*1.5*G44</f>
        <v>501.88766400000009</v>
      </c>
      <c r="J44" s="23"/>
      <c r="L44" s="19"/>
      <c r="M44" s="20"/>
      <c r="N44" s="21"/>
    </row>
    <row r="45" spans="1:14" ht="15.75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3"/>
        <v>0.71820000000000006</v>
      </c>
      <c r="I45" s="13">
        <f>F45/7.5*1.5*G45</f>
        <v>143.64000000000001</v>
      </c>
      <c r="J45" s="23"/>
      <c r="L45" s="19"/>
      <c r="M45" s="20"/>
      <c r="N45" s="21"/>
    </row>
    <row r="46" spans="1:14" ht="15.75" hidden="1" customHeight="1">
      <c r="A46" s="130">
        <v>14</v>
      </c>
      <c r="B46" s="93" t="s">
        <v>40</v>
      </c>
      <c r="C46" s="94" t="s">
        <v>117</v>
      </c>
      <c r="D46" s="93" t="s">
        <v>69</v>
      </c>
      <c r="E46" s="95">
        <v>238</v>
      </c>
      <c r="F46" s="96">
        <f>SUM(E46)*3</f>
        <v>714</v>
      </c>
      <c r="G46" s="119">
        <v>65.67</v>
      </c>
      <c r="H46" s="98">
        <f t="shared" ref="H46" si="4">SUM(F46*G46/1000)</f>
        <v>46.888380000000005</v>
      </c>
      <c r="I46" s="119">
        <f>E46*G46</f>
        <v>15629.460000000001</v>
      </c>
      <c r="J46" s="23"/>
      <c r="L46" s="19"/>
      <c r="M46" s="20"/>
      <c r="N46" s="21"/>
    </row>
    <row r="47" spans="1:14" ht="15.75" customHeight="1">
      <c r="A47" s="197" t="s">
        <v>144</v>
      </c>
      <c r="B47" s="200"/>
      <c r="C47" s="200"/>
      <c r="D47" s="200"/>
      <c r="E47" s="200"/>
      <c r="F47" s="200"/>
      <c r="G47" s="200"/>
      <c r="H47" s="200"/>
      <c r="I47" s="200"/>
      <c r="J47" s="134"/>
      <c r="L47" s="19"/>
      <c r="M47" s="20"/>
      <c r="N47" s="21"/>
    </row>
    <row r="48" spans="1:14" ht="31.5" customHeight="1">
      <c r="A48" s="40">
        <v>13</v>
      </c>
      <c r="B48" s="135" t="s">
        <v>115</v>
      </c>
      <c r="C48" s="136" t="s">
        <v>108</v>
      </c>
      <c r="D48" s="131"/>
      <c r="E48" s="132"/>
      <c r="F48" s="137">
        <v>2.6985999999999999</v>
      </c>
      <c r="G48" s="138">
        <v>1213.55</v>
      </c>
      <c r="H48" s="133"/>
      <c r="I48" s="133">
        <f>F48/2*G48</f>
        <v>1637.4430149999998</v>
      </c>
      <c r="J48" s="23"/>
      <c r="L48" s="19"/>
      <c r="M48" s="20"/>
      <c r="N48" s="21"/>
    </row>
    <row r="49" spans="1:22" ht="32.25" customHeight="1">
      <c r="A49" s="40">
        <v>14</v>
      </c>
      <c r="B49" s="32" t="s">
        <v>116</v>
      </c>
      <c r="C49" s="139" t="s">
        <v>37</v>
      </c>
      <c r="D49" s="99"/>
      <c r="E49" s="18"/>
      <c r="F49" s="140">
        <v>0.8</v>
      </c>
      <c r="G49" s="36">
        <v>2730.49</v>
      </c>
      <c r="H49" s="13"/>
      <c r="I49" s="13">
        <f>F49/2*G49</f>
        <v>1092.1959999999999</v>
      </c>
      <c r="J49" s="23"/>
      <c r="L49" s="19"/>
      <c r="M49" s="20"/>
      <c r="N49" s="21"/>
    </row>
    <row r="50" spans="1:22" ht="15.75" customHeight="1">
      <c r="A50" s="40">
        <v>15</v>
      </c>
      <c r="B50" s="32" t="s">
        <v>38</v>
      </c>
      <c r="C50" s="139" t="s">
        <v>39</v>
      </c>
      <c r="D50" s="99"/>
      <c r="E50" s="18"/>
      <c r="F50" s="140">
        <v>0.02</v>
      </c>
      <c r="G50" s="36">
        <v>5652.13</v>
      </c>
      <c r="H50" s="13"/>
      <c r="I50" s="13">
        <f>F50/2*G50</f>
        <v>56.521300000000004</v>
      </c>
      <c r="J50" s="23"/>
      <c r="L50" s="19"/>
      <c r="M50" s="20"/>
      <c r="N50" s="21"/>
    </row>
    <row r="51" spans="1:22" ht="15.75" customHeight="1">
      <c r="A51" s="197" t="s">
        <v>145</v>
      </c>
      <c r="B51" s="198"/>
      <c r="C51" s="198"/>
      <c r="D51" s="198"/>
      <c r="E51" s="198"/>
      <c r="F51" s="198"/>
      <c r="G51" s="198"/>
      <c r="H51" s="198"/>
      <c r="I51" s="199"/>
      <c r="J51" s="23"/>
      <c r="L51" s="19"/>
      <c r="M51" s="20"/>
      <c r="N51" s="21"/>
    </row>
    <row r="52" spans="1:22" ht="15.75" customHeight="1">
      <c r="A52" s="81"/>
      <c r="B52" s="47" t="s">
        <v>42</v>
      </c>
      <c r="C52" s="16"/>
      <c r="D52" s="15"/>
      <c r="E52" s="15"/>
      <c r="F52" s="15"/>
      <c r="G52" s="29"/>
      <c r="H52" s="29"/>
      <c r="I52" s="18"/>
      <c r="J52" s="23"/>
      <c r="L52" s="19"/>
      <c r="M52" s="20"/>
      <c r="N52" s="21"/>
    </row>
    <row r="53" spans="1:22" ht="31.5" customHeight="1">
      <c r="A53" s="40">
        <v>16</v>
      </c>
      <c r="B53" s="82" t="s">
        <v>118</v>
      </c>
      <c r="C53" s="83" t="s">
        <v>92</v>
      </c>
      <c r="D53" s="82" t="s">
        <v>230</v>
      </c>
      <c r="E53" s="84">
        <v>176.9</v>
      </c>
      <c r="F53" s="85">
        <f>SUM(E53*6/100)</f>
        <v>10.614000000000001</v>
      </c>
      <c r="G53" s="13">
        <v>1547.28</v>
      </c>
      <c r="H53" s="86">
        <f>SUM(F53*G53/1000)</f>
        <v>16.422829920000002</v>
      </c>
      <c r="I53" s="13">
        <f>G53*0.62</f>
        <v>959.31359999999995</v>
      </c>
      <c r="J53" s="23"/>
      <c r="L53" s="19"/>
      <c r="M53" s="20"/>
      <c r="N53" s="21"/>
    </row>
    <row r="54" spans="1:22" ht="15.75" customHeight="1">
      <c r="A54" s="40">
        <v>17</v>
      </c>
      <c r="B54" s="82" t="s">
        <v>135</v>
      </c>
      <c r="C54" s="83" t="s">
        <v>92</v>
      </c>
      <c r="D54" s="82" t="s">
        <v>119</v>
      </c>
      <c r="E54" s="77">
        <v>56</v>
      </c>
      <c r="F54" s="90">
        <v>3.36</v>
      </c>
      <c r="G54" s="85">
        <v>1547.28</v>
      </c>
      <c r="H54" s="86">
        <f>F54*G54/1000</f>
        <v>5.1988607999999994</v>
      </c>
      <c r="I54" s="13">
        <f>F54/6*G54</f>
        <v>866.47679999999991</v>
      </c>
      <c r="J54" s="23"/>
      <c r="L54" s="19"/>
      <c r="M54" s="20"/>
      <c r="N54" s="21"/>
    </row>
    <row r="55" spans="1:22" ht="15.75" hidden="1" customHeight="1">
      <c r="A55" s="40"/>
      <c r="B55" s="82" t="s">
        <v>136</v>
      </c>
      <c r="C55" s="83" t="s">
        <v>137</v>
      </c>
      <c r="D55" s="82" t="s">
        <v>41</v>
      </c>
      <c r="E55" s="91">
        <v>8</v>
      </c>
      <c r="F55" s="13">
        <v>16</v>
      </c>
      <c r="G55" s="85">
        <v>180.78</v>
      </c>
      <c r="H55" s="86">
        <f>SUM(F55*G55/1000)</f>
        <v>2.8924799999999999</v>
      </c>
      <c r="I55" s="13">
        <v>0</v>
      </c>
      <c r="J55" s="23"/>
      <c r="L55" s="19"/>
      <c r="M55" s="20"/>
      <c r="N55" s="21"/>
    </row>
    <row r="56" spans="1:22" ht="15.75" customHeight="1">
      <c r="A56" s="40"/>
      <c r="B56" s="76" t="s">
        <v>43</v>
      </c>
      <c r="C56" s="76"/>
      <c r="D56" s="76"/>
      <c r="E56" s="76"/>
      <c r="F56" s="76"/>
      <c r="G56" s="76"/>
      <c r="H56" s="76"/>
      <c r="I56" s="35"/>
      <c r="J56" s="23"/>
      <c r="L56" s="19"/>
      <c r="M56" s="20"/>
      <c r="N56" s="21"/>
    </row>
    <row r="57" spans="1:22" ht="15.75" hidden="1" customHeight="1">
      <c r="A57" s="40">
        <v>27</v>
      </c>
      <c r="B57" s="82" t="s">
        <v>149</v>
      </c>
      <c r="C57" s="83"/>
      <c r="D57" s="82" t="s">
        <v>52</v>
      </c>
      <c r="E57" s="84">
        <v>1349.3</v>
      </c>
      <c r="F57" s="86">
        <v>13.493</v>
      </c>
      <c r="G57" s="13">
        <v>793.61</v>
      </c>
      <c r="H57" s="92">
        <f>F57*G57/1000</f>
        <v>10.708179729999999</v>
      </c>
      <c r="I57" s="13">
        <v>0</v>
      </c>
      <c r="J57" s="23"/>
      <c r="L57" s="19"/>
      <c r="M57" s="20"/>
      <c r="N57" s="21"/>
    </row>
    <row r="58" spans="1:22" ht="15.75" customHeight="1">
      <c r="A58" s="40">
        <v>18</v>
      </c>
      <c r="B58" s="93" t="s">
        <v>91</v>
      </c>
      <c r="C58" s="94" t="s">
        <v>26</v>
      </c>
      <c r="D58" s="93"/>
      <c r="E58" s="95">
        <v>270</v>
      </c>
      <c r="F58" s="96">
        <f>E58*12</f>
        <v>3240</v>
      </c>
      <c r="G58" s="129">
        <v>1.2</v>
      </c>
      <c r="H58" s="98">
        <f>F58*G58</f>
        <v>3888</v>
      </c>
      <c r="I58" s="13">
        <f>2400/12*G58</f>
        <v>240</v>
      </c>
      <c r="J58" s="23"/>
      <c r="L58" s="19"/>
      <c r="M58" s="20"/>
      <c r="N58" s="21"/>
    </row>
    <row r="59" spans="1:22" ht="15.75" hidden="1" customHeight="1">
      <c r="A59" s="29">
        <v>29</v>
      </c>
      <c r="B59" s="99" t="s">
        <v>46</v>
      </c>
      <c r="C59" s="16" t="s">
        <v>117</v>
      </c>
      <c r="D59" s="99" t="s">
        <v>65</v>
      </c>
      <c r="E59" s="18">
        <v>20</v>
      </c>
      <c r="F59" s="85">
        <v>20</v>
      </c>
      <c r="G59" s="13">
        <v>76.25</v>
      </c>
      <c r="H59" s="100">
        <f t="shared" ref="H59:H65" si="5">SUM(F59*G59/1000)</f>
        <v>1.5249999999999999</v>
      </c>
      <c r="I59" s="13">
        <v>0</v>
      </c>
    </row>
    <row r="60" spans="1:22" ht="15.75" hidden="1" customHeight="1">
      <c r="A60" s="29">
        <v>8</v>
      </c>
      <c r="B60" s="99" t="s">
        <v>47</v>
      </c>
      <c r="C60" s="16" t="s">
        <v>120</v>
      </c>
      <c r="D60" s="99" t="s">
        <v>52</v>
      </c>
      <c r="E60" s="84">
        <v>18890</v>
      </c>
      <c r="F60" s="13">
        <f>SUM(E60/100)</f>
        <v>188.9</v>
      </c>
      <c r="G60" s="13">
        <v>212.15</v>
      </c>
      <c r="H60" s="100">
        <f t="shared" si="5"/>
        <v>40.075135000000003</v>
      </c>
      <c r="I60" s="13">
        <v>0</v>
      </c>
    </row>
    <row r="61" spans="1:22" ht="15.75" hidden="1" customHeight="1">
      <c r="A61" s="29">
        <v>9</v>
      </c>
      <c r="B61" s="99" t="s">
        <v>48</v>
      </c>
      <c r="C61" s="16" t="s">
        <v>121</v>
      </c>
      <c r="D61" s="99"/>
      <c r="E61" s="84">
        <v>18890</v>
      </c>
      <c r="F61" s="13">
        <f>SUM(E61/1000)</f>
        <v>18.89</v>
      </c>
      <c r="G61" s="13">
        <v>165.21</v>
      </c>
      <c r="H61" s="100">
        <f t="shared" si="5"/>
        <v>3.1208169000000003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10</v>
      </c>
      <c r="B62" s="99" t="s">
        <v>49</v>
      </c>
      <c r="C62" s="16" t="s">
        <v>75</v>
      </c>
      <c r="D62" s="99" t="s">
        <v>52</v>
      </c>
      <c r="E62" s="84">
        <v>3004</v>
      </c>
      <c r="F62" s="13">
        <f>SUM(E62/100)</f>
        <v>30.04</v>
      </c>
      <c r="G62" s="13">
        <v>2074.63</v>
      </c>
      <c r="H62" s="100">
        <f t="shared" si="5"/>
        <v>62.321885200000004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>
        <v>11</v>
      </c>
      <c r="B63" s="101" t="s">
        <v>122</v>
      </c>
      <c r="C63" s="16" t="s">
        <v>33</v>
      </c>
      <c r="D63" s="99"/>
      <c r="E63" s="84">
        <v>15.8</v>
      </c>
      <c r="F63" s="13">
        <f>SUM(E63)</f>
        <v>15.8</v>
      </c>
      <c r="G63" s="13">
        <v>42.67</v>
      </c>
      <c r="H63" s="100">
        <f t="shared" si="5"/>
        <v>0.67418600000000006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>
        <v>12</v>
      </c>
      <c r="B64" s="101" t="s">
        <v>123</v>
      </c>
      <c r="C64" s="16" t="s">
        <v>33</v>
      </c>
      <c r="D64" s="99"/>
      <c r="E64" s="84">
        <v>15.8</v>
      </c>
      <c r="F64" s="13">
        <f>SUM(E64)</f>
        <v>15.8</v>
      </c>
      <c r="G64" s="13">
        <v>39.81</v>
      </c>
      <c r="H64" s="100">
        <f t="shared" si="5"/>
        <v>0.62899800000000006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75"/>
      <c r="S64" s="175"/>
      <c r="T64" s="175"/>
      <c r="U64" s="175"/>
    </row>
    <row r="65" spans="1:21" ht="15.75" hidden="1" customHeight="1">
      <c r="A65" s="29">
        <v>13</v>
      </c>
      <c r="B65" s="99" t="s">
        <v>55</v>
      </c>
      <c r="C65" s="16" t="s">
        <v>56</v>
      </c>
      <c r="D65" s="99" t="s">
        <v>52</v>
      </c>
      <c r="E65" s="18">
        <v>15</v>
      </c>
      <c r="F65" s="85">
        <v>15</v>
      </c>
      <c r="G65" s="13">
        <v>49.88</v>
      </c>
      <c r="H65" s="100">
        <f t="shared" si="5"/>
        <v>0.74820000000000009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81"/>
      <c r="B66" s="76" t="s">
        <v>124</v>
      </c>
      <c r="C66" s="76"/>
      <c r="D66" s="76"/>
      <c r="E66" s="76"/>
      <c r="F66" s="76"/>
      <c r="G66" s="76"/>
      <c r="H66" s="76"/>
      <c r="I66" s="18"/>
    </row>
    <row r="67" spans="1:21" ht="15.75" hidden="1" customHeight="1">
      <c r="A67" s="29">
        <v>19</v>
      </c>
      <c r="B67" s="82" t="s">
        <v>125</v>
      </c>
      <c r="C67" s="16"/>
      <c r="D67" s="99"/>
      <c r="E67" s="77"/>
      <c r="F67" s="13">
        <v>1</v>
      </c>
      <c r="G67" s="13">
        <v>27865.200000000001</v>
      </c>
      <c r="H67" s="100">
        <f>G67*F67/1000</f>
        <v>27.865200000000002</v>
      </c>
      <c r="I67" s="13">
        <v>0</v>
      </c>
    </row>
    <row r="68" spans="1:21" ht="15.75" hidden="1" customHeight="1">
      <c r="A68" s="29"/>
      <c r="B68" s="48" t="s">
        <v>70</v>
      </c>
      <c r="C68" s="48"/>
      <c r="D68" s="48"/>
      <c r="E68" s="18"/>
      <c r="F68" s="18"/>
      <c r="G68" s="29"/>
      <c r="H68" s="29"/>
      <c r="I68" s="18"/>
    </row>
    <row r="69" spans="1:21" ht="15.75" hidden="1" customHeight="1">
      <c r="A69" s="29">
        <v>18</v>
      </c>
      <c r="B69" s="99" t="s">
        <v>71</v>
      </c>
      <c r="C69" s="16" t="s">
        <v>73</v>
      </c>
      <c r="D69" s="99"/>
      <c r="E69" s="18">
        <v>10</v>
      </c>
      <c r="F69" s="13">
        <v>1</v>
      </c>
      <c r="G69" s="13">
        <v>501.62</v>
      </c>
      <c r="H69" s="100">
        <f t="shared" ref="H69:H73" si="6">SUM(F69*G69/1000)</f>
        <v>0.50161999999999995</v>
      </c>
      <c r="I69" s="13">
        <f>G69*0.1</f>
        <v>50.162000000000006</v>
      </c>
    </row>
    <row r="70" spans="1:21" ht="15.75" hidden="1" customHeight="1">
      <c r="A70" s="29"/>
      <c r="B70" s="99" t="s">
        <v>138</v>
      </c>
      <c r="C70" s="16" t="s">
        <v>31</v>
      </c>
      <c r="D70" s="99"/>
      <c r="E70" s="18">
        <v>1</v>
      </c>
      <c r="F70" s="13">
        <v>1</v>
      </c>
      <c r="G70" s="13">
        <v>99.85</v>
      </c>
      <c r="H70" s="100">
        <f>F70*G70/1000</f>
        <v>9.9849999999999994E-2</v>
      </c>
      <c r="I70" s="13">
        <v>0</v>
      </c>
    </row>
    <row r="71" spans="1:21" ht="15.75" hidden="1" customHeight="1">
      <c r="A71" s="29"/>
      <c r="B71" s="99" t="s">
        <v>139</v>
      </c>
      <c r="C71" s="16" t="s">
        <v>31</v>
      </c>
      <c r="D71" s="99"/>
      <c r="E71" s="18">
        <v>1</v>
      </c>
      <c r="F71" s="13">
        <v>1</v>
      </c>
      <c r="G71" s="13">
        <v>120.26</v>
      </c>
      <c r="H71" s="100">
        <f>F71*G71/1000</f>
        <v>0.12026000000000001</v>
      </c>
      <c r="I71" s="13">
        <v>0</v>
      </c>
    </row>
    <row r="72" spans="1:21" ht="15.75" hidden="1" customHeight="1">
      <c r="A72" s="29">
        <v>19</v>
      </c>
      <c r="B72" s="99" t="s">
        <v>72</v>
      </c>
      <c r="C72" s="16" t="s">
        <v>31</v>
      </c>
      <c r="D72" s="99"/>
      <c r="E72" s="18">
        <v>2</v>
      </c>
      <c r="F72" s="97">
        <v>2</v>
      </c>
      <c r="G72" s="13">
        <v>852.99</v>
      </c>
      <c r="H72" s="100">
        <f>F72*G72/1000</f>
        <v>1.7059800000000001</v>
      </c>
      <c r="I72" s="13">
        <f>G72</f>
        <v>852.99</v>
      </c>
    </row>
    <row r="73" spans="1:21" ht="15.75" hidden="1" customHeight="1">
      <c r="A73" s="29">
        <v>17</v>
      </c>
      <c r="B73" s="99" t="s">
        <v>85</v>
      </c>
      <c r="C73" s="16" t="s">
        <v>117</v>
      </c>
      <c r="D73" s="99"/>
      <c r="E73" s="18">
        <v>1</v>
      </c>
      <c r="F73" s="85">
        <f>SUM(E73)</f>
        <v>1</v>
      </c>
      <c r="G73" s="13">
        <v>358.51</v>
      </c>
      <c r="H73" s="100">
        <f t="shared" si="6"/>
        <v>0.35851</v>
      </c>
      <c r="I73" s="13">
        <v>0</v>
      </c>
    </row>
    <row r="74" spans="1:21" ht="15.75" hidden="1" customHeight="1">
      <c r="A74" s="29"/>
      <c r="B74" s="49" t="s">
        <v>74</v>
      </c>
      <c r="C74" s="38"/>
      <c r="D74" s="29"/>
      <c r="E74" s="18"/>
      <c r="F74" s="18"/>
      <c r="G74" s="36"/>
      <c r="H74" s="36"/>
      <c r="I74" s="18"/>
    </row>
    <row r="75" spans="1:21" ht="15.75" hidden="1" customHeight="1">
      <c r="A75" s="29">
        <v>39</v>
      </c>
      <c r="B75" s="51" t="s">
        <v>126</v>
      </c>
      <c r="C75" s="16" t="s">
        <v>75</v>
      </c>
      <c r="D75" s="99"/>
      <c r="E75" s="18"/>
      <c r="F75" s="13">
        <v>1.35</v>
      </c>
      <c r="G75" s="13">
        <v>2759.44</v>
      </c>
      <c r="H75" s="100">
        <f t="shared" ref="H75" si="7">SUM(F75*G75/1000)</f>
        <v>3.725244</v>
      </c>
      <c r="I75" s="13">
        <v>0</v>
      </c>
    </row>
    <row r="76" spans="1:21" ht="19.5" customHeight="1">
      <c r="A76" s="128"/>
      <c r="B76" s="125" t="s">
        <v>70</v>
      </c>
      <c r="C76" s="121"/>
      <c r="D76" s="122"/>
      <c r="E76" s="122"/>
      <c r="F76" s="122"/>
      <c r="G76" s="123"/>
      <c r="H76" s="123"/>
      <c r="I76" s="124"/>
    </row>
    <row r="77" spans="1:21" ht="23.25" customHeight="1">
      <c r="A77" s="128">
        <v>19</v>
      </c>
      <c r="B77" s="37" t="s">
        <v>71</v>
      </c>
      <c r="C77" s="126" t="s">
        <v>73</v>
      </c>
      <c r="D77" s="15"/>
      <c r="E77" s="15"/>
      <c r="F77" s="15"/>
      <c r="G77" s="127">
        <v>501.62</v>
      </c>
      <c r="H77" s="18"/>
      <c r="I77" s="18">
        <f>G77*0.2</f>
        <v>100.32400000000001</v>
      </c>
    </row>
    <row r="78" spans="1:21" ht="15.75" customHeight="1">
      <c r="A78" s="184" t="s">
        <v>160</v>
      </c>
      <c r="B78" s="185"/>
      <c r="C78" s="185"/>
      <c r="D78" s="185"/>
      <c r="E78" s="185"/>
      <c r="F78" s="185"/>
      <c r="G78" s="185"/>
      <c r="H78" s="185"/>
      <c r="I78" s="186"/>
    </row>
    <row r="79" spans="1:21" ht="15.75" customHeight="1">
      <c r="A79" s="29">
        <v>20</v>
      </c>
      <c r="B79" s="32" t="s">
        <v>127</v>
      </c>
      <c r="C79" s="38" t="s">
        <v>53</v>
      </c>
      <c r="D79" s="63" t="s">
        <v>150</v>
      </c>
      <c r="E79" s="36">
        <v>5162.6000000000004</v>
      </c>
      <c r="F79" s="36">
        <f>SUM(E79*12)</f>
        <v>61951.200000000004</v>
      </c>
      <c r="G79" s="36">
        <v>2.1</v>
      </c>
      <c r="H79" s="102">
        <f>SUM(F79*G79/1000)</f>
        <v>130.09752000000003</v>
      </c>
      <c r="I79" s="13">
        <f>F79/12*G79</f>
        <v>10841.460000000001</v>
      </c>
    </row>
    <row r="80" spans="1:21" ht="31.5" customHeight="1">
      <c r="A80" s="29">
        <v>21</v>
      </c>
      <c r="B80" s="99" t="s">
        <v>76</v>
      </c>
      <c r="C80" s="16"/>
      <c r="D80" s="63" t="s">
        <v>150</v>
      </c>
      <c r="E80" s="84">
        <v>5162.6000000000004</v>
      </c>
      <c r="F80" s="13">
        <f>E80*12</f>
        <v>61951.200000000004</v>
      </c>
      <c r="G80" s="13">
        <v>1.63</v>
      </c>
      <c r="H80" s="100">
        <f>F80*G80/1000</f>
        <v>100.980456</v>
      </c>
      <c r="I80" s="13">
        <f>F80/12*G80</f>
        <v>8415.0380000000005</v>
      </c>
    </row>
    <row r="81" spans="1:9" ht="15.75" customHeight="1">
      <c r="A81" s="81"/>
      <c r="B81" s="39" t="s">
        <v>79</v>
      </c>
      <c r="C81" s="40"/>
      <c r="D81" s="15"/>
      <c r="E81" s="15"/>
      <c r="F81" s="15"/>
      <c r="G81" s="18"/>
      <c r="H81" s="18"/>
      <c r="I81" s="31">
        <f>I80+I79+I77+I58+I54+I53+I50+I49+I48+I45+I44+I43+I42+I40+I39+I38+I28+I27+I18+I17+I16</f>
        <v>72242.134414600005</v>
      </c>
    </row>
    <row r="82" spans="1:9" ht="15.75" customHeight="1">
      <c r="A82" s="187" t="s">
        <v>58</v>
      </c>
      <c r="B82" s="188"/>
      <c r="C82" s="188"/>
      <c r="D82" s="188"/>
      <c r="E82" s="188"/>
      <c r="F82" s="188"/>
      <c r="G82" s="188"/>
      <c r="H82" s="188"/>
      <c r="I82" s="189"/>
    </row>
    <row r="83" spans="1:9" ht="31.5" customHeight="1">
      <c r="A83" s="29">
        <v>22</v>
      </c>
      <c r="B83" s="37" t="s">
        <v>182</v>
      </c>
      <c r="C83" s="38" t="s">
        <v>117</v>
      </c>
      <c r="D83" s="64" t="s">
        <v>65</v>
      </c>
      <c r="E83" s="13"/>
      <c r="F83" s="13">
        <v>35</v>
      </c>
      <c r="G83" s="36">
        <v>3988.9</v>
      </c>
      <c r="H83" s="100">
        <f t="shared" ref="H83:H86" si="8">G83*F83/1000</f>
        <v>139.61150000000001</v>
      </c>
      <c r="I83" s="13">
        <f>G83*1</f>
        <v>3988.9</v>
      </c>
    </row>
    <row r="84" spans="1:9" ht="15.75" customHeight="1">
      <c r="A84" s="29">
        <v>23</v>
      </c>
      <c r="B84" s="55" t="s">
        <v>167</v>
      </c>
      <c r="C84" s="65" t="s">
        <v>155</v>
      </c>
      <c r="D84" s="51"/>
      <c r="E84" s="13"/>
      <c r="F84" s="13">
        <v>1</v>
      </c>
      <c r="G84" s="36">
        <v>1272</v>
      </c>
      <c r="H84" s="100">
        <f t="shared" si="8"/>
        <v>1.272</v>
      </c>
      <c r="I84" s="13">
        <f>G84*1.5</f>
        <v>1908</v>
      </c>
    </row>
    <row r="85" spans="1:9" ht="15.75" customHeight="1">
      <c r="A85" s="29">
        <v>24</v>
      </c>
      <c r="B85" s="55" t="s">
        <v>183</v>
      </c>
      <c r="C85" s="65" t="s">
        <v>117</v>
      </c>
      <c r="D85" s="51"/>
      <c r="E85" s="13"/>
      <c r="F85" s="13">
        <f>160/3</f>
        <v>53.333333333333336</v>
      </c>
      <c r="G85" s="36">
        <v>151.31</v>
      </c>
      <c r="H85" s="100">
        <f t="shared" si="8"/>
        <v>8.0698666666666661</v>
      </c>
      <c r="I85" s="13">
        <f>G85*2</f>
        <v>302.62</v>
      </c>
    </row>
    <row r="86" spans="1:9" ht="15.75" customHeight="1">
      <c r="A86" s="29">
        <v>25</v>
      </c>
      <c r="B86" s="55" t="s">
        <v>184</v>
      </c>
      <c r="C86" s="65" t="s">
        <v>117</v>
      </c>
      <c r="D86" s="51"/>
      <c r="E86" s="13"/>
      <c r="F86" s="13">
        <v>2</v>
      </c>
      <c r="G86" s="36">
        <v>5.43</v>
      </c>
      <c r="H86" s="100">
        <f t="shared" si="8"/>
        <v>1.086E-2</v>
      </c>
      <c r="I86" s="13">
        <f>G86*2</f>
        <v>10.86</v>
      </c>
    </row>
    <row r="87" spans="1:9" ht="15.75" customHeight="1">
      <c r="A87" s="29">
        <v>26</v>
      </c>
      <c r="B87" s="66" t="s">
        <v>178</v>
      </c>
      <c r="C87" s="67" t="s">
        <v>175</v>
      </c>
      <c r="D87" s="51"/>
      <c r="E87" s="13"/>
      <c r="F87" s="13">
        <v>1</v>
      </c>
      <c r="G87" s="36">
        <v>134.12</v>
      </c>
      <c r="H87" s="100">
        <f>G87*F87/1000</f>
        <v>0.13412000000000002</v>
      </c>
      <c r="I87" s="13">
        <f>G87*10</f>
        <v>1341.2</v>
      </c>
    </row>
    <row r="88" spans="1:9" ht="31.5" customHeight="1">
      <c r="A88" s="29">
        <v>27</v>
      </c>
      <c r="B88" s="55" t="s">
        <v>154</v>
      </c>
      <c r="C88" s="65" t="s">
        <v>155</v>
      </c>
      <c r="D88" s="51"/>
      <c r="E88" s="13"/>
      <c r="F88" s="13">
        <v>9</v>
      </c>
      <c r="G88" s="36">
        <v>1187</v>
      </c>
      <c r="H88" s="100">
        <f>G88*F88/1000</f>
        <v>10.683</v>
      </c>
      <c r="I88" s="13">
        <f>G88*4</f>
        <v>4748</v>
      </c>
    </row>
    <row r="89" spans="1:9" ht="15.75" customHeight="1">
      <c r="A89" s="29">
        <v>28</v>
      </c>
      <c r="B89" s="66" t="s">
        <v>185</v>
      </c>
      <c r="C89" s="67" t="s">
        <v>117</v>
      </c>
      <c r="D89" s="51"/>
      <c r="E89" s="13"/>
      <c r="F89" s="13">
        <v>1</v>
      </c>
      <c r="G89" s="36">
        <v>5.42</v>
      </c>
      <c r="H89" s="100">
        <f>G89*F89/1000</f>
        <v>5.4200000000000003E-3</v>
      </c>
      <c r="I89" s="13">
        <f>G89*6</f>
        <v>32.519999999999996</v>
      </c>
    </row>
    <row r="90" spans="1:9" ht="15.75" customHeight="1">
      <c r="A90" s="29">
        <v>29</v>
      </c>
      <c r="B90" s="66" t="s">
        <v>186</v>
      </c>
      <c r="C90" s="67" t="s">
        <v>117</v>
      </c>
      <c r="D90" s="51"/>
      <c r="E90" s="13"/>
      <c r="F90" s="13"/>
      <c r="G90" s="36">
        <v>6.2</v>
      </c>
      <c r="H90" s="100"/>
      <c r="I90" s="13">
        <f>G90*4</f>
        <v>24.8</v>
      </c>
    </row>
    <row r="91" spans="1:9" ht="15.75" customHeight="1">
      <c r="A91" s="29">
        <v>30</v>
      </c>
      <c r="B91" s="66" t="s">
        <v>187</v>
      </c>
      <c r="C91" s="67" t="s">
        <v>117</v>
      </c>
      <c r="D91" s="51"/>
      <c r="E91" s="13"/>
      <c r="F91" s="13"/>
      <c r="G91" s="36">
        <v>95.25</v>
      </c>
      <c r="H91" s="100"/>
      <c r="I91" s="13">
        <f>G91*4</f>
        <v>381</v>
      </c>
    </row>
    <row r="92" spans="1:9" ht="15.75" customHeight="1">
      <c r="A92" s="29">
        <v>31</v>
      </c>
      <c r="B92" s="66" t="s">
        <v>188</v>
      </c>
      <c r="C92" s="67" t="s">
        <v>117</v>
      </c>
      <c r="D92" s="51"/>
      <c r="E92" s="13"/>
      <c r="F92" s="13"/>
      <c r="G92" s="36">
        <v>6.84</v>
      </c>
      <c r="H92" s="100"/>
      <c r="I92" s="13">
        <f>G92*2</f>
        <v>13.68</v>
      </c>
    </row>
    <row r="93" spans="1:9" ht="15.75" customHeight="1">
      <c r="A93" s="29">
        <v>32</v>
      </c>
      <c r="B93" s="66" t="s">
        <v>189</v>
      </c>
      <c r="C93" s="67" t="s">
        <v>117</v>
      </c>
      <c r="D93" s="51"/>
      <c r="E93" s="13"/>
      <c r="F93" s="13"/>
      <c r="G93" s="36">
        <v>4.46</v>
      </c>
      <c r="H93" s="100"/>
      <c r="I93" s="13">
        <f>G93*4</f>
        <v>17.84</v>
      </c>
    </row>
    <row r="94" spans="1:9" ht="32.25" hidden="1" customHeight="1">
      <c r="A94" s="29">
        <v>31</v>
      </c>
      <c r="B94" s="55" t="s">
        <v>140</v>
      </c>
      <c r="C94" s="65" t="s">
        <v>37</v>
      </c>
      <c r="D94" s="51"/>
      <c r="E94" s="13"/>
      <c r="F94" s="13">
        <v>0.11</v>
      </c>
      <c r="G94" s="36">
        <v>3724.37</v>
      </c>
      <c r="H94" s="100">
        <f>G94*F94/1000</f>
        <v>0.40968070000000001</v>
      </c>
      <c r="I94" s="13">
        <f>G94*0.01</f>
        <v>37.243699999999997</v>
      </c>
    </row>
    <row r="95" spans="1:9" ht="30.75" customHeight="1">
      <c r="A95" s="29">
        <v>33</v>
      </c>
      <c r="B95" s="55" t="s">
        <v>190</v>
      </c>
      <c r="C95" s="65" t="s">
        <v>175</v>
      </c>
      <c r="D95" s="16" t="s">
        <v>193</v>
      </c>
      <c r="E95" s="13"/>
      <c r="F95" s="13">
        <f>0.5/100</f>
        <v>5.0000000000000001E-3</v>
      </c>
      <c r="G95" s="36">
        <v>1146</v>
      </c>
      <c r="H95" s="100">
        <f>G95*F95/1000</f>
        <v>5.7300000000000007E-3</v>
      </c>
      <c r="I95" s="13">
        <f>G95*12</f>
        <v>13752</v>
      </c>
    </row>
    <row r="96" spans="1:9" ht="17.25" customHeight="1">
      <c r="A96" s="29">
        <v>34</v>
      </c>
      <c r="B96" s="55" t="s">
        <v>187</v>
      </c>
      <c r="C96" s="65" t="s">
        <v>117</v>
      </c>
      <c r="D96" s="51"/>
      <c r="E96" s="13"/>
      <c r="F96" s="13"/>
      <c r="G96" s="36">
        <v>95.25</v>
      </c>
      <c r="H96" s="100"/>
      <c r="I96" s="13">
        <f>G96*3</f>
        <v>285.75</v>
      </c>
    </row>
    <row r="97" spans="1:9" ht="12.75" customHeight="1">
      <c r="A97" s="29">
        <v>35</v>
      </c>
      <c r="B97" s="55" t="s">
        <v>191</v>
      </c>
      <c r="C97" s="65" t="s">
        <v>117</v>
      </c>
      <c r="D97" s="51"/>
      <c r="E97" s="13"/>
      <c r="F97" s="13"/>
      <c r="G97" s="36">
        <v>89.92</v>
      </c>
      <c r="H97" s="100"/>
      <c r="I97" s="13">
        <f>G97*2</f>
        <v>179.84</v>
      </c>
    </row>
    <row r="98" spans="1:9" ht="13.5" customHeight="1">
      <c r="A98" s="29">
        <v>36</v>
      </c>
      <c r="B98" s="55" t="s">
        <v>183</v>
      </c>
      <c r="C98" s="65" t="s">
        <v>117</v>
      </c>
      <c r="D98" s="51"/>
      <c r="E98" s="13"/>
      <c r="F98" s="13"/>
      <c r="G98" s="36">
        <v>151.31</v>
      </c>
      <c r="H98" s="100"/>
      <c r="I98" s="13">
        <f>G98*1</f>
        <v>151.31</v>
      </c>
    </row>
    <row r="99" spans="1:9" ht="14.25" customHeight="1">
      <c r="A99" s="29">
        <v>37</v>
      </c>
      <c r="B99" s="55" t="s">
        <v>185</v>
      </c>
      <c r="C99" s="65" t="s">
        <v>117</v>
      </c>
      <c r="D99" s="51"/>
      <c r="E99" s="13"/>
      <c r="F99" s="13"/>
      <c r="G99" s="36">
        <v>5.42</v>
      </c>
      <c r="H99" s="100"/>
      <c r="I99" s="13">
        <f>G99*7</f>
        <v>37.94</v>
      </c>
    </row>
    <row r="100" spans="1:9" ht="13.5" customHeight="1">
      <c r="A100" s="29">
        <v>38</v>
      </c>
      <c r="B100" s="55" t="s">
        <v>188</v>
      </c>
      <c r="C100" s="65" t="s">
        <v>117</v>
      </c>
      <c r="D100" s="51"/>
      <c r="E100" s="13"/>
      <c r="F100" s="13"/>
      <c r="G100" s="36">
        <v>6.84</v>
      </c>
      <c r="H100" s="100"/>
      <c r="I100" s="13">
        <f>G100*3</f>
        <v>20.52</v>
      </c>
    </row>
    <row r="101" spans="1:9" ht="13.5" customHeight="1">
      <c r="A101" s="29">
        <v>39</v>
      </c>
      <c r="B101" s="55" t="s">
        <v>192</v>
      </c>
      <c r="C101" s="65" t="s">
        <v>117</v>
      </c>
      <c r="D101" s="51"/>
      <c r="E101" s="13"/>
      <c r="F101" s="13"/>
      <c r="G101" s="36">
        <v>784.67</v>
      </c>
      <c r="H101" s="100"/>
      <c r="I101" s="13">
        <f>G101*1</f>
        <v>784.67</v>
      </c>
    </row>
    <row r="102" spans="1:9" ht="15.75" customHeight="1">
      <c r="A102" s="29"/>
      <c r="B102" s="45" t="s">
        <v>50</v>
      </c>
      <c r="C102" s="41"/>
      <c r="D102" s="53"/>
      <c r="E102" s="41">
        <v>1</v>
      </c>
      <c r="F102" s="41"/>
      <c r="G102" s="41"/>
      <c r="H102" s="41"/>
      <c r="I102" s="31">
        <f>I101+I100+I99+I98+I97+I96+I95+I93+I92+I91+I90+I89+I88+I87+I86+I85+I84+I83</f>
        <v>27981.45</v>
      </c>
    </row>
    <row r="103" spans="1:9" ht="15.75" customHeight="1">
      <c r="A103" s="29"/>
      <c r="B103" s="51" t="s">
        <v>77</v>
      </c>
      <c r="C103" s="15"/>
      <c r="D103" s="15"/>
      <c r="E103" s="42"/>
      <c r="F103" s="42"/>
      <c r="G103" s="43"/>
      <c r="H103" s="43"/>
      <c r="I103" s="17">
        <v>0</v>
      </c>
    </row>
    <row r="104" spans="1:9" ht="15.75" customHeight="1">
      <c r="A104" s="54"/>
      <c r="B104" s="46" t="s">
        <v>152</v>
      </c>
      <c r="C104" s="34"/>
      <c r="D104" s="34"/>
      <c r="E104" s="34"/>
      <c r="F104" s="34"/>
      <c r="G104" s="34"/>
      <c r="H104" s="34"/>
      <c r="I104" s="44">
        <f>I81+I102</f>
        <v>100223.5844146</v>
      </c>
    </row>
    <row r="105" spans="1:9" ht="15.75">
      <c r="A105" s="181" t="s">
        <v>231</v>
      </c>
      <c r="B105" s="181"/>
      <c r="C105" s="181"/>
      <c r="D105" s="181"/>
      <c r="E105" s="181"/>
      <c r="F105" s="181"/>
      <c r="G105" s="181"/>
      <c r="H105" s="181"/>
      <c r="I105" s="181"/>
    </row>
    <row r="106" spans="1:9" ht="15.75">
      <c r="A106" s="61"/>
      <c r="B106" s="182" t="s">
        <v>232</v>
      </c>
      <c r="C106" s="182"/>
      <c r="D106" s="182"/>
      <c r="E106" s="182"/>
      <c r="F106" s="182"/>
      <c r="G106" s="182"/>
      <c r="H106" s="80"/>
      <c r="I106" s="3"/>
    </row>
    <row r="107" spans="1:9">
      <c r="A107" s="74"/>
      <c r="B107" s="180" t="s">
        <v>6</v>
      </c>
      <c r="C107" s="180"/>
      <c r="D107" s="180"/>
      <c r="E107" s="180"/>
      <c r="F107" s="180"/>
      <c r="G107" s="180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83" t="s">
        <v>7</v>
      </c>
      <c r="B109" s="183"/>
      <c r="C109" s="183"/>
      <c r="D109" s="183"/>
      <c r="E109" s="183"/>
      <c r="F109" s="183"/>
      <c r="G109" s="183"/>
      <c r="H109" s="183"/>
      <c r="I109" s="183"/>
    </row>
    <row r="110" spans="1:9" ht="15.75">
      <c r="A110" s="183" t="s">
        <v>8</v>
      </c>
      <c r="B110" s="183"/>
      <c r="C110" s="183"/>
      <c r="D110" s="183"/>
      <c r="E110" s="183"/>
      <c r="F110" s="183"/>
      <c r="G110" s="183"/>
      <c r="H110" s="183"/>
      <c r="I110" s="183"/>
    </row>
    <row r="111" spans="1:9" ht="15.75">
      <c r="A111" s="177" t="s">
        <v>59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15.75">
      <c r="A112" s="11"/>
    </row>
    <row r="113" spans="1:9" ht="15.75">
      <c r="A113" s="178" t="s">
        <v>9</v>
      </c>
      <c r="B113" s="178"/>
      <c r="C113" s="178"/>
      <c r="D113" s="178"/>
      <c r="E113" s="178"/>
      <c r="F113" s="178"/>
      <c r="G113" s="178"/>
      <c r="H113" s="178"/>
      <c r="I113" s="178"/>
    </row>
    <row r="114" spans="1:9" ht="15.75">
      <c r="A114" s="4"/>
    </row>
    <row r="115" spans="1:9" ht="15.75">
      <c r="B115" s="72" t="s">
        <v>10</v>
      </c>
      <c r="C115" s="179" t="s">
        <v>86</v>
      </c>
      <c r="D115" s="179"/>
      <c r="E115" s="179"/>
      <c r="F115" s="78"/>
      <c r="I115" s="73"/>
    </row>
    <row r="116" spans="1:9">
      <c r="A116" s="74"/>
      <c r="C116" s="180" t="s">
        <v>11</v>
      </c>
      <c r="D116" s="180"/>
      <c r="E116" s="180"/>
      <c r="F116" s="24"/>
      <c r="I116" s="71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72" t="s">
        <v>13</v>
      </c>
      <c r="C118" s="174"/>
      <c r="D118" s="174"/>
      <c r="E118" s="174"/>
      <c r="F118" s="79"/>
      <c r="I118" s="73"/>
    </row>
    <row r="119" spans="1:9">
      <c r="A119" s="74"/>
      <c r="C119" s="175" t="s">
        <v>11</v>
      </c>
      <c r="D119" s="175"/>
      <c r="E119" s="175"/>
      <c r="F119" s="74"/>
      <c r="I119" s="71" t="s">
        <v>12</v>
      </c>
    </row>
    <row r="120" spans="1:9" ht="15.75">
      <c r="A120" s="4" t="s">
        <v>14</v>
      </c>
    </row>
    <row r="121" spans="1:9">
      <c r="A121" s="176" t="s">
        <v>15</v>
      </c>
      <c r="B121" s="176"/>
      <c r="C121" s="176"/>
      <c r="D121" s="176"/>
      <c r="E121" s="176"/>
      <c r="F121" s="176"/>
      <c r="G121" s="176"/>
      <c r="H121" s="176"/>
      <c r="I121" s="176"/>
    </row>
    <row r="122" spans="1:9" ht="45" customHeight="1">
      <c r="A122" s="173" t="s">
        <v>16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30" customHeight="1">
      <c r="A123" s="173" t="s">
        <v>17</v>
      </c>
      <c r="B123" s="173"/>
      <c r="C123" s="173"/>
      <c r="D123" s="173"/>
      <c r="E123" s="173"/>
      <c r="F123" s="173"/>
      <c r="G123" s="173"/>
      <c r="H123" s="173"/>
      <c r="I123" s="173"/>
    </row>
    <row r="124" spans="1:9" ht="30" customHeight="1">
      <c r="A124" s="173" t="s">
        <v>21</v>
      </c>
      <c r="B124" s="173"/>
      <c r="C124" s="173"/>
      <c r="D124" s="173"/>
      <c r="E124" s="173"/>
      <c r="F124" s="173"/>
      <c r="G124" s="173"/>
      <c r="H124" s="173"/>
      <c r="I124" s="173"/>
    </row>
    <row r="125" spans="1:9" ht="15" customHeight="1">
      <c r="A125" s="173" t="s">
        <v>20</v>
      </c>
      <c r="B125" s="173"/>
      <c r="C125" s="173"/>
      <c r="D125" s="173"/>
      <c r="E125" s="173"/>
      <c r="F125" s="173"/>
      <c r="G125" s="173"/>
      <c r="H125" s="173"/>
      <c r="I125" s="173"/>
    </row>
  </sheetData>
  <autoFilter ref="I12:I59"/>
  <mergeCells count="29">
    <mergeCell ref="A14:I14"/>
    <mergeCell ref="A15:I15"/>
    <mergeCell ref="A29:I29"/>
    <mergeCell ref="A51:I51"/>
    <mergeCell ref="A3:I3"/>
    <mergeCell ref="A4:I4"/>
    <mergeCell ref="A5:I5"/>
    <mergeCell ref="A8:I8"/>
    <mergeCell ref="A10:I10"/>
    <mergeCell ref="A47:I47"/>
    <mergeCell ref="R64:U64"/>
    <mergeCell ref="C119:E119"/>
    <mergeCell ref="A82:I82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78:I78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topLeftCell="A83" workbookViewId="0">
      <selection activeCell="B91" sqref="B91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164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194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43251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F19*G19</f>
        <v>2123.5967999999998</v>
      </c>
      <c r="J19" s="22"/>
      <c r="K19" s="8"/>
      <c r="L19" s="8"/>
      <c r="M19" s="8"/>
    </row>
    <row r="20" spans="1:13" ht="15.75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12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13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14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15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17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customHeight="1">
      <c r="A47" s="40">
        <v>18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customHeight="1">
      <c r="A48" s="40">
        <v>19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customHeight="1">
      <c r="A49" s="40">
        <v>20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customHeight="1">
      <c r="A50" s="40">
        <v>21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22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14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23</v>
      </c>
      <c r="B63" s="93" t="s">
        <v>91</v>
      </c>
      <c r="C63" s="94" t="s">
        <v>26</v>
      </c>
      <c r="D63" s="93"/>
      <c r="E63" s="95">
        <v>270</v>
      </c>
      <c r="F63" s="96">
        <f>E63*12</f>
        <v>3240</v>
      </c>
      <c r="G63" s="97">
        <v>1.2</v>
      </c>
      <c r="H63" s="98">
        <f>F63*G63</f>
        <v>3888</v>
      </c>
      <c r="I63" s="13">
        <f>2400/12*G63</f>
        <v>240</v>
      </c>
      <c r="J63" s="23"/>
      <c r="L63" s="19"/>
      <c r="M63" s="20"/>
      <c r="N63" s="21"/>
    </row>
    <row r="64" spans="1:14" ht="15.75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24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</f>
        <v>222.4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15.75" customHeight="1">
      <c r="A67" s="29">
        <v>24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15.75" customHeight="1">
      <c r="A68" s="29">
        <v>25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customHeight="1">
      <c r="A69" s="29">
        <v>26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customHeight="1">
      <c r="A70" s="29">
        <v>27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29">
        <v>28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15.75" hidden="1" customHeight="1">
      <c r="A74" s="29">
        <v>19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5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29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30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I85+I84+I71+I70+I69+I68+I67+I63+I51+I50+I49+I48+I47+I34+I33+I32+I31+I28+I27+I26+I25+I24+I23+I22+I21+I20+I19+I18+I17+I16</f>
        <v>181389.48879812224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31</v>
      </c>
      <c r="B88" s="66" t="s">
        <v>170</v>
      </c>
      <c r="C88" s="67" t="s">
        <v>117</v>
      </c>
      <c r="D88" s="64"/>
      <c r="E88" s="36"/>
      <c r="F88" s="36">
        <f>160/3</f>
        <v>53.333333333333336</v>
      </c>
      <c r="G88" s="36">
        <v>197.48</v>
      </c>
      <c r="H88" s="102">
        <f t="shared" ref="H88" si="12">G88*F88/1000</f>
        <v>10.532266666666667</v>
      </c>
      <c r="I88" s="13">
        <f>G88*1</f>
        <v>197.48</v>
      </c>
    </row>
    <row r="89" spans="1:9" ht="30.75" customHeight="1">
      <c r="A89" s="29">
        <v>32</v>
      </c>
      <c r="B89" s="55" t="s">
        <v>140</v>
      </c>
      <c r="C89" s="65" t="s">
        <v>37</v>
      </c>
      <c r="D89" s="64"/>
      <c r="E89" s="36"/>
      <c r="F89" s="36"/>
      <c r="G89" s="36">
        <v>3724.37</v>
      </c>
      <c r="H89" s="102"/>
      <c r="I89" s="13">
        <f>G89*0.01</f>
        <v>37.243699999999997</v>
      </c>
    </row>
    <row r="90" spans="1:9" ht="15.75" customHeight="1">
      <c r="A90" s="29">
        <v>33</v>
      </c>
      <c r="B90" s="66" t="s">
        <v>151</v>
      </c>
      <c r="C90" s="67" t="s">
        <v>81</v>
      </c>
      <c r="D90" s="64"/>
      <c r="E90" s="36"/>
      <c r="F90" s="36"/>
      <c r="G90" s="36">
        <v>203.68</v>
      </c>
      <c r="H90" s="102"/>
      <c r="I90" s="13">
        <f>G90*1</f>
        <v>203.68</v>
      </c>
    </row>
    <row r="91" spans="1:9" ht="15.75" customHeight="1">
      <c r="A91" s="29">
        <v>34</v>
      </c>
      <c r="B91" s="66" t="s">
        <v>207</v>
      </c>
      <c r="C91" s="67" t="s">
        <v>208</v>
      </c>
      <c r="D91" s="64"/>
      <c r="E91" s="36"/>
      <c r="F91" s="36"/>
      <c r="G91" s="36">
        <v>342.1</v>
      </c>
      <c r="H91" s="102"/>
      <c r="I91" s="13">
        <f>G91*5</f>
        <v>1710.5</v>
      </c>
    </row>
    <row r="92" spans="1:9" ht="15.75" customHeight="1">
      <c r="A92" s="29"/>
      <c r="B92" s="45" t="s">
        <v>50</v>
      </c>
      <c r="C92" s="41"/>
      <c r="D92" s="53"/>
      <c r="E92" s="41">
        <v>1</v>
      </c>
      <c r="F92" s="41"/>
      <c r="G92" s="41"/>
      <c r="H92" s="41"/>
      <c r="I92" s="31">
        <f>SUM(I88:I91)</f>
        <v>2148.9036999999998</v>
      </c>
    </row>
    <row r="93" spans="1:9" ht="15.75" customHeight="1">
      <c r="A93" s="29"/>
      <c r="B93" s="51" t="s">
        <v>77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4"/>
      <c r="B94" s="46" t="s">
        <v>152</v>
      </c>
      <c r="C94" s="34"/>
      <c r="D94" s="34"/>
      <c r="E94" s="34"/>
      <c r="F94" s="34"/>
      <c r="G94" s="34"/>
      <c r="H94" s="34"/>
      <c r="I94" s="44">
        <f>I86+I92</f>
        <v>183538.39249812224</v>
      </c>
    </row>
    <row r="95" spans="1:9" ht="15.75">
      <c r="A95" s="181" t="s">
        <v>209</v>
      </c>
      <c r="B95" s="181"/>
      <c r="C95" s="181"/>
      <c r="D95" s="181"/>
      <c r="E95" s="181"/>
      <c r="F95" s="181"/>
      <c r="G95" s="181"/>
      <c r="H95" s="181"/>
      <c r="I95" s="181"/>
    </row>
    <row r="96" spans="1:9" ht="15.75">
      <c r="A96" s="61"/>
      <c r="B96" s="182" t="s">
        <v>210</v>
      </c>
      <c r="C96" s="182"/>
      <c r="D96" s="182"/>
      <c r="E96" s="182"/>
      <c r="F96" s="182"/>
      <c r="G96" s="182"/>
      <c r="H96" s="80"/>
      <c r="I96" s="3"/>
    </row>
    <row r="97" spans="1:9">
      <c r="A97" s="74"/>
      <c r="B97" s="180" t="s">
        <v>6</v>
      </c>
      <c r="C97" s="180"/>
      <c r="D97" s="180"/>
      <c r="E97" s="180"/>
      <c r="F97" s="180"/>
      <c r="G97" s="180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3" t="s">
        <v>7</v>
      </c>
      <c r="B99" s="183"/>
      <c r="C99" s="183"/>
      <c r="D99" s="183"/>
      <c r="E99" s="183"/>
      <c r="F99" s="183"/>
      <c r="G99" s="183"/>
      <c r="H99" s="183"/>
      <c r="I99" s="183"/>
    </row>
    <row r="100" spans="1:9" ht="15.75">
      <c r="A100" s="183" t="s">
        <v>8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>
      <c r="A101" s="177" t="s">
        <v>59</v>
      </c>
      <c r="B101" s="177"/>
      <c r="C101" s="177"/>
      <c r="D101" s="177"/>
      <c r="E101" s="177"/>
      <c r="F101" s="177"/>
      <c r="G101" s="177"/>
      <c r="H101" s="177"/>
      <c r="I101" s="177"/>
    </row>
    <row r="102" spans="1:9" ht="15.75">
      <c r="A102" s="11"/>
    </row>
    <row r="103" spans="1:9" ht="15.75">
      <c r="A103" s="178" t="s">
        <v>9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4"/>
    </row>
    <row r="105" spans="1:9" ht="15.75">
      <c r="B105" s="72" t="s">
        <v>10</v>
      </c>
      <c r="C105" s="179" t="s">
        <v>86</v>
      </c>
      <c r="D105" s="179"/>
      <c r="E105" s="179"/>
      <c r="F105" s="78"/>
      <c r="I105" s="73"/>
    </row>
    <row r="106" spans="1:9">
      <c r="A106" s="74"/>
      <c r="C106" s="180" t="s">
        <v>11</v>
      </c>
      <c r="D106" s="180"/>
      <c r="E106" s="180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2" t="s">
        <v>13</v>
      </c>
      <c r="C108" s="174"/>
      <c r="D108" s="174"/>
      <c r="E108" s="174"/>
      <c r="F108" s="79"/>
      <c r="I108" s="73"/>
    </row>
    <row r="109" spans="1:9">
      <c r="A109" s="74"/>
      <c r="C109" s="175" t="s">
        <v>11</v>
      </c>
      <c r="D109" s="175"/>
      <c r="E109" s="175"/>
      <c r="F109" s="74"/>
      <c r="I109" s="71" t="s">
        <v>12</v>
      </c>
    </row>
    <row r="110" spans="1:9" ht="15.75">
      <c r="A110" s="4" t="s">
        <v>14</v>
      </c>
    </row>
    <row r="111" spans="1:9">
      <c r="A111" s="176" t="s">
        <v>15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45" customHeight="1">
      <c r="A112" s="173" t="s">
        <v>16</v>
      </c>
      <c r="B112" s="173"/>
      <c r="C112" s="173"/>
      <c r="D112" s="173"/>
      <c r="E112" s="173"/>
      <c r="F112" s="173"/>
      <c r="G112" s="173"/>
      <c r="H112" s="173"/>
      <c r="I112" s="173"/>
    </row>
    <row r="113" spans="1:9" ht="30" customHeight="1">
      <c r="A113" s="173" t="s">
        <v>17</v>
      </c>
      <c r="B113" s="173"/>
      <c r="C113" s="173"/>
      <c r="D113" s="173"/>
      <c r="E113" s="173"/>
      <c r="F113" s="173"/>
      <c r="G113" s="173"/>
      <c r="H113" s="173"/>
      <c r="I113" s="173"/>
    </row>
    <row r="114" spans="1:9" ht="30" customHeight="1">
      <c r="A114" s="173" t="s">
        <v>21</v>
      </c>
      <c r="B114" s="173"/>
      <c r="C114" s="173"/>
      <c r="D114" s="173"/>
      <c r="E114" s="173"/>
      <c r="F114" s="173"/>
      <c r="G114" s="173"/>
      <c r="H114" s="173"/>
      <c r="I114" s="173"/>
    </row>
    <row r="115" spans="1:9" ht="15" customHeight="1">
      <c r="A115" s="173" t="s">
        <v>20</v>
      </c>
      <c r="B115" s="173"/>
      <c r="C115" s="173"/>
      <c r="D115" s="173"/>
      <c r="E115" s="173"/>
      <c r="F115" s="173"/>
      <c r="G115" s="173"/>
      <c r="H115" s="173"/>
      <c r="I115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4"/>
  <sheetViews>
    <sheetView topLeftCell="A107" workbookViewId="0">
      <selection activeCell="K105" sqref="K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195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43281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142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18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customHeight="1">
      <c r="A55" s="40">
        <v>9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10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21" customHeight="1">
      <c r="A65" s="40">
        <v>11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G65*1</f>
        <v>222.4</v>
      </c>
    </row>
    <row r="66" spans="1:22" ht="19.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22.5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23.2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0.2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21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2.5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27.75" hidden="1" customHeight="1">
      <c r="A72" s="29">
        <v>11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f>G72*F72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0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26.25" hidden="1" customHeight="1">
      <c r="A74" s="29">
        <v>19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v>0</v>
      </c>
    </row>
    <row r="75" spans="1:22" ht="24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8.75" customHeight="1">
      <c r="A76" s="29">
        <v>12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G76*0.4</f>
        <v>200.64800000000002</v>
      </c>
    </row>
    <row r="77" spans="1:22" ht="27.7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31.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33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35.25" hidden="1" customHeight="1">
      <c r="A80" s="29">
        <v>17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v>0</v>
      </c>
    </row>
    <row r="81" spans="1:9" ht="30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9.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13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14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I85+I84+I76+I65+I63+I55+I34+I32+I31+I28+I27+I18+I17+I16</f>
        <v>73816.117996822228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142">
        <v>15</v>
      </c>
      <c r="B88" s="66" t="s">
        <v>199</v>
      </c>
      <c r="C88" s="67" t="s">
        <v>30</v>
      </c>
      <c r="D88" s="143"/>
      <c r="E88" s="143"/>
      <c r="F88" s="143"/>
      <c r="G88" s="36">
        <v>1158.7</v>
      </c>
      <c r="H88" s="143"/>
      <c r="I88" s="141">
        <f>1.369*G88</f>
        <v>1586.2603000000001</v>
      </c>
    </row>
    <row r="89" spans="1:9" ht="15.75" customHeight="1">
      <c r="A89" s="142">
        <v>16</v>
      </c>
      <c r="B89" s="66" t="s">
        <v>151</v>
      </c>
      <c r="C89" s="67" t="s">
        <v>81</v>
      </c>
      <c r="D89" s="143"/>
      <c r="E89" s="143"/>
      <c r="F89" s="143"/>
      <c r="G89" s="36">
        <v>203.68</v>
      </c>
      <c r="H89" s="143"/>
      <c r="I89" s="141">
        <f>G89*3</f>
        <v>611.04</v>
      </c>
    </row>
    <row r="90" spans="1:9" ht="39" customHeight="1">
      <c r="A90" s="29">
        <v>17</v>
      </c>
      <c r="B90" s="66" t="s">
        <v>198</v>
      </c>
      <c r="C90" s="67" t="s">
        <v>30</v>
      </c>
      <c r="D90" s="64"/>
      <c r="E90" s="36"/>
      <c r="F90" s="36">
        <v>7</v>
      </c>
      <c r="G90" s="36">
        <v>1655.27</v>
      </c>
      <c r="H90" s="102">
        <f t="shared" ref="H90" si="12">G90*F90/1000</f>
        <v>11.586889999999999</v>
      </c>
      <c r="I90" s="13">
        <f>1.3493*G90</f>
        <v>2233.4558109999998</v>
      </c>
    </row>
    <row r="91" spans="1:9" ht="31.5" customHeight="1">
      <c r="A91" s="29">
        <v>18</v>
      </c>
      <c r="B91" s="55" t="s">
        <v>140</v>
      </c>
      <c r="C91" s="65" t="s">
        <v>37</v>
      </c>
      <c r="D91" s="64"/>
      <c r="E91" s="36"/>
      <c r="F91" s="36">
        <v>0.11</v>
      </c>
      <c r="G91" s="36">
        <v>3724.37</v>
      </c>
      <c r="H91" s="102">
        <f>G91*F91/1000</f>
        <v>0.40968070000000001</v>
      </c>
      <c r="I91" s="13">
        <f>G91*0.03</f>
        <v>111.7311</v>
      </c>
    </row>
    <row r="92" spans="1:9" ht="17.25" customHeight="1">
      <c r="A92" s="29">
        <v>19</v>
      </c>
      <c r="B92" s="66" t="s">
        <v>200</v>
      </c>
      <c r="C92" s="67" t="s">
        <v>201</v>
      </c>
      <c r="D92" s="64"/>
      <c r="E92" s="36"/>
      <c r="F92" s="36"/>
      <c r="G92" s="36">
        <v>186.5</v>
      </c>
      <c r="H92" s="102"/>
      <c r="I92" s="13">
        <f>G92*1</f>
        <v>186.5</v>
      </c>
    </row>
    <row r="93" spans="1:9" ht="42" customHeight="1">
      <c r="A93" s="29">
        <v>20</v>
      </c>
      <c r="B93" s="55" t="s">
        <v>78</v>
      </c>
      <c r="C93" s="65" t="s">
        <v>117</v>
      </c>
      <c r="D93" s="51"/>
      <c r="E93" s="36"/>
      <c r="F93" s="36">
        <v>1</v>
      </c>
      <c r="G93" s="36">
        <v>86.69</v>
      </c>
      <c r="H93" s="102">
        <f>G93*F93/1000</f>
        <v>8.6690000000000003E-2</v>
      </c>
      <c r="I93" s="13">
        <f>G93*4</f>
        <v>346.76</v>
      </c>
    </row>
    <row r="94" spans="1:9" ht="18" customHeight="1">
      <c r="A94" s="29">
        <v>21</v>
      </c>
      <c r="B94" s="55" t="s">
        <v>206</v>
      </c>
      <c r="C94" s="65" t="s">
        <v>117</v>
      </c>
      <c r="D94" s="51"/>
      <c r="E94" s="36"/>
      <c r="F94" s="36"/>
      <c r="G94" s="36">
        <v>24.09</v>
      </c>
      <c r="H94" s="102"/>
      <c r="I94" s="13">
        <f>G94*4</f>
        <v>96.36</v>
      </c>
    </row>
    <row r="95" spans="1:9" ht="29.25" customHeight="1">
      <c r="A95" s="29">
        <v>22</v>
      </c>
      <c r="B95" s="66" t="s">
        <v>196</v>
      </c>
      <c r="C95" s="67" t="s">
        <v>197</v>
      </c>
      <c r="D95" s="64"/>
      <c r="E95" s="36"/>
      <c r="F95" s="36">
        <v>4</v>
      </c>
      <c r="G95" s="36">
        <v>754.22</v>
      </c>
      <c r="H95" s="102">
        <f>G95*F95/1000</f>
        <v>3.01688</v>
      </c>
      <c r="I95" s="13">
        <f>G95*1</f>
        <v>754.22</v>
      </c>
    </row>
    <row r="96" spans="1:9" ht="15" customHeight="1">
      <c r="A96" s="29">
        <v>23</v>
      </c>
      <c r="B96" s="66" t="s">
        <v>178</v>
      </c>
      <c r="C96" s="67" t="s">
        <v>175</v>
      </c>
      <c r="D96" s="38"/>
      <c r="E96" s="36"/>
      <c r="F96" s="36"/>
      <c r="G96" s="36">
        <v>134.12</v>
      </c>
      <c r="H96" s="102"/>
      <c r="I96" s="13">
        <f>G96*27</f>
        <v>3621.2400000000002</v>
      </c>
    </row>
    <row r="97" spans="1:9" ht="15" customHeight="1">
      <c r="A97" s="29">
        <v>24</v>
      </c>
      <c r="B97" s="66" t="s">
        <v>204</v>
      </c>
      <c r="C97" s="67" t="s">
        <v>205</v>
      </c>
      <c r="D97" s="38"/>
      <c r="E97" s="36"/>
      <c r="F97" s="36"/>
      <c r="G97" s="36">
        <v>208</v>
      </c>
      <c r="H97" s="102"/>
      <c r="I97" s="13">
        <v>208</v>
      </c>
    </row>
    <row r="98" spans="1:9" ht="29.25" customHeight="1">
      <c r="A98" s="29">
        <v>25</v>
      </c>
      <c r="B98" s="66" t="s">
        <v>202</v>
      </c>
      <c r="C98" s="67" t="s">
        <v>203</v>
      </c>
      <c r="D98" s="64"/>
      <c r="E98" s="36"/>
      <c r="F98" s="36"/>
      <c r="G98" s="36">
        <v>24829.08</v>
      </c>
      <c r="H98" s="102"/>
      <c r="I98" s="13">
        <f>G98*0.01</f>
        <v>248.29080000000002</v>
      </c>
    </row>
    <row r="99" spans="1:9" ht="15.75" customHeight="1">
      <c r="A99" s="29">
        <v>26</v>
      </c>
      <c r="B99" s="66" t="s">
        <v>170</v>
      </c>
      <c r="C99" s="67" t="s">
        <v>117</v>
      </c>
      <c r="D99" s="64"/>
      <c r="E99" s="36"/>
      <c r="F99" s="36">
        <v>1</v>
      </c>
      <c r="G99" s="36">
        <v>197.48</v>
      </c>
      <c r="H99" s="102">
        <f>G99*F99/1000</f>
        <v>0.19747999999999999</v>
      </c>
      <c r="I99" s="13">
        <f>G99*2</f>
        <v>394.96</v>
      </c>
    </row>
    <row r="100" spans="1:9" ht="15.75" customHeight="1">
      <c r="A100" s="29">
        <v>27</v>
      </c>
      <c r="B100" s="66" t="s">
        <v>207</v>
      </c>
      <c r="C100" s="67" t="s">
        <v>208</v>
      </c>
      <c r="D100" s="64"/>
      <c r="E100" s="36"/>
      <c r="F100" s="36"/>
      <c r="G100" s="36">
        <v>342.1</v>
      </c>
      <c r="H100" s="102"/>
      <c r="I100" s="13">
        <f>G100*2</f>
        <v>684.2</v>
      </c>
    </row>
    <row r="101" spans="1:9" ht="15.75" customHeight="1">
      <c r="A101" s="29"/>
      <c r="B101" s="45" t="s">
        <v>50</v>
      </c>
      <c r="C101" s="41"/>
      <c r="D101" s="53"/>
      <c r="E101" s="41">
        <v>1</v>
      </c>
      <c r="F101" s="41"/>
      <c r="G101" s="41"/>
      <c r="H101" s="41"/>
      <c r="I101" s="31">
        <f>SUM(I88:I100)</f>
        <v>11083.018011</v>
      </c>
    </row>
    <row r="102" spans="1:9" ht="15.75" customHeight="1">
      <c r="A102" s="29"/>
      <c r="B102" s="51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 ht="15.75" customHeight="1">
      <c r="A103" s="54"/>
      <c r="B103" s="46" t="s">
        <v>152</v>
      </c>
      <c r="C103" s="34"/>
      <c r="D103" s="34"/>
      <c r="E103" s="34"/>
      <c r="F103" s="34"/>
      <c r="G103" s="34"/>
      <c r="H103" s="34"/>
      <c r="I103" s="44">
        <f>I86+I101</f>
        <v>84899.136007822235</v>
      </c>
    </row>
    <row r="104" spans="1:9" ht="15.75">
      <c r="A104" s="181" t="s">
        <v>220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5.75">
      <c r="A105" s="61"/>
      <c r="B105" s="182" t="s">
        <v>221</v>
      </c>
      <c r="C105" s="182"/>
      <c r="D105" s="182"/>
      <c r="E105" s="182"/>
      <c r="F105" s="182"/>
      <c r="G105" s="182"/>
      <c r="H105" s="80"/>
      <c r="I105" s="3"/>
    </row>
    <row r="106" spans="1:9">
      <c r="A106" s="74"/>
      <c r="B106" s="180" t="s">
        <v>6</v>
      </c>
      <c r="C106" s="180"/>
      <c r="D106" s="180"/>
      <c r="E106" s="180"/>
      <c r="F106" s="180"/>
      <c r="G106" s="180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83" t="s">
        <v>7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83" t="s">
        <v>8</v>
      </c>
      <c r="B109" s="183"/>
      <c r="C109" s="183"/>
      <c r="D109" s="183"/>
      <c r="E109" s="183"/>
      <c r="F109" s="183"/>
      <c r="G109" s="183"/>
      <c r="H109" s="183"/>
      <c r="I109" s="183"/>
    </row>
    <row r="110" spans="1:9" ht="15.75">
      <c r="A110" s="177" t="s">
        <v>59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.75">
      <c r="A111" s="11"/>
    </row>
    <row r="112" spans="1:9" ht="15.75">
      <c r="A112" s="178" t="s">
        <v>9</v>
      </c>
      <c r="B112" s="178"/>
      <c r="C112" s="178"/>
      <c r="D112" s="178"/>
      <c r="E112" s="178"/>
      <c r="F112" s="178"/>
      <c r="G112" s="178"/>
      <c r="H112" s="178"/>
      <c r="I112" s="178"/>
    </row>
    <row r="113" spans="1:9" ht="15.75">
      <c r="A113" s="4"/>
    </row>
    <row r="114" spans="1:9" ht="15.75">
      <c r="B114" s="72" t="s">
        <v>10</v>
      </c>
      <c r="C114" s="179" t="s">
        <v>86</v>
      </c>
      <c r="D114" s="179"/>
      <c r="E114" s="179"/>
      <c r="F114" s="78"/>
      <c r="I114" s="73"/>
    </row>
    <row r="115" spans="1:9">
      <c r="A115" s="74"/>
      <c r="C115" s="180" t="s">
        <v>11</v>
      </c>
      <c r="D115" s="180"/>
      <c r="E115" s="180"/>
      <c r="F115" s="24"/>
      <c r="I115" s="71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72" t="s">
        <v>13</v>
      </c>
      <c r="C117" s="174"/>
      <c r="D117" s="174"/>
      <c r="E117" s="174"/>
      <c r="F117" s="79"/>
      <c r="I117" s="73"/>
    </row>
    <row r="118" spans="1:9">
      <c r="A118" s="74"/>
      <c r="C118" s="175" t="s">
        <v>11</v>
      </c>
      <c r="D118" s="175"/>
      <c r="E118" s="175"/>
      <c r="F118" s="74"/>
      <c r="I118" s="71" t="s">
        <v>12</v>
      </c>
    </row>
    <row r="119" spans="1:9" ht="15.75">
      <c r="A119" s="4" t="s">
        <v>14</v>
      </c>
    </row>
    <row r="120" spans="1:9">
      <c r="A120" s="176" t="s">
        <v>15</v>
      </c>
      <c r="B120" s="176"/>
      <c r="C120" s="176"/>
      <c r="D120" s="176"/>
      <c r="E120" s="176"/>
      <c r="F120" s="176"/>
      <c r="G120" s="176"/>
      <c r="H120" s="176"/>
      <c r="I120" s="176"/>
    </row>
    <row r="121" spans="1:9" ht="45" customHeight="1">
      <c r="A121" s="173" t="s">
        <v>16</v>
      </c>
      <c r="B121" s="173"/>
      <c r="C121" s="173"/>
      <c r="D121" s="173"/>
      <c r="E121" s="173"/>
      <c r="F121" s="173"/>
      <c r="G121" s="173"/>
      <c r="H121" s="173"/>
      <c r="I121" s="173"/>
    </row>
    <row r="122" spans="1:9" ht="30" customHeight="1">
      <c r="A122" s="173" t="s">
        <v>17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30" customHeight="1">
      <c r="A123" s="173" t="s">
        <v>21</v>
      </c>
      <c r="B123" s="173"/>
      <c r="C123" s="173"/>
      <c r="D123" s="173"/>
      <c r="E123" s="173"/>
      <c r="F123" s="173"/>
      <c r="G123" s="173"/>
      <c r="H123" s="173"/>
      <c r="I123" s="173"/>
    </row>
    <row r="124" spans="1:9" ht="15" customHeight="1">
      <c r="A124" s="173" t="s">
        <v>20</v>
      </c>
      <c r="B124" s="173"/>
      <c r="C124" s="173"/>
      <c r="D124" s="173"/>
      <c r="E124" s="173"/>
      <c r="F124" s="173"/>
      <c r="G124" s="173"/>
      <c r="H124" s="173"/>
      <c r="I124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8:E118"/>
    <mergeCell ref="A87:I87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3:I83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4"/>
  <sheetViews>
    <sheetView topLeftCell="A15" workbookViewId="0">
      <selection activeCell="B105" sqref="B105: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166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213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43312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212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18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159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9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10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G65*3</f>
        <v>667.2</v>
      </c>
    </row>
    <row r="66" spans="1:22" ht="18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22.5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19.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6.2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24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4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21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15.75" hidden="1" customHeight="1">
      <c r="A74" s="29">
        <v>11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f>G74</f>
        <v>27865.200000000001</v>
      </c>
    </row>
    <row r="75" spans="1:22" ht="1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22.5" customHeight="1">
      <c r="A76" s="29">
        <v>11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G76*0.2</f>
        <v>100.32400000000001</v>
      </c>
    </row>
    <row r="77" spans="1:22" ht="20.25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8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1.7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20.25" hidden="1" customHeight="1">
      <c r="A80" s="29">
        <v>17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v>0</v>
      </c>
    </row>
    <row r="81" spans="1:9" ht="20.2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6.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160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12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13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I85+I84+I76+I65+I63+I34+I32+I31+I28+I27+I18+I17+I16</f>
        <v>58531.133996822209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14</v>
      </c>
      <c r="B88" s="66" t="s">
        <v>178</v>
      </c>
      <c r="C88" s="67" t="s">
        <v>175</v>
      </c>
      <c r="D88" s="64"/>
      <c r="E88" s="36"/>
      <c r="F88" s="36">
        <v>7</v>
      </c>
      <c r="G88" s="36">
        <v>134.12</v>
      </c>
      <c r="H88" s="102">
        <f t="shared" ref="H88:H89" si="12">G88*F88/1000</f>
        <v>0.93884000000000001</v>
      </c>
      <c r="I88" s="13">
        <f>G88*7</f>
        <v>938.84</v>
      </c>
    </row>
    <row r="89" spans="1:9" ht="31.5" customHeight="1">
      <c r="A89" s="29">
        <v>15</v>
      </c>
      <c r="B89" s="55" t="s">
        <v>162</v>
      </c>
      <c r="C89" s="65" t="s">
        <v>163</v>
      </c>
      <c r="D89" s="51"/>
      <c r="E89" s="13"/>
      <c r="F89" s="13">
        <v>7</v>
      </c>
      <c r="G89" s="36">
        <v>613.44000000000005</v>
      </c>
      <c r="H89" s="100">
        <f t="shared" si="12"/>
        <v>4.2940800000000001</v>
      </c>
      <c r="I89" s="13">
        <f>G89*2</f>
        <v>1226.8800000000001</v>
      </c>
    </row>
    <row r="90" spans="1:9" ht="15.75" customHeight="1">
      <c r="A90" s="29">
        <v>16</v>
      </c>
      <c r="B90" s="144" t="s">
        <v>214</v>
      </c>
      <c r="C90" s="145" t="s">
        <v>87</v>
      </c>
      <c r="D90" s="51"/>
      <c r="E90" s="13"/>
      <c r="F90" s="13">
        <f>160/3</f>
        <v>53.333333333333336</v>
      </c>
      <c r="G90" s="36">
        <v>1165.73</v>
      </c>
      <c r="H90" s="102">
        <f>G90*F90/1000</f>
        <v>62.172266666666673</v>
      </c>
      <c r="I90" s="13">
        <f>G90*0.167</f>
        <v>194.67691000000002</v>
      </c>
    </row>
    <row r="91" spans="1:9" ht="16.5" customHeight="1">
      <c r="A91" s="29">
        <v>17</v>
      </c>
      <c r="B91" s="66" t="s">
        <v>215</v>
      </c>
      <c r="C91" s="67" t="s">
        <v>117</v>
      </c>
      <c r="D91" s="64"/>
      <c r="E91" s="36"/>
      <c r="F91" s="36">
        <v>0.11</v>
      </c>
      <c r="G91" s="36">
        <v>89.59</v>
      </c>
      <c r="H91" s="102">
        <f>G91*F91/1000</f>
        <v>9.8549000000000015E-3</v>
      </c>
      <c r="I91" s="13">
        <f>G91*1</f>
        <v>89.59</v>
      </c>
    </row>
    <row r="92" spans="1:9" ht="16.5" customHeight="1">
      <c r="A92" s="29">
        <v>18</v>
      </c>
      <c r="B92" s="66" t="s">
        <v>170</v>
      </c>
      <c r="C92" s="67" t="s">
        <v>117</v>
      </c>
      <c r="D92" s="51"/>
      <c r="E92" s="13"/>
      <c r="F92" s="13">
        <v>15</v>
      </c>
      <c r="G92" s="36">
        <v>197.48</v>
      </c>
      <c r="H92" s="100">
        <f t="shared" ref="H92:H100" si="13">G92*F92/1000</f>
        <v>2.9621999999999997</v>
      </c>
      <c r="I92" s="13">
        <f>G92*1</f>
        <v>197.48</v>
      </c>
    </row>
    <row r="93" spans="1:9" ht="15.75" customHeight="1">
      <c r="A93" s="29">
        <v>19</v>
      </c>
      <c r="B93" s="66" t="s">
        <v>217</v>
      </c>
      <c r="C93" s="67" t="s">
        <v>216</v>
      </c>
      <c r="D93" s="51"/>
      <c r="E93" s="13"/>
      <c r="F93" s="13">
        <v>10</v>
      </c>
      <c r="G93" s="127">
        <v>580.71</v>
      </c>
      <c r="H93" s="100">
        <f t="shared" si="13"/>
        <v>5.8071000000000002</v>
      </c>
      <c r="I93" s="13">
        <f>G93*0.01</f>
        <v>5.8071000000000002</v>
      </c>
    </row>
    <row r="94" spans="1:9" ht="31.5" hidden="1" customHeight="1">
      <c r="A94" s="29">
        <v>20</v>
      </c>
      <c r="B94" s="55"/>
      <c r="C94" s="65"/>
      <c r="D94" s="51"/>
      <c r="E94" s="13"/>
      <c r="F94" s="13">
        <v>6</v>
      </c>
      <c r="G94" s="13"/>
      <c r="H94" s="100">
        <f t="shared" si="13"/>
        <v>0</v>
      </c>
      <c r="I94" s="13"/>
    </row>
    <row r="95" spans="1:9" ht="15.75" hidden="1" customHeight="1">
      <c r="A95" s="29">
        <v>21</v>
      </c>
      <c r="B95" s="55"/>
      <c r="C95" s="65"/>
      <c r="D95" s="51"/>
      <c r="E95" s="13"/>
      <c r="F95" s="13">
        <v>1</v>
      </c>
      <c r="G95" s="13"/>
      <c r="H95" s="100">
        <f t="shared" si="13"/>
        <v>0</v>
      </c>
      <c r="I95" s="13"/>
    </row>
    <row r="96" spans="1:9" ht="15.75" hidden="1" customHeight="1">
      <c r="A96" s="29">
        <v>22</v>
      </c>
      <c r="B96" s="55"/>
      <c r="C96" s="65"/>
      <c r="D96" s="99"/>
      <c r="E96" s="18"/>
      <c r="F96" s="13">
        <v>4</v>
      </c>
      <c r="G96" s="13"/>
      <c r="H96" s="100">
        <f t="shared" si="13"/>
        <v>0</v>
      </c>
      <c r="I96" s="13"/>
    </row>
    <row r="97" spans="1:9" ht="15.75" hidden="1" customHeight="1">
      <c r="A97" s="29">
        <v>23</v>
      </c>
      <c r="B97" s="55"/>
      <c r="C97" s="65"/>
      <c r="D97" s="51"/>
      <c r="E97" s="13"/>
      <c r="F97" s="13">
        <v>1</v>
      </c>
      <c r="G97" s="13"/>
      <c r="H97" s="100">
        <f t="shared" si="13"/>
        <v>0</v>
      </c>
      <c r="I97" s="13"/>
    </row>
    <row r="98" spans="1:9" ht="15.75" hidden="1" customHeight="1">
      <c r="A98" s="29">
        <v>24</v>
      </c>
      <c r="B98" s="55"/>
      <c r="C98" s="65"/>
      <c r="D98" s="51"/>
      <c r="E98" s="13"/>
      <c r="F98" s="13">
        <v>2</v>
      </c>
      <c r="G98" s="13"/>
      <c r="H98" s="100">
        <f t="shared" si="13"/>
        <v>0</v>
      </c>
      <c r="I98" s="13"/>
    </row>
    <row r="99" spans="1:9" ht="15.75" hidden="1" customHeight="1">
      <c r="A99" s="29">
        <v>25</v>
      </c>
      <c r="B99" s="55"/>
      <c r="C99" s="65"/>
      <c r="D99" s="51"/>
      <c r="E99" s="13"/>
      <c r="F99" s="13">
        <v>1</v>
      </c>
      <c r="G99" s="13"/>
      <c r="H99" s="100">
        <f t="shared" si="13"/>
        <v>0</v>
      </c>
      <c r="I99" s="13"/>
    </row>
    <row r="100" spans="1:9" ht="31.5" hidden="1" customHeight="1">
      <c r="A100" s="29">
        <v>26</v>
      </c>
      <c r="B100" s="55"/>
      <c r="C100" s="65"/>
      <c r="D100" s="51"/>
      <c r="E100" s="13"/>
      <c r="F100" s="13">
        <v>1</v>
      </c>
      <c r="G100" s="13"/>
      <c r="H100" s="100">
        <f t="shared" si="13"/>
        <v>0</v>
      </c>
      <c r="I100" s="13"/>
    </row>
    <row r="101" spans="1:9" ht="15.75" customHeight="1">
      <c r="A101" s="29"/>
      <c r="B101" s="45" t="s">
        <v>50</v>
      </c>
      <c r="C101" s="41"/>
      <c r="D101" s="53"/>
      <c r="E101" s="41">
        <v>1</v>
      </c>
      <c r="F101" s="41"/>
      <c r="G101" s="41"/>
      <c r="H101" s="41"/>
      <c r="I101" s="31">
        <f>I93+I92+I91+I90+I89+I88</f>
        <v>2653.2740100000001</v>
      </c>
    </row>
    <row r="102" spans="1:9" ht="15.75" customHeight="1">
      <c r="A102" s="29"/>
      <c r="B102" s="51" t="s">
        <v>77</v>
      </c>
      <c r="C102" s="15"/>
      <c r="D102" s="15"/>
      <c r="E102" s="42"/>
      <c r="F102" s="42"/>
      <c r="G102" s="43"/>
      <c r="H102" s="43"/>
      <c r="I102" s="17">
        <v>0</v>
      </c>
    </row>
    <row r="103" spans="1:9" ht="15.75" customHeight="1">
      <c r="A103" s="54"/>
      <c r="B103" s="46" t="s">
        <v>152</v>
      </c>
      <c r="C103" s="34"/>
      <c r="D103" s="34"/>
      <c r="E103" s="34"/>
      <c r="F103" s="34"/>
      <c r="G103" s="34"/>
      <c r="H103" s="34"/>
      <c r="I103" s="44">
        <f>I86+I101</f>
        <v>61184.40800682221</v>
      </c>
    </row>
    <row r="104" spans="1:9" ht="15.75">
      <c r="A104" s="181" t="s">
        <v>218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5.75">
      <c r="A105" s="61"/>
      <c r="B105" s="182" t="s">
        <v>219</v>
      </c>
      <c r="C105" s="182"/>
      <c r="D105" s="182"/>
      <c r="E105" s="182"/>
      <c r="F105" s="182"/>
      <c r="G105" s="182"/>
      <c r="H105" s="80"/>
      <c r="I105" s="3"/>
    </row>
    <row r="106" spans="1:9">
      <c r="A106" s="74"/>
      <c r="B106" s="180" t="s">
        <v>6</v>
      </c>
      <c r="C106" s="180"/>
      <c r="D106" s="180"/>
      <c r="E106" s="180"/>
      <c r="F106" s="180"/>
      <c r="G106" s="180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83" t="s">
        <v>7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83" t="s">
        <v>8</v>
      </c>
      <c r="B109" s="183"/>
      <c r="C109" s="183"/>
      <c r="D109" s="183"/>
      <c r="E109" s="183"/>
      <c r="F109" s="183"/>
      <c r="G109" s="183"/>
      <c r="H109" s="183"/>
      <c r="I109" s="183"/>
    </row>
    <row r="110" spans="1:9" ht="15.75">
      <c r="A110" s="177" t="s">
        <v>59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.75">
      <c r="A111" s="11"/>
    </row>
    <row r="112" spans="1:9" ht="15.75">
      <c r="A112" s="178" t="s">
        <v>9</v>
      </c>
      <c r="B112" s="178"/>
      <c r="C112" s="178"/>
      <c r="D112" s="178"/>
      <c r="E112" s="178"/>
      <c r="F112" s="178"/>
      <c r="G112" s="178"/>
      <c r="H112" s="178"/>
      <c r="I112" s="178"/>
    </row>
    <row r="113" spans="1:9" ht="15.75">
      <c r="A113" s="4"/>
    </row>
    <row r="114" spans="1:9" ht="15.75">
      <c r="B114" s="72" t="s">
        <v>10</v>
      </c>
      <c r="C114" s="179" t="s">
        <v>86</v>
      </c>
      <c r="D114" s="179"/>
      <c r="E114" s="179"/>
      <c r="F114" s="78"/>
      <c r="I114" s="73"/>
    </row>
    <row r="115" spans="1:9">
      <c r="A115" s="74"/>
      <c r="C115" s="180" t="s">
        <v>11</v>
      </c>
      <c r="D115" s="180"/>
      <c r="E115" s="180"/>
      <c r="F115" s="24"/>
      <c r="I115" s="71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72" t="s">
        <v>13</v>
      </c>
      <c r="C117" s="174"/>
      <c r="D117" s="174"/>
      <c r="E117" s="174"/>
      <c r="F117" s="79"/>
      <c r="I117" s="73"/>
    </row>
    <row r="118" spans="1:9">
      <c r="A118" s="74"/>
      <c r="C118" s="175" t="s">
        <v>11</v>
      </c>
      <c r="D118" s="175"/>
      <c r="E118" s="175"/>
      <c r="F118" s="74"/>
      <c r="I118" s="71" t="s">
        <v>12</v>
      </c>
    </row>
    <row r="119" spans="1:9" ht="15.75">
      <c r="A119" s="4" t="s">
        <v>14</v>
      </c>
    </row>
    <row r="120" spans="1:9">
      <c r="A120" s="176" t="s">
        <v>15</v>
      </c>
      <c r="B120" s="176"/>
      <c r="C120" s="176"/>
      <c r="D120" s="176"/>
      <c r="E120" s="176"/>
      <c r="F120" s="176"/>
      <c r="G120" s="176"/>
      <c r="H120" s="176"/>
      <c r="I120" s="176"/>
    </row>
    <row r="121" spans="1:9" ht="45" customHeight="1">
      <c r="A121" s="173" t="s">
        <v>16</v>
      </c>
      <c r="B121" s="173"/>
      <c r="C121" s="173"/>
      <c r="D121" s="173"/>
      <c r="E121" s="173"/>
      <c r="F121" s="173"/>
      <c r="G121" s="173"/>
      <c r="H121" s="173"/>
      <c r="I121" s="173"/>
    </row>
    <row r="122" spans="1:9" ht="30" customHeight="1">
      <c r="A122" s="173" t="s">
        <v>17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30" customHeight="1">
      <c r="A123" s="173" t="s">
        <v>21</v>
      </c>
      <c r="B123" s="173"/>
      <c r="C123" s="173"/>
      <c r="D123" s="173"/>
      <c r="E123" s="173"/>
      <c r="F123" s="173"/>
      <c r="G123" s="173"/>
      <c r="H123" s="173"/>
      <c r="I123" s="173"/>
    </row>
    <row r="124" spans="1:9" ht="15" customHeight="1">
      <c r="A124" s="173" t="s">
        <v>20</v>
      </c>
      <c r="B124" s="173"/>
      <c r="C124" s="173"/>
      <c r="D124" s="173"/>
      <c r="E124" s="173"/>
      <c r="F124" s="173"/>
      <c r="G124" s="173"/>
      <c r="H124" s="173"/>
      <c r="I124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8:E118"/>
    <mergeCell ref="A87:I87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3:I83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44"/>
  <sheetViews>
    <sheetView tabSelected="1" topLeftCell="A113" workbookViewId="0">
      <selection activeCell="J129" sqref="J12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168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233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43343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212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hidden="1" customHeight="1">
      <c r="A47" s="40">
        <v>18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159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9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21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" customHeight="1">
      <c r="A65" s="40">
        <v>10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G65*13</f>
        <v>2891.2000000000003</v>
      </c>
    </row>
    <row r="66" spans="1:22" ht="23.2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21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24.7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0.2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22.5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8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9.5" hidden="1" customHeight="1">
      <c r="A72" s="29">
        <v>13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9.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21" hidden="1" customHeight="1">
      <c r="A74" s="29">
        <v>11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f>G74</f>
        <v>27865.200000000001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7.25" customHeight="1">
      <c r="A76" s="29">
        <v>11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G76*0.2</f>
        <v>100.32400000000001</v>
      </c>
    </row>
    <row r="77" spans="1:22" ht="21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18.7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22.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160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12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13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I85+I84+I76+I65+I63+I34+I32+I31+I28+I27+I18+I17+I16</f>
        <v>60755.133996822209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14</v>
      </c>
      <c r="B88" s="66" t="s">
        <v>151</v>
      </c>
      <c r="C88" s="67" t="s">
        <v>81</v>
      </c>
      <c r="D88" s="64"/>
      <c r="E88" s="36"/>
      <c r="F88" s="36">
        <v>7</v>
      </c>
      <c r="G88" s="36">
        <v>203.68</v>
      </c>
      <c r="H88" s="102">
        <f t="shared" ref="H88:H91" si="12">G88*F88/1000</f>
        <v>1.4257599999999999</v>
      </c>
      <c r="I88" s="13">
        <f>G88*3</f>
        <v>611.04</v>
      </c>
    </row>
    <row r="89" spans="1:9" ht="31.5" customHeight="1">
      <c r="A89" s="29">
        <v>15</v>
      </c>
      <c r="B89" s="55" t="s">
        <v>162</v>
      </c>
      <c r="C89" s="65" t="s">
        <v>163</v>
      </c>
      <c r="D89" s="51"/>
      <c r="E89" s="13"/>
      <c r="F89" s="13">
        <v>35</v>
      </c>
      <c r="G89" s="36">
        <v>613.44000000000005</v>
      </c>
      <c r="H89" s="100">
        <f t="shared" si="12"/>
        <v>21.470400000000001</v>
      </c>
      <c r="I89" s="13">
        <f>G89*6</f>
        <v>3680.6400000000003</v>
      </c>
    </row>
    <row r="90" spans="1:9" ht="16.5" customHeight="1">
      <c r="A90" s="29">
        <v>16</v>
      </c>
      <c r="B90" s="66" t="s">
        <v>138</v>
      </c>
      <c r="C90" s="67" t="s">
        <v>117</v>
      </c>
      <c r="D90" s="51"/>
      <c r="E90" s="13"/>
      <c r="F90" s="13">
        <v>7</v>
      </c>
      <c r="G90" s="36">
        <v>210.91</v>
      </c>
      <c r="H90" s="100">
        <f t="shared" si="12"/>
        <v>1.47637</v>
      </c>
      <c r="I90" s="13">
        <f>G90*1</f>
        <v>210.91</v>
      </c>
    </row>
    <row r="91" spans="1:9" ht="15.75" customHeight="1">
      <c r="A91" s="29">
        <v>17</v>
      </c>
      <c r="B91" s="66" t="s">
        <v>170</v>
      </c>
      <c r="C91" s="67" t="s">
        <v>117</v>
      </c>
      <c r="D91" s="64"/>
      <c r="E91" s="36"/>
      <c r="F91" s="36">
        <f>160/3</f>
        <v>53.333333333333336</v>
      </c>
      <c r="G91" s="36">
        <v>197.48</v>
      </c>
      <c r="H91" s="102">
        <f t="shared" si="12"/>
        <v>10.532266666666667</v>
      </c>
      <c r="I91" s="13">
        <f>G91*1</f>
        <v>197.48</v>
      </c>
    </row>
    <row r="92" spans="1:9" ht="31.5" hidden="1" customHeight="1">
      <c r="A92" s="29">
        <v>17</v>
      </c>
      <c r="B92" s="55"/>
      <c r="C92" s="65"/>
      <c r="D92" s="64"/>
      <c r="E92" s="36"/>
      <c r="F92" s="36">
        <v>9</v>
      </c>
      <c r="G92" s="36"/>
      <c r="H92" s="102">
        <f>G92*F92/1000</f>
        <v>0</v>
      </c>
      <c r="I92" s="13"/>
    </row>
    <row r="93" spans="1:9" ht="31.5" hidden="1" customHeight="1">
      <c r="A93" s="29">
        <v>18</v>
      </c>
      <c r="B93" s="55"/>
      <c r="C93" s="65"/>
      <c r="D93" s="51"/>
      <c r="E93" s="13"/>
      <c r="F93" s="13">
        <v>0.11</v>
      </c>
      <c r="G93" s="13"/>
      <c r="H93" s="100">
        <f>G93*F93/1000</f>
        <v>0</v>
      </c>
      <c r="I93" s="13"/>
    </row>
    <row r="94" spans="1:9" ht="15.75" hidden="1" customHeight="1">
      <c r="A94" s="29">
        <v>19</v>
      </c>
      <c r="B94" s="104"/>
      <c r="C94" s="65"/>
      <c r="D94" s="64"/>
      <c r="E94" s="36"/>
      <c r="F94" s="36">
        <v>4</v>
      </c>
      <c r="G94" s="36"/>
      <c r="H94" s="102">
        <f>G94*F94/1000</f>
        <v>0</v>
      </c>
      <c r="I94" s="13"/>
    </row>
    <row r="95" spans="1:9" ht="31.5" hidden="1" customHeight="1">
      <c r="A95" s="29">
        <v>20</v>
      </c>
      <c r="B95" s="55"/>
      <c r="C95" s="65"/>
      <c r="D95" s="51"/>
      <c r="E95" s="36"/>
      <c r="F95" s="36">
        <v>15</v>
      </c>
      <c r="G95" s="36"/>
      <c r="H95" s="102">
        <f t="shared" ref="H95:H99" si="13">G95*F95/1000</f>
        <v>0</v>
      </c>
      <c r="I95" s="13"/>
    </row>
    <row r="96" spans="1:9" ht="31.5" hidden="1" customHeight="1">
      <c r="A96" s="29">
        <v>21</v>
      </c>
      <c r="B96" s="55"/>
      <c r="C96" s="65"/>
      <c r="D96" s="51"/>
      <c r="E96" s="36"/>
      <c r="F96" s="36">
        <v>10</v>
      </c>
      <c r="G96" s="36"/>
      <c r="H96" s="102">
        <f t="shared" si="13"/>
        <v>0</v>
      </c>
      <c r="I96" s="13"/>
    </row>
    <row r="97" spans="1:9" ht="31.5" hidden="1" customHeight="1">
      <c r="A97" s="29">
        <v>22</v>
      </c>
      <c r="B97" s="66"/>
      <c r="C97" s="67"/>
      <c r="D97" s="64"/>
      <c r="E97" s="36"/>
      <c r="F97" s="36">
        <v>6</v>
      </c>
      <c r="G97" s="36"/>
      <c r="H97" s="102">
        <f t="shared" si="13"/>
        <v>0</v>
      </c>
      <c r="I97" s="13"/>
    </row>
    <row r="98" spans="1:9" ht="15.75" hidden="1" customHeight="1">
      <c r="A98" s="29">
        <v>23</v>
      </c>
      <c r="B98" s="55"/>
      <c r="C98" s="65"/>
      <c r="D98" s="37"/>
      <c r="E98" s="17"/>
      <c r="F98" s="36">
        <v>4</v>
      </c>
      <c r="G98" s="36"/>
      <c r="H98" s="102">
        <f t="shared" si="13"/>
        <v>0</v>
      </c>
      <c r="I98" s="13"/>
    </row>
    <row r="99" spans="1:9" ht="15.75" hidden="1" customHeight="1">
      <c r="A99" s="29">
        <v>24</v>
      </c>
      <c r="B99" s="55"/>
      <c r="C99" s="65"/>
      <c r="D99" s="51"/>
      <c r="E99" s="13"/>
      <c r="F99" s="13">
        <v>2</v>
      </c>
      <c r="G99" s="13"/>
      <c r="H99" s="100">
        <f t="shared" si="13"/>
        <v>0</v>
      </c>
      <c r="I99" s="13"/>
    </row>
    <row r="100" spans="1:9" ht="31.5" hidden="1" customHeight="1">
      <c r="A100" s="29">
        <v>25</v>
      </c>
      <c r="B100" s="55"/>
      <c r="C100" s="65"/>
      <c r="D100" s="64"/>
      <c r="E100" s="36"/>
      <c r="F100" s="36">
        <v>4</v>
      </c>
      <c r="G100" s="36"/>
      <c r="H100" s="102">
        <f>G100*F100/1000</f>
        <v>0</v>
      </c>
      <c r="I100" s="13"/>
    </row>
    <row r="101" spans="1:9" ht="31.5" hidden="1" customHeight="1">
      <c r="A101" s="29">
        <v>26</v>
      </c>
      <c r="B101" s="55"/>
      <c r="C101" s="65"/>
      <c r="D101" s="64"/>
      <c r="E101" s="36"/>
      <c r="F101" s="36">
        <v>2</v>
      </c>
      <c r="G101" s="36"/>
      <c r="H101" s="102">
        <f t="shared" ref="H101:H109" si="14">G101*F101/1000</f>
        <v>0</v>
      </c>
      <c r="I101" s="13"/>
    </row>
    <row r="102" spans="1:9" ht="15.75" hidden="1" customHeight="1">
      <c r="A102" s="29">
        <v>27</v>
      </c>
      <c r="B102" s="55"/>
      <c r="C102" s="65"/>
      <c r="D102" s="64"/>
      <c r="E102" s="36"/>
      <c r="F102" s="36">
        <v>4</v>
      </c>
      <c r="G102" s="36"/>
      <c r="H102" s="102">
        <f t="shared" si="14"/>
        <v>0</v>
      </c>
      <c r="I102" s="13"/>
    </row>
    <row r="103" spans="1:9" ht="15.75" hidden="1" customHeight="1">
      <c r="A103" s="29">
        <v>28</v>
      </c>
      <c r="B103" s="55"/>
      <c r="C103" s="65"/>
      <c r="D103" s="64"/>
      <c r="E103" s="36"/>
      <c r="F103" s="36">
        <v>1</v>
      </c>
      <c r="G103" s="36"/>
      <c r="H103" s="102">
        <f>G103*F103/1000</f>
        <v>0</v>
      </c>
      <c r="I103" s="13"/>
    </row>
    <row r="104" spans="1:9" ht="15.75" hidden="1" customHeight="1">
      <c r="A104" s="29">
        <v>29</v>
      </c>
      <c r="B104" s="55"/>
      <c r="C104" s="65"/>
      <c r="D104" s="64"/>
      <c r="E104" s="36"/>
      <c r="F104" s="36">
        <v>2</v>
      </c>
      <c r="G104" s="36"/>
      <c r="H104" s="102">
        <f>G104*F104/1000</f>
        <v>0</v>
      </c>
      <c r="I104" s="13"/>
    </row>
    <row r="105" spans="1:9" ht="15.75" hidden="1" customHeight="1">
      <c r="A105" s="29">
        <v>30</v>
      </c>
      <c r="B105" s="55"/>
      <c r="C105" s="65"/>
      <c r="D105" s="64"/>
      <c r="E105" s="36"/>
      <c r="F105" s="36">
        <v>1</v>
      </c>
      <c r="G105" s="36"/>
      <c r="H105" s="102">
        <f>G105*F105/1000</f>
        <v>0</v>
      </c>
      <c r="I105" s="13"/>
    </row>
    <row r="106" spans="1:9" ht="15.75" hidden="1" customHeight="1">
      <c r="A106" s="29">
        <v>31</v>
      </c>
      <c r="B106" s="55"/>
      <c r="C106" s="103"/>
      <c r="D106" s="64"/>
      <c r="E106" s="36"/>
      <c r="F106" s="36">
        <v>1</v>
      </c>
      <c r="G106" s="36"/>
      <c r="H106" s="102">
        <f>G106*F106/1000</f>
        <v>0</v>
      </c>
      <c r="I106" s="13"/>
    </row>
    <row r="107" spans="1:9" ht="15.75" hidden="1" customHeight="1">
      <c r="A107" s="29">
        <v>32</v>
      </c>
      <c r="B107" s="55"/>
      <c r="C107" s="65"/>
      <c r="D107" s="64"/>
      <c r="E107" s="36"/>
      <c r="F107" s="36">
        <v>1</v>
      </c>
      <c r="G107" s="36"/>
      <c r="H107" s="102">
        <f t="shared" si="14"/>
        <v>0</v>
      </c>
      <c r="I107" s="13"/>
    </row>
    <row r="108" spans="1:9" ht="15.75" hidden="1" customHeight="1">
      <c r="A108" s="29">
        <v>33</v>
      </c>
      <c r="B108" s="55"/>
      <c r="C108" s="65"/>
      <c r="D108" s="64"/>
      <c r="E108" s="36"/>
      <c r="F108" s="36">
        <f>1/100</f>
        <v>0.01</v>
      </c>
      <c r="G108" s="36"/>
      <c r="H108" s="102">
        <f t="shared" si="14"/>
        <v>0</v>
      </c>
      <c r="I108" s="13"/>
    </row>
    <row r="109" spans="1:9" ht="31.5" hidden="1" customHeight="1">
      <c r="A109" s="29">
        <v>34</v>
      </c>
      <c r="B109" s="55"/>
      <c r="C109" s="65"/>
      <c r="D109" s="64"/>
      <c r="E109" s="36"/>
      <c r="F109" s="36">
        <f>36/10</f>
        <v>3.6</v>
      </c>
      <c r="G109" s="36"/>
      <c r="H109" s="100">
        <f t="shared" si="14"/>
        <v>0</v>
      </c>
      <c r="I109" s="13"/>
    </row>
    <row r="110" spans="1:9" ht="16.5" customHeight="1">
      <c r="A110" s="29">
        <v>18</v>
      </c>
      <c r="B110" s="66" t="s">
        <v>178</v>
      </c>
      <c r="C110" s="67" t="s">
        <v>175</v>
      </c>
      <c r="D110" s="64"/>
      <c r="E110" s="36"/>
      <c r="F110" s="36"/>
      <c r="G110" s="36">
        <v>134.12</v>
      </c>
      <c r="H110" s="100"/>
      <c r="I110" s="13">
        <f>G110*22</f>
        <v>2950.6400000000003</v>
      </c>
    </row>
    <row r="111" spans="1:9" ht="33" customHeight="1">
      <c r="A111" s="29">
        <v>19</v>
      </c>
      <c r="B111" s="55" t="s">
        <v>140</v>
      </c>
      <c r="C111" s="65" t="s">
        <v>37</v>
      </c>
      <c r="D111" s="64"/>
      <c r="E111" s="36"/>
      <c r="F111" s="36"/>
      <c r="G111" s="36">
        <v>3724.37</v>
      </c>
      <c r="H111" s="100"/>
      <c r="I111" s="13">
        <f>G111*0.01</f>
        <v>37.243699999999997</v>
      </c>
    </row>
    <row r="112" spans="1:9" ht="33" customHeight="1">
      <c r="A112" s="29">
        <v>20</v>
      </c>
      <c r="B112" s="55" t="s">
        <v>78</v>
      </c>
      <c r="C112" s="65" t="s">
        <v>117</v>
      </c>
      <c r="D112" s="64"/>
      <c r="E112" s="36"/>
      <c r="F112" s="36"/>
      <c r="G112" s="36">
        <v>86.69</v>
      </c>
      <c r="H112" s="100"/>
      <c r="I112" s="13">
        <f>G112*1</f>
        <v>86.69</v>
      </c>
    </row>
    <row r="113" spans="1:9" ht="33" customHeight="1">
      <c r="A113" s="29">
        <v>21</v>
      </c>
      <c r="B113" s="55" t="s">
        <v>169</v>
      </c>
      <c r="C113" s="65" t="s">
        <v>163</v>
      </c>
      <c r="D113" s="64"/>
      <c r="E113" s="36"/>
      <c r="F113" s="36"/>
      <c r="G113" s="127">
        <v>835.68</v>
      </c>
      <c r="H113" s="100"/>
      <c r="I113" s="13">
        <f>G113*1</f>
        <v>835.68</v>
      </c>
    </row>
    <row r="114" spans="1:9" ht="33" customHeight="1">
      <c r="A114" s="29">
        <v>22</v>
      </c>
      <c r="B114" s="66" t="s">
        <v>156</v>
      </c>
      <c r="C114" s="67" t="s">
        <v>157</v>
      </c>
      <c r="D114" s="64"/>
      <c r="E114" s="36"/>
      <c r="F114" s="36"/>
      <c r="G114" s="127">
        <v>56.34</v>
      </c>
      <c r="H114" s="100"/>
      <c r="I114" s="13">
        <f>G114*3</f>
        <v>169.02</v>
      </c>
    </row>
    <row r="115" spans="1:9" ht="33.75" customHeight="1">
      <c r="A115" s="29">
        <v>23</v>
      </c>
      <c r="B115" s="55" t="s">
        <v>154</v>
      </c>
      <c r="C115" s="65" t="s">
        <v>155</v>
      </c>
      <c r="D115" s="64"/>
      <c r="E115" s="36"/>
      <c r="F115" s="36"/>
      <c r="G115" s="36">
        <v>1187</v>
      </c>
      <c r="H115" s="100"/>
      <c r="I115" s="13">
        <f>G115*1.5</f>
        <v>1780.5</v>
      </c>
    </row>
    <row r="116" spans="1:9" ht="15.75" customHeight="1">
      <c r="A116" s="29">
        <v>24</v>
      </c>
      <c r="B116" s="55" t="s">
        <v>191</v>
      </c>
      <c r="C116" s="65" t="s">
        <v>117</v>
      </c>
      <c r="D116" s="64"/>
      <c r="E116" s="36"/>
      <c r="F116" s="36"/>
      <c r="G116" s="36">
        <v>89.92</v>
      </c>
      <c r="H116" s="100"/>
      <c r="I116" s="13">
        <f>G116*2</f>
        <v>179.84</v>
      </c>
    </row>
    <row r="117" spans="1:9" ht="13.5" customHeight="1">
      <c r="A117" s="29">
        <v>25</v>
      </c>
      <c r="B117" s="66" t="s">
        <v>187</v>
      </c>
      <c r="C117" s="67" t="s">
        <v>117</v>
      </c>
      <c r="D117" s="64"/>
      <c r="E117" s="36"/>
      <c r="F117" s="36"/>
      <c r="G117" s="36">
        <v>95.25</v>
      </c>
      <c r="H117" s="100"/>
      <c r="I117" s="13">
        <f>G117*2</f>
        <v>190.5</v>
      </c>
    </row>
    <row r="118" spans="1:9" ht="13.5" customHeight="1">
      <c r="A118" s="29">
        <v>26</v>
      </c>
      <c r="B118" s="66" t="s">
        <v>188</v>
      </c>
      <c r="C118" s="67" t="s">
        <v>117</v>
      </c>
      <c r="D118" s="64"/>
      <c r="E118" s="36"/>
      <c r="F118" s="36"/>
      <c r="G118" s="36">
        <v>6.84</v>
      </c>
      <c r="H118" s="100"/>
      <c r="I118" s="13">
        <f>G118*1</f>
        <v>6.84</v>
      </c>
    </row>
    <row r="119" spans="1:9" ht="31.5" customHeight="1">
      <c r="A119" s="29">
        <v>27</v>
      </c>
      <c r="B119" s="66" t="s">
        <v>202</v>
      </c>
      <c r="C119" s="67" t="s">
        <v>203</v>
      </c>
      <c r="D119" s="64"/>
      <c r="E119" s="36"/>
      <c r="F119" s="36"/>
      <c r="G119" s="36">
        <v>24829.08</v>
      </c>
      <c r="H119" s="100"/>
      <c r="I119" s="13">
        <f>G119*0.01</f>
        <v>248.29080000000002</v>
      </c>
    </row>
    <row r="120" spans="1:9" ht="15" customHeight="1">
      <c r="A120" s="29"/>
      <c r="B120" s="66" t="s">
        <v>287</v>
      </c>
      <c r="C120" s="67" t="s">
        <v>288</v>
      </c>
      <c r="D120" s="64"/>
      <c r="E120" s="36"/>
      <c r="F120" s="36"/>
      <c r="G120" s="36">
        <v>58310</v>
      </c>
      <c r="H120" s="100"/>
      <c r="I120" s="13">
        <f>G120*1</f>
        <v>58310</v>
      </c>
    </row>
    <row r="121" spans="1:9" ht="15.75" customHeight="1">
      <c r="A121" s="29"/>
      <c r="B121" s="45" t="s">
        <v>50</v>
      </c>
      <c r="C121" s="41"/>
      <c r="D121" s="53"/>
      <c r="E121" s="41">
        <v>1</v>
      </c>
      <c r="F121" s="41"/>
      <c r="G121" s="41"/>
      <c r="H121" s="41"/>
      <c r="I121" s="31">
        <f>SUM(I88:I120)</f>
        <v>69495.314500000008</v>
      </c>
    </row>
    <row r="122" spans="1:9" ht="15.75" customHeight="1">
      <c r="A122" s="29"/>
      <c r="B122" s="51" t="s">
        <v>77</v>
      </c>
      <c r="C122" s="15"/>
      <c r="D122" s="15"/>
      <c r="E122" s="42"/>
      <c r="F122" s="42"/>
      <c r="G122" s="43"/>
      <c r="H122" s="43"/>
      <c r="I122" s="17">
        <v>0</v>
      </c>
    </row>
    <row r="123" spans="1:9" ht="15.75" customHeight="1">
      <c r="A123" s="54"/>
      <c r="B123" s="46" t="s">
        <v>152</v>
      </c>
      <c r="C123" s="34"/>
      <c r="D123" s="34"/>
      <c r="E123" s="34"/>
      <c r="F123" s="34"/>
      <c r="G123" s="34"/>
      <c r="H123" s="34"/>
      <c r="I123" s="44">
        <f>I86+I121</f>
        <v>130250.44849682221</v>
      </c>
    </row>
    <row r="124" spans="1:9" ht="15.75">
      <c r="A124" s="181" t="s">
        <v>289</v>
      </c>
      <c r="B124" s="181"/>
      <c r="C124" s="181"/>
      <c r="D124" s="181"/>
      <c r="E124" s="181"/>
      <c r="F124" s="181"/>
      <c r="G124" s="181"/>
      <c r="H124" s="181"/>
      <c r="I124" s="181"/>
    </row>
    <row r="125" spans="1:9" ht="15.75">
      <c r="A125" s="61"/>
      <c r="B125" s="182" t="s">
        <v>290</v>
      </c>
      <c r="C125" s="182"/>
      <c r="D125" s="182"/>
      <c r="E125" s="182"/>
      <c r="F125" s="182"/>
      <c r="G125" s="182"/>
      <c r="H125" s="80"/>
      <c r="I125" s="3"/>
    </row>
    <row r="126" spans="1:9">
      <c r="A126" s="74"/>
      <c r="B126" s="180" t="s">
        <v>6</v>
      </c>
      <c r="C126" s="180"/>
      <c r="D126" s="180"/>
      <c r="E126" s="180"/>
      <c r="F126" s="180"/>
      <c r="G126" s="180"/>
      <c r="H126" s="24"/>
      <c r="I126" s="5"/>
    </row>
    <row r="127" spans="1:9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ht="15.75">
      <c r="A128" s="183" t="s">
        <v>7</v>
      </c>
      <c r="B128" s="183"/>
      <c r="C128" s="183"/>
      <c r="D128" s="183"/>
      <c r="E128" s="183"/>
      <c r="F128" s="183"/>
      <c r="G128" s="183"/>
      <c r="H128" s="183"/>
      <c r="I128" s="183"/>
    </row>
    <row r="129" spans="1:9" ht="15.75">
      <c r="A129" s="183" t="s">
        <v>8</v>
      </c>
      <c r="B129" s="183"/>
      <c r="C129" s="183"/>
      <c r="D129" s="183"/>
      <c r="E129" s="183"/>
      <c r="F129" s="183"/>
      <c r="G129" s="183"/>
      <c r="H129" s="183"/>
      <c r="I129" s="183"/>
    </row>
    <row r="130" spans="1:9" ht="15.75">
      <c r="A130" s="177" t="s">
        <v>59</v>
      </c>
      <c r="B130" s="177"/>
      <c r="C130" s="177"/>
      <c r="D130" s="177"/>
      <c r="E130" s="177"/>
      <c r="F130" s="177"/>
      <c r="G130" s="177"/>
      <c r="H130" s="177"/>
      <c r="I130" s="177"/>
    </row>
    <row r="131" spans="1:9" ht="15.75">
      <c r="A131" s="11"/>
    </row>
    <row r="132" spans="1:9" ht="15.75">
      <c r="A132" s="178" t="s">
        <v>9</v>
      </c>
      <c r="B132" s="178"/>
      <c r="C132" s="178"/>
      <c r="D132" s="178"/>
      <c r="E132" s="178"/>
      <c r="F132" s="178"/>
      <c r="G132" s="178"/>
      <c r="H132" s="178"/>
      <c r="I132" s="178"/>
    </row>
    <row r="133" spans="1:9" ht="15.75">
      <c r="A133" s="4"/>
    </row>
    <row r="134" spans="1:9" ht="15.75">
      <c r="B134" s="72" t="s">
        <v>10</v>
      </c>
      <c r="C134" s="179" t="s">
        <v>86</v>
      </c>
      <c r="D134" s="179"/>
      <c r="E134" s="179"/>
      <c r="F134" s="78"/>
      <c r="I134" s="73"/>
    </row>
    <row r="135" spans="1:9">
      <c r="A135" s="74"/>
      <c r="C135" s="180" t="s">
        <v>11</v>
      </c>
      <c r="D135" s="180"/>
      <c r="E135" s="180"/>
      <c r="F135" s="24"/>
      <c r="I135" s="71" t="s">
        <v>12</v>
      </c>
    </row>
    <row r="136" spans="1:9" ht="15.75">
      <c r="A136" s="25"/>
      <c r="C136" s="12"/>
      <c r="D136" s="12"/>
      <c r="G136" s="12"/>
      <c r="H136" s="12"/>
    </row>
    <row r="137" spans="1:9" ht="15.75">
      <c r="B137" s="72" t="s">
        <v>13</v>
      </c>
      <c r="C137" s="174"/>
      <c r="D137" s="174"/>
      <c r="E137" s="174"/>
      <c r="F137" s="79"/>
      <c r="I137" s="73"/>
    </row>
    <row r="138" spans="1:9">
      <c r="A138" s="74"/>
      <c r="C138" s="175" t="s">
        <v>11</v>
      </c>
      <c r="D138" s="175"/>
      <c r="E138" s="175"/>
      <c r="F138" s="74"/>
      <c r="I138" s="71" t="s">
        <v>12</v>
      </c>
    </row>
    <row r="139" spans="1:9" ht="15.75">
      <c r="A139" s="4" t="s">
        <v>14</v>
      </c>
    </row>
    <row r="140" spans="1:9">
      <c r="A140" s="176" t="s">
        <v>15</v>
      </c>
      <c r="B140" s="176"/>
      <c r="C140" s="176"/>
      <c r="D140" s="176"/>
      <c r="E140" s="176"/>
      <c r="F140" s="176"/>
      <c r="G140" s="176"/>
      <c r="H140" s="176"/>
      <c r="I140" s="176"/>
    </row>
    <row r="141" spans="1:9" ht="45" customHeight="1">
      <c r="A141" s="173" t="s">
        <v>16</v>
      </c>
      <c r="B141" s="173"/>
      <c r="C141" s="173"/>
      <c r="D141" s="173"/>
      <c r="E141" s="173"/>
      <c r="F141" s="173"/>
      <c r="G141" s="173"/>
      <c r="H141" s="173"/>
      <c r="I141" s="173"/>
    </row>
    <row r="142" spans="1:9" ht="30" customHeight="1">
      <c r="A142" s="173" t="s">
        <v>17</v>
      </c>
      <c r="B142" s="173"/>
      <c r="C142" s="173"/>
      <c r="D142" s="173"/>
      <c r="E142" s="173"/>
      <c r="F142" s="173"/>
      <c r="G142" s="173"/>
      <c r="H142" s="173"/>
      <c r="I142" s="173"/>
    </row>
    <row r="143" spans="1:9" ht="30" customHeight="1">
      <c r="A143" s="173" t="s">
        <v>21</v>
      </c>
      <c r="B143" s="173"/>
      <c r="C143" s="173"/>
      <c r="D143" s="173"/>
      <c r="E143" s="173"/>
      <c r="F143" s="173"/>
      <c r="G143" s="173"/>
      <c r="H143" s="173"/>
      <c r="I143" s="173"/>
    </row>
    <row r="144" spans="1:9" ht="15" customHeight="1">
      <c r="A144" s="173" t="s">
        <v>20</v>
      </c>
      <c r="B144" s="173"/>
      <c r="C144" s="173"/>
      <c r="D144" s="173"/>
      <c r="E144" s="173"/>
      <c r="F144" s="173"/>
      <c r="G144" s="173"/>
      <c r="H144" s="173"/>
      <c r="I144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38:E138"/>
    <mergeCell ref="A87:I87"/>
    <mergeCell ref="A124:I124"/>
    <mergeCell ref="B125:G125"/>
    <mergeCell ref="B126:G126"/>
    <mergeCell ref="A128:I128"/>
    <mergeCell ref="A129:I129"/>
    <mergeCell ref="A130:I130"/>
    <mergeCell ref="A132:I132"/>
    <mergeCell ref="C134:E134"/>
    <mergeCell ref="C135:E135"/>
    <mergeCell ref="C137:E137"/>
    <mergeCell ref="A83:I83"/>
    <mergeCell ref="A140:I140"/>
    <mergeCell ref="A141:I141"/>
    <mergeCell ref="A142:I142"/>
    <mergeCell ref="A143:I143"/>
    <mergeCell ref="A144:I14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3"/>
  <sheetViews>
    <sheetView topLeftCell="A91" workbookViewId="0">
      <selection activeCell="A107" sqref="A107: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211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90" t="s">
        <v>171</v>
      </c>
      <c r="B3" s="190"/>
      <c r="C3" s="190"/>
      <c r="D3" s="190"/>
      <c r="E3" s="190"/>
      <c r="F3" s="190"/>
      <c r="G3" s="190"/>
      <c r="H3" s="190"/>
      <c r="I3" s="190"/>
      <c r="J3" s="3"/>
      <c r="K3" s="3"/>
      <c r="L3" s="3"/>
    </row>
    <row r="4" spans="1:13" ht="31.5" customHeight="1">
      <c r="A4" s="191" t="s">
        <v>128</v>
      </c>
      <c r="B4" s="191"/>
      <c r="C4" s="191"/>
      <c r="D4" s="191"/>
      <c r="E4" s="191"/>
      <c r="F4" s="191"/>
      <c r="G4" s="191"/>
      <c r="H4" s="191"/>
      <c r="I4" s="191"/>
    </row>
    <row r="5" spans="1:13" ht="15.75" customHeight="1">
      <c r="A5" s="190" t="s">
        <v>234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75"/>
      <c r="C6" s="75"/>
      <c r="D6" s="75"/>
      <c r="E6" s="75"/>
      <c r="F6" s="75"/>
      <c r="G6" s="75"/>
      <c r="H6" s="75"/>
      <c r="I6" s="30">
        <v>43373</v>
      </c>
      <c r="J6" s="2"/>
      <c r="K6" s="2"/>
      <c r="L6" s="2"/>
      <c r="M6" s="2"/>
    </row>
    <row r="7" spans="1:13" ht="15.75" customHeight="1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212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143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5" t="s">
        <v>57</v>
      </c>
      <c r="B14" s="195"/>
      <c r="C14" s="195"/>
      <c r="D14" s="195"/>
      <c r="E14" s="195"/>
      <c r="F14" s="195"/>
      <c r="G14" s="195"/>
      <c r="H14" s="195"/>
      <c r="I14" s="195"/>
      <c r="J14" s="8"/>
      <c r="K14" s="8"/>
      <c r="L14" s="8"/>
      <c r="M14" s="8"/>
    </row>
    <row r="15" spans="1:13" ht="15.75" customHeight="1">
      <c r="A15" s="196" t="s">
        <v>4</v>
      </c>
      <c r="B15" s="196"/>
      <c r="C15" s="196"/>
      <c r="D15" s="196"/>
      <c r="E15" s="196"/>
      <c r="F15" s="196"/>
      <c r="G15" s="196"/>
      <c r="H15" s="196"/>
      <c r="I15" s="196"/>
      <c r="J15" s="8"/>
      <c r="K15" s="8"/>
      <c r="L15" s="8"/>
      <c r="M15" s="8"/>
    </row>
    <row r="16" spans="1:13" ht="15.75" customHeight="1">
      <c r="A16" s="29">
        <v>1</v>
      </c>
      <c r="B16" s="82" t="s">
        <v>84</v>
      </c>
      <c r="C16" s="83" t="s">
        <v>92</v>
      </c>
      <c r="D16" s="82" t="s">
        <v>93</v>
      </c>
      <c r="E16" s="84">
        <v>129.88</v>
      </c>
      <c r="F16" s="85">
        <f>SUM(E16*156/100)</f>
        <v>202.61279999999999</v>
      </c>
      <c r="G16" s="85">
        <v>175.38</v>
      </c>
      <c r="H16" s="86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2" t="s">
        <v>88</v>
      </c>
      <c r="C17" s="83" t="s">
        <v>92</v>
      </c>
      <c r="D17" s="82" t="s">
        <v>94</v>
      </c>
      <c r="E17" s="84">
        <v>519.52</v>
      </c>
      <c r="F17" s="85">
        <f>SUM(E17*104/100)</f>
        <v>540.30079999999998</v>
      </c>
      <c r="G17" s="85">
        <v>175.38</v>
      </c>
      <c r="H17" s="86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2" t="s">
        <v>89</v>
      </c>
      <c r="C18" s="83" t="s">
        <v>92</v>
      </c>
      <c r="D18" s="82" t="s">
        <v>95</v>
      </c>
      <c r="E18" s="84">
        <f>SUM(E16+E17)</f>
        <v>649.4</v>
      </c>
      <c r="F18" s="85">
        <f>SUM(E18*24/100)</f>
        <v>155.85599999999999</v>
      </c>
      <c r="G18" s="85">
        <v>504.5</v>
      </c>
      <c r="H18" s="86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2" t="s">
        <v>96</v>
      </c>
      <c r="C19" s="83" t="s">
        <v>97</v>
      </c>
      <c r="D19" s="82" t="s">
        <v>98</v>
      </c>
      <c r="E19" s="84">
        <v>124.8</v>
      </c>
      <c r="F19" s="85">
        <f>SUM(E19/10)</f>
        <v>12.48</v>
      </c>
      <c r="G19" s="85">
        <v>170.16</v>
      </c>
      <c r="H19" s="86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2" t="s">
        <v>101</v>
      </c>
      <c r="C20" s="83" t="s">
        <v>92</v>
      </c>
      <c r="D20" s="82" t="s">
        <v>52</v>
      </c>
      <c r="E20" s="84">
        <v>57.5</v>
      </c>
      <c r="F20" s="85">
        <f>SUM(E20/100)</f>
        <v>0.57499999999999996</v>
      </c>
      <c r="G20" s="85">
        <v>217.88</v>
      </c>
      <c r="H20" s="86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2" t="s">
        <v>102</v>
      </c>
      <c r="C21" s="83" t="s">
        <v>92</v>
      </c>
      <c r="D21" s="82" t="s">
        <v>52</v>
      </c>
      <c r="E21" s="84">
        <v>13.41</v>
      </c>
      <c r="F21" s="85">
        <f>SUM(E21/100)</f>
        <v>0.1341</v>
      </c>
      <c r="G21" s="85">
        <v>216.12</v>
      </c>
      <c r="H21" s="86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2" t="s">
        <v>103</v>
      </c>
      <c r="C22" s="83" t="s">
        <v>51</v>
      </c>
      <c r="D22" s="82" t="s">
        <v>98</v>
      </c>
      <c r="E22" s="84">
        <v>820.5</v>
      </c>
      <c r="F22" s="85">
        <f>SUM(E22/100)</f>
        <v>8.2050000000000001</v>
      </c>
      <c r="G22" s="85">
        <v>269.26</v>
      </c>
      <c r="H22" s="86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2" t="s">
        <v>104</v>
      </c>
      <c r="C23" s="83" t="s">
        <v>51</v>
      </c>
      <c r="D23" s="82" t="s">
        <v>98</v>
      </c>
      <c r="E23" s="87">
        <v>60.25</v>
      </c>
      <c r="F23" s="85">
        <f>SUM(E23/100)</f>
        <v>0.60250000000000004</v>
      </c>
      <c r="G23" s="85">
        <v>44.29</v>
      </c>
      <c r="H23" s="86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2" t="s">
        <v>99</v>
      </c>
      <c r="C24" s="83" t="s">
        <v>51</v>
      </c>
      <c r="D24" s="82" t="s">
        <v>100</v>
      </c>
      <c r="E24" s="84">
        <v>19.149999999999999</v>
      </c>
      <c r="F24" s="85">
        <f>E24/100</f>
        <v>0.19149999999999998</v>
      </c>
      <c r="G24" s="85">
        <v>389.72</v>
      </c>
      <c r="H24" s="86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2" t="s">
        <v>106</v>
      </c>
      <c r="C25" s="83" t="s">
        <v>51</v>
      </c>
      <c r="D25" s="82" t="s">
        <v>52</v>
      </c>
      <c r="E25" s="84">
        <v>31.5</v>
      </c>
      <c r="F25" s="85">
        <v>0.32</v>
      </c>
      <c r="G25" s="85">
        <v>216.12</v>
      </c>
      <c r="H25" s="86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2" t="s">
        <v>105</v>
      </c>
      <c r="C26" s="83" t="s">
        <v>51</v>
      </c>
      <c r="D26" s="82" t="s">
        <v>98</v>
      </c>
      <c r="E26" s="84">
        <v>37.5</v>
      </c>
      <c r="F26" s="85">
        <f>SUM(E26/100)</f>
        <v>0.375</v>
      </c>
      <c r="G26" s="85">
        <v>520.79999999999995</v>
      </c>
      <c r="H26" s="86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2" t="s">
        <v>62</v>
      </c>
      <c r="C27" s="83" t="s">
        <v>33</v>
      </c>
      <c r="D27" s="82" t="s">
        <v>25</v>
      </c>
      <c r="E27" s="84">
        <v>0.1</v>
      </c>
      <c r="F27" s="85">
        <f>SUM(E27*365)</f>
        <v>36.5</v>
      </c>
      <c r="G27" s="85">
        <v>147.03</v>
      </c>
      <c r="H27" s="86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88" t="s">
        <v>23</v>
      </c>
      <c r="C28" s="83" t="s">
        <v>24</v>
      </c>
      <c r="D28" s="82" t="s">
        <v>25</v>
      </c>
      <c r="E28" s="84">
        <v>5162.6000000000004</v>
      </c>
      <c r="F28" s="85">
        <f>SUM(E28*12)</f>
        <v>61951.200000000004</v>
      </c>
      <c r="G28" s="85">
        <v>3.33</v>
      </c>
      <c r="H28" s="86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96" t="s">
        <v>82</v>
      </c>
      <c r="B29" s="196"/>
      <c r="C29" s="196"/>
      <c r="D29" s="196"/>
      <c r="E29" s="196"/>
      <c r="F29" s="196"/>
      <c r="G29" s="196"/>
      <c r="H29" s="196"/>
      <c r="I29" s="196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2" t="s">
        <v>107</v>
      </c>
      <c r="C31" s="83" t="s">
        <v>108</v>
      </c>
      <c r="D31" s="82" t="s">
        <v>109</v>
      </c>
      <c r="E31" s="85">
        <v>1304.45</v>
      </c>
      <c r="F31" s="85">
        <f>SUM(E31*52/1000)</f>
        <v>67.831400000000002</v>
      </c>
      <c r="G31" s="85">
        <v>155.88999999999999</v>
      </c>
      <c r="H31" s="86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2" t="s">
        <v>147</v>
      </c>
      <c r="C32" s="83" t="s">
        <v>108</v>
      </c>
      <c r="D32" s="82" t="s">
        <v>110</v>
      </c>
      <c r="E32" s="85">
        <v>287.83999999999997</v>
      </c>
      <c r="F32" s="85">
        <f>SUM(E32*78/1000)</f>
        <v>22.451519999999995</v>
      </c>
      <c r="G32" s="85">
        <v>258.63</v>
      </c>
      <c r="H32" s="86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2" t="s">
        <v>28</v>
      </c>
      <c r="C33" s="83" t="s">
        <v>108</v>
      </c>
      <c r="D33" s="82" t="s">
        <v>52</v>
      </c>
      <c r="E33" s="85">
        <v>1304.45</v>
      </c>
      <c r="F33" s="85">
        <f>SUM(E33/1000)</f>
        <v>1.3044500000000001</v>
      </c>
      <c r="G33" s="85">
        <v>3020.33</v>
      </c>
      <c r="H33" s="86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2" t="s">
        <v>111</v>
      </c>
      <c r="C34" s="83" t="s">
        <v>31</v>
      </c>
      <c r="D34" s="82" t="s">
        <v>61</v>
      </c>
      <c r="E34" s="89">
        <v>0.33333333333333331</v>
      </c>
      <c r="F34" s="85">
        <f>155/3</f>
        <v>51.666666666666664</v>
      </c>
      <c r="G34" s="85">
        <v>56.69</v>
      </c>
      <c r="H34" s="86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2" t="s">
        <v>63</v>
      </c>
      <c r="C35" s="83" t="s">
        <v>33</v>
      </c>
      <c r="D35" s="82" t="s">
        <v>65</v>
      </c>
      <c r="E35" s="84"/>
      <c r="F35" s="85">
        <v>3</v>
      </c>
      <c r="G35" s="85">
        <v>191.32</v>
      </c>
      <c r="H35" s="86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2" t="s">
        <v>64</v>
      </c>
      <c r="C36" s="83" t="s">
        <v>32</v>
      </c>
      <c r="D36" s="82" t="s">
        <v>65</v>
      </c>
      <c r="E36" s="84"/>
      <c r="F36" s="85">
        <v>2</v>
      </c>
      <c r="G36" s="85">
        <v>1136.32</v>
      </c>
      <c r="H36" s="86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2" t="s">
        <v>27</v>
      </c>
      <c r="C38" s="83" t="s">
        <v>32</v>
      </c>
      <c r="D38" s="82"/>
      <c r="E38" s="84"/>
      <c r="F38" s="85">
        <v>10</v>
      </c>
      <c r="G38" s="85">
        <v>1527.22</v>
      </c>
      <c r="H38" s="86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2" t="s">
        <v>129</v>
      </c>
      <c r="C39" s="83" t="s">
        <v>30</v>
      </c>
      <c r="D39" s="82" t="s">
        <v>130</v>
      </c>
      <c r="E39" s="85">
        <v>495</v>
      </c>
      <c r="F39" s="85">
        <f>SUM(E39*12/1000)</f>
        <v>5.94</v>
      </c>
      <c r="G39" s="85">
        <v>2102.71</v>
      </c>
      <c r="H39" s="86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2" t="s">
        <v>131</v>
      </c>
      <c r="C40" s="83" t="s">
        <v>30</v>
      </c>
      <c r="D40" s="82" t="s">
        <v>112</v>
      </c>
      <c r="E40" s="84">
        <v>287.83999999999997</v>
      </c>
      <c r="F40" s="85">
        <v>8.64</v>
      </c>
      <c r="G40" s="85">
        <v>2102.71</v>
      </c>
      <c r="H40" s="86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2" t="s">
        <v>90</v>
      </c>
      <c r="C41" s="83" t="s">
        <v>132</v>
      </c>
      <c r="D41" s="82" t="s">
        <v>65</v>
      </c>
      <c r="E41" s="84"/>
      <c r="F41" s="85">
        <v>80</v>
      </c>
      <c r="G41" s="85">
        <v>199.44</v>
      </c>
      <c r="H41" s="86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2" t="s">
        <v>66</v>
      </c>
      <c r="C42" s="83" t="s">
        <v>30</v>
      </c>
      <c r="D42" s="82" t="s">
        <v>113</v>
      </c>
      <c r="E42" s="85">
        <v>287.83999999999997</v>
      </c>
      <c r="F42" s="85">
        <f>SUM(E42*155/1000)</f>
        <v>44.615199999999994</v>
      </c>
      <c r="G42" s="85">
        <v>350.75</v>
      </c>
      <c r="H42" s="86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2" t="s">
        <v>80</v>
      </c>
      <c r="C43" s="83" t="s">
        <v>108</v>
      </c>
      <c r="D43" s="82" t="s">
        <v>133</v>
      </c>
      <c r="E43" s="85">
        <v>89.43</v>
      </c>
      <c r="F43" s="85">
        <f>SUM(E43*24/1000)</f>
        <v>2.1463200000000002</v>
      </c>
      <c r="G43" s="85">
        <v>5803.28</v>
      </c>
      <c r="H43" s="86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2" t="s">
        <v>114</v>
      </c>
      <c r="C44" s="83" t="s">
        <v>108</v>
      </c>
      <c r="D44" s="82" t="s">
        <v>67</v>
      </c>
      <c r="E44" s="85">
        <v>130.08000000000001</v>
      </c>
      <c r="F44" s="85">
        <f>SUM(E44*45/1000)</f>
        <v>5.8536000000000001</v>
      </c>
      <c r="G44" s="85">
        <v>428.7</v>
      </c>
      <c r="H44" s="86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2" t="s">
        <v>68</v>
      </c>
      <c r="C45" s="83" t="s">
        <v>33</v>
      </c>
      <c r="D45" s="82"/>
      <c r="E45" s="84"/>
      <c r="F45" s="85">
        <v>0.9</v>
      </c>
      <c r="G45" s="85">
        <v>798</v>
      </c>
      <c r="H45" s="86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97" t="s">
        <v>144</v>
      </c>
      <c r="B46" s="198"/>
      <c r="C46" s="198"/>
      <c r="D46" s="198"/>
      <c r="E46" s="198"/>
      <c r="F46" s="198"/>
      <c r="G46" s="198"/>
      <c r="H46" s="198"/>
      <c r="I46" s="199"/>
      <c r="J46" s="23"/>
      <c r="L46" s="19"/>
      <c r="M46" s="20"/>
      <c r="N46" s="21"/>
    </row>
    <row r="47" spans="1:14" ht="15.75" customHeight="1">
      <c r="A47" s="40">
        <v>9</v>
      </c>
      <c r="B47" s="82" t="s">
        <v>134</v>
      </c>
      <c r="C47" s="83" t="s">
        <v>108</v>
      </c>
      <c r="D47" s="82" t="s">
        <v>41</v>
      </c>
      <c r="E47" s="84">
        <v>1369</v>
      </c>
      <c r="F47" s="85">
        <f>SUM(E47*2/1000)</f>
        <v>2.738</v>
      </c>
      <c r="G47" s="13">
        <v>849.49</v>
      </c>
      <c r="H47" s="86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customHeight="1">
      <c r="A48" s="40">
        <v>10</v>
      </c>
      <c r="B48" s="82" t="s">
        <v>34</v>
      </c>
      <c r="C48" s="83" t="s">
        <v>108</v>
      </c>
      <c r="D48" s="82" t="s">
        <v>41</v>
      </c>
      <c r="E48" s="84">
        <v>1418</v>
      </c>
      <c r="F48" s="85">
        <f>SUM(E48*2/1000)</f>
        <v>2.8359999999999999</v>
      </c>
      <c r="G48" s="13">
        <v>579.48</v>
      </c>
      <c r="H48" s="86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customHeight="1">
      <c r="A49" s="40">
        <v>11</v>
      </c>
      <c r="B49" s="82" t="s">
        <v>35</v>
      </c>
      <c r="C49" s="83" t="s">
        <v>108</v>
      </c>
      <c r="D49" s="82" t="s">
        <v>41</v>
      </c>
      <c r="E49" s="84">
        <v>4985.21</v>
      </c>
      <c r="F49" s="85">
        <f>SUM(E49*2/1000)</f>
        <v>9.9704200000000007</v>
      </c>
      <c r="G49" s="13">
        <v>579.48</v>
      </c>
      <c r="H49" s="86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customHeight="1">
      <c r="A50" s="40">
        <v>12</v>
      </c>
      <c r="B50" s="82" t="s">
        <v>36</v>
      </c>
      <c r="C50" s="83" t="s">
        <v>108</v>
      </c>
      <c r="D50" s="82" t="s">
        <v>41</v>
      </c>
      <c r="E50" s="84">
        <v>2474</v>
      </c>
      <c r="F50" s="85">
        <f>SUM(E50*2/1000)</f>
        <v>4.9480000000000004</v>
      </c>
      <c r="G50" s="13">
        <v>606.77</v>
      </c>
      <c r="H50" s="86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13</v>
      </c>
      <c r="B51" s="82" t="s">
        <v>54</v>
      </c>
      <c r="C51" s="83" t="s">
        <v>108</v>
      </c>
      <c r="D51" s="82" t="s">
        <v>148</v>
      </c>
      <c r="E51" s="84">
        <v>1349.3</v>
      </c>
      <c r="F51" s="85">
        <f>SUM(E51*5/1000)</f>
        <v>6.7465000000000002</v>
      </c>
      <c r="G51" s="13">
        <v>1213.55</v>
      </c>
      <c r="H51" s="86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2" t="s">
        <v>115</v>
      </c>
      <c r="C52" s="83" t="s">
        <v>108</v>
      </c>
      <c r="D52" s="82" t="s">
        <v>41</v>
      </c>
      <c r="E52" s="84">
        <v>1349.3</v>
      </c>
      <c r="F52" s="85">
        <f>SUM(E52*2/1000)</f>
        <v>2.6985999999999999</v>
      </c>
      <c r="G52" s="13">
        <v>1213.55</v>
      </c>
      <c r="H52" s="86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2" t="s">
        <v>116</v>
      </c>
      <c r="C53" s="83" t="s">
        <v>37</v>
      </c>
      <c r="D53" s="82" t="s">
        <v>41</v>
      </c>
      <c r="E53" s="84">
        <v>40</v>
      </c>
      <c r="F53" s="85">
        <f>SUM(E53*2/100)</f>
        <v>0.8</v>
      </c>
      <c r="G53" s="13">
        <v>2730.49</v>
      </c>
      <c r="H53" s="86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2" t="s">
        <v>38</v>
      </c>
      <c r="C54" s="83" t="s">
        <v>39</v>
      </c>
      <c r="D54" s="82" t="s">
        <v>41</v>
      </c>
      <c r="E54" s="84">
        <v>1</v>
      </c>
      <c r="F54" s="85">
        <v>0.02</v>
      </c>
      <c r="G54" s="13">
        <v>5652.13</v>
      </c>
      <c r="H54" s="86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2" t="s">
        <v>40</v>
      </c>
      <c r="C55" s="83" t="s">
        <v>117</v>
      </c>
      <c r="D55" s="82" t="s">
        <v>69</v>
      </c>
      <c r="E55" s="84">
        <v>238</v>
      </c>
      <c r="F55" s="85">
        <f>SUM(E55)*3</f>
        <v>714</v>
      </c>
      <c r="G55" s="13">
        <v>65.67</v>
      </c>
      <c r="H55" s="86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97" t="s">
        <v>145</v>
      </c>
      <c r="B56" s="198"/>
      <c r="C56" s="198"/>
      <c r="D56" s="198"/>
      <c r="E56" s="198"/>
      <c r="F56" s="198"/>
      <c r="G56" s="198"/>
      <c r="H56" s="198"/>
      <c r="I56" s="199"/>
      <c r="J56" s="23"/>
      <c r="L56" s="19"/>
      <c r="M56" s="20"/>
      <c r="N56" s="21"/>
    </row>
    <row r="57" spans="1:14" ht="15.75" hidden="1" customHeight="1">
      <c r="A57" s="81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2" t="s">
        <v>118</v>
      </c>
      <c r="C58" s="83" t="s">
        <v>92</v>
      </c>
      <c r="D58" s="82" t="s">
        <v>119</v>
      </c>
      <c r="E58" s="84">
        <v>176.9</v>
      </c>
      <c r="F58" s="85">
        <f>SUM(E58*6/100)</f>
        <v>10.614000000000001</v>
      </c>
      <c r="G58" s="13">
        <v>1547.28</v>
      </c>
      <c r="H58" s="86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2" t="s">
        <v>135</v>
      </c>
      <c r="C59" s="83" t="s">
        <v>92</v>
      </c>
      <c r="D59" s="82" t="s">
        <v>119</v>
      </c>
      <c r="E59" s="77">
        <v>56</v>
      </c>
      <c r="F59" s="90">
        <v>3.36</v>
      </c>
      <c r="G59" s="85">
        <v>1547.28</v>
      </c>
      <c r="H59" s="86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2" t="s">
        <v>136</v>
      </c>
      <c r="C60" s="83" t="s">
        <v>137</v>
      </c>
      <c r="D60" s="82" t="s">
        <v>41</v>
      </c>
      <c r="E60" s="91">
        <v>8</v>
      </c>
      <c r="F60" s="13">
        <v>16</v>
      </c>
      <c r="G60" s="85">
        <v>180.78</v>
      </c>
      <c r="H60" s="86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6" t="s">
        <v>43</v>
      </c>
      <c r="C61" s="76"/>
      <c r="D61" s="76"/>
      <c r="E61" s="76"/>
      <c r="F61" s="76"/>
      <c r="G61" s="76"/>
      <c r="H61" s="76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2" t="s">
        <v>149</v>
      </c>
      <c r="C62" s="83"/>
      <c r="D62" s="82" t="s">
        <v>52</v>
      </c>
      <c r="E62" s="84">
        <v>1349.3</v>
      </c>
      <c r="F62" s="86">
        <v>13.493</v>
      </c>
      <c r="G62" s="13">
        <v>793.61</v>
      </c>
      <c r="H62" s="92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93" t="s">
        <v>91</v>
      </c>
      <c r="C63" s="94" t="s">
        <v>26</v>
      </c>
      <c r="D63" s="93"/>
      <c r="E63" s="95">
        <v>270</v>
      </c>
      <c r="F63" s="96">
        <v>2400</v>
      </c>
      <c r="G63" s="97">
        <v>1.2</v>
      </c>
      <c r="H63" s="98">
        <f>F63*G63</f>
        <v>2880</v>
      </c>
      <c r="I63" s="13">
        <f>F63/12*G63</f>
        <v>240</v>
      </c>
      <c r="J63" s="23"/>
      <c r="L63" s="19"/>
      <c r="M63" s="20"/>
      <c r="N63" s="21"/>
    </row>
    <row r="64" spans="1:14" ht="15.75" customHeight="1">
      <c r="A64" s="40"/>
      <c r="B64" s="76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99" t="s">
        <v>45</v>
      </c>
      <c r="C65" s="16" t="s">
        <v>117</v>
      </c>
      <c r="D65" s="99" t="s">
        <v>65</v>
      </c>
      <c r="E65" s="18">
        <v>40</v>
      </c>
      <c r="F65" s="85">
        <v>40</v>
      </c>
      <c r="G65" s="13">
        <v>222.4</v>
      </c>
      <c r="H65" s="100">
        <f t="shared" ref="H65:H72" si="8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99" t="s">
        <v>46</v>
      </c>
      <c r="C66" s="16" t="s">
        <v>117</v>
      </c>
      <c r="D66" s="99" t="s">
        <v>65</v>
      </c>
      <c r="E66" s="18">
        <v>20</v>
      </c>
      <c r="F66" s="85">
        <v>20</v>
      </c>
      <c r="G66" s="13">
        <v>76.25</v>
      </c>
      <c r="H66" s="100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99" t="s">
        <v>47</v>
      </c>
      <c r="C67" s="16" t="s">
        <v>120</v>
      </c>
      <c r="D67" s="99" t="s">
        <v>52</v>
      </c>
      <c r="E67" s="84">
        <v>18890</v>
      </c>
      <c r="F67" s="13">
        <f>SUM(E67/100)</f>
        <v>188.9</v>
      </c>
      <c r="G67" s="13">
        <v>212.15</v>
      </c>
      <c r="H67" s="100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99" t="s">
        <v>48</v>
      </c>
      <c r="C68" s="16" t="s">
        <v>121</v>
      </c>
      <c r="D68" s="99"/>
      <c r="E68" s="84">
        <v>18890</v>
      </c>
      <c r="F68" s="13">
        <f>SUM(E68/1000)</f>
        <v>18.89</v>
      </c>
      <c r="G68" s="13">
        <v>165.21</v>
      </c>
      <c r="H68" s="100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99" t="s">
        <v>49</v>
      </c>
      <c r="C69" s="16" t="s">
        <v>75</v>
      </c>
      <c r="D69" s="99" t="s">
        <v>52</v>
      </c>
      <c r="E69" s="84">
        <v>3004</v>
      </c>
      <c r="F69" s="13">
        <f>SUM(E69/100)</f>
        <v>30.04</v>
      </c>
      <c r="G69" s="13">
        <v>2074.63</v>
      </c>
      <c r="H69" s="100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1" t="s">
        <v>122</v>
      </c>
      <c r="C70" s="16" t="s">
        <v>33</v>
      </c>
      <c r="D70" s="99"/>
      <c r="E70" s="84">
        <v>15.8</v>
      </c>
      <c r="F70" s="13">
        <f>SUM(E70)</f>
        <v>15.8</v>
      </c>
      <c r="G70" s="13">
        <v>42.67</v>
      </c>
      <c r="H70" s="100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1" t="s">
        <v>123</v>
      </c>
      <c r="C71" s="16" t="s">
        <v>33</v>
      </c>
      <c r="D71" s="99"/>
      <c r="E71" s="84">
        <v>15.8</v>
      </c>
      <c r="F71" s="13">
        <f>SUM(E71)</f>
        <v>15.8</v>
      </c>
      <c r="G71" s="13">
        <v>39.81</v>
      </c>
      <c r="H71" s="100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75"/>
      <c r="S71" s="175"/>
      <c r="T71" s="175"/>
      <c r="U71" s="175"/>
    </row>
    <row r="72" spans="1:22" ht="15.75" customHeight="1">
      <c r="A72" s="29">
        <v>16</v>
      </c>
      <c r="B72" s="99" t="s">
        <v>55</v>
      </c>
      <c r="C72" s="16" t="s">
        <v>56</v>
      </c>
      <c r="D72" s="99" t="s">
        <v>52</v>
      </c>
      <c r="E72" s="18">
        <v>15</v>
      </c>
      <c r="F72" s="85">
        <v>15</v>
      </c>
      <c r="G72" s="13">
        <v>49.88</v>
      </c>
      <c r="H72" s="100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1"/>
      <c r="B73" s="76" t="s">
        <v>124</v>
      </c>
      <c r="C73" s="76"/>
      <c r="D73" s="76"/>
      <c r="E73" s="76"/>
      <c r="F73" s="76"/>
      <c r="G73" s="76"/>
      <c r="H73" s="76"/>
      <c r="I73" s="18"/>
    </row>
    <row r="74" spans="1:22" ht="15.75" hidden="1" customHeight="1">
      <c r="A74" s="29">
        <v>11</v>
      </c>
      <c r="B74" s="82" t="s">
        <v>125</v>
      </c>
      <c r="C74" s="16"/>
      <c r="D74" s="99"/>
      <c r="E74" s="77"/>
      <c r="F74" s="13">
        <v>1</v>
      </c>
      <c r="G74" s="13">
        <v>27865.200000000001</v>
      </c>
      <c r="H74" s="100">
        <f>G74*F74/1000</f>
        <v>27.865200000000002</v>
      </c>
      <c r="I74" s="13">
        <f>G74</f>
        <v>27865.200000000001</v>
      </c>
    </row>
    <row r="75" spans="1:22" ht="18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8" customHeight="1">
      <c r="A76" s="29">
        <v>17</v>
      </c>
      <c r="B76" s="99" t="s">
        <v>71</v>
      </c>
      <c r="C76" s="16" t="s">
        <v>73</v>
      </c>
      <c r="D76" s="99"/>
      <c r="E76" s="18">
        <v>10</v>
      </c>
      <c r="F76" s="13">
        <v>1</v>
      </c>
      <c r="G76" s="13">
        <v>501.62</v>
      </c>
      <c r="H76" s="100">
        <f t="shared" ref="H76:H80" si="10">SUM(F76*G76/1000)</f>
        <v>0.50161999999999995</v>
      </c>
      <c r="I76" s="13">
        <f>G76*0.2</f>
        <v>100.32400000000001</v>
      </c>
    </row>
    <row r="77" spans="1:22" ht="30" hidden="1" customHeight="1">
      <c r="A77" s="29"/>
      <c r="B77" s="99" t="s">
        <v>138</v>
      </c>
      <c r="C77" s="16" t="s">
        <v>31</v>
      </c>
      <c r="D77" s="99"/>
      <c r="E77" s="18">
        <v>1</v>
      </c>
      <c r="F77" s="13">
        <v>1</v>
      </c>
      <c r="G77" s="13">
        <v>99.85</v>
      </c>
      <c r="H77" s="100">
        <f>F77*G77/1000</f>
        <v>9.9849999999999994E-2</v>
      </c>
      <c r="I77" s="13">
        <v>0</v>
      </c>
    </row>
    <row r="78" spans="1:22" ht="32.25" hidden="1" customHeight="1">
      <c r="A78" s="29"/>
      <c r="B78" s="99" t="s">
        <v>139</v>
      </c>
      <c r="C78" s="16" t="s">
        <v>31</v>
      </c>
      <c r="D78" s="99"/>
      <c r="E78" s="18">
        <v>1</v>
      </c>
      <c r="F78" s="13">
        <v>1</v>
      </c>
      <c r="G78" s="13">
        <v>120.26</v>
      </c>
      <c r="H78" s="100">
        <f>F78*G78/1000</f>
        <v>0.12026000000000001</v>
      </c>
      <c r="I78" s="13">
        <v>0</v>
      </c>
    </row>
    <row r="79" spans="1:22" ht="33.75" hidden="1" customHeight="1">
      <c r="A79" s="29">
        <v>19</v>
      </c>
      <c r="B79" s="99" t="s">
        <v>72</v>
      </c>
      <c r="C79" s="16" t="s">
        <v>31</v>
      </c>
      <c r="D79" s="99"/>
      <c r="E79" s="18">
        <v>2</v>
      </c>
      <c r="F79" s="97">
        <v>2</v>
      </c>
      <c r="G79" s="13">
        <v>852.99</v>
      </c>
      <c r="H79" s="100">
        <f>F79*G79/1000</f>
        <v>1.7059800000000001</v>
      </c>
      <c r="I79" s="13">
        <f>G79</f>
        <v>852.99</v>
      </c>
    </row>
    <row r="80" spans="1:22" ht="34.5" hidden="1" customHeight="1">
      <c r="A80" s="29">
        <v>10</v>
      </c>
      <c r="B80" s="99" t="s">
        <v>85</v>
      </c>
      <c r="C80" s="16" t="s">
        <v>117</v>
      </c>
      <c r="D80" s="99"/>
      <c r="E80" s="18">
        <v>1</v>
      </c>
      <c r="F80" s="85">
        <f>SUM(E80)</f>
        <v>1</v>
      </c>
      <c r="G80" s="13">
        <v>358.51</v>
      </c>
      <c r="H80" s="100">
        <f t="shared" si="10"/>
        <v>0.35851</v>
      </c>
      <c r="I80" s="13">
        <f>G80</f>
        <v>358.51</v>
      </c>
    </row>
    <row r="81" spans="1:9" ht="30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22.5" hidden="1" customHeight="1">
      <c r="A82" s="29">
        <v>39</v>
      </c>
      <c r="B82" s="51" t="s">
        <v>126</v>
      </c>
      <c r="C82" s="16" t="s">
        <v>75</v>
      </c>
      <c r="D82" s="99"/>
      <c r="E82" s="18"/>
      <c r="F82" s="13">
        <v>1.35</v>
      </c>
      <c r="G82" s="13">
        <v>2759.44</v>
      </c>
      <c r="H82" s="100">
        <f t="shared" ref="H82" si="11">SUM(F82*G82/1000)</f>
        <v>3.725244</v>
      </c>
      <c r="I82" s="13">
        <v>0</v>
      </c>
    </row>
    <row r="83" spans="1:9" ht="15.75" customHeight="1">
      <c r="A83" s="184" t="s">
        <v>146</v>
      </c>
      <c r="B83" s="185"/>
      <c r="C83" s="185"/>
      <c r="D83" s="185"/>
      <c r="E83" s="185"/>
      <c r="F83" s="185"/>
      <c r="G83" s="185"/>
      <c r="H83" s="185"/>
      <c r="I83" s="186"/>
    </row>
    <row r="84" spans="1:9" ht="15.75" customHeight="1">
      <c r="A84" s="29">
        <v>18</v>
      </c>
      <c r="B84" s="32" t="s">
        <v>127</v>
      </c>
      <c r="C84" s="38" t="s">
        <v>53</v>
      </c>
      <c r="D84" s="63" t="s">
        <v>150</v>
      </c>
      <c r="E84" s="36">
        <v>5162.6000000000004</v>
      </c>
      <c r="F84" s="36">
        <f>SUM(E84*12)</f>
        <v>61951.200000000004</v>
      </c>
      <c r="G84" s="36">
        <v>2.1</v>
      </c>
      <c r="H84" s="102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19</v>
      </c>
      <c r="B85" s="99" t="s">
        <v>76</v>
      </c>
      <c r="C85" s="16"/>
      <c r="D85" s="63" t="s">
        <v>150</v>
      </c>
      <c r="E85" s="84">
        <v>5162.6000000000004</v>
      </c>
      <c r="F85" s="13">
        <f>E85*12</f>
        <v>61951.200000000004</v>
      </c>
      <c r="G85" s="13">
        <v>1.63</v>
      </c>
      <c r="H85" s="100">
        <f>F85*G85/1000</f>
        <v>100.980456</v>
      </c>
      <c r="I85" s="13">
        <f>F85/12*G85</f>
        <v>8415.0380000000005</v>
      </c>
    </row>
    <row r="86" spans="1:9" ht="15.75" customHeight="1">
      <c r="A86" s="81"/>
      <c r="B86" s="39" t="s">
        <v>79</v>
      </c>
      <c r="C86" s="40"/>
      <c r="D86" s="15"/>
      <c r="E86" s="15"/>
      <c r="F86" s="15"/>
      <c r="G86" s="18"/>
      <c r="H86" s="18"/>
      <c r="I86" s="31">
        <f>I85+I84+I76+I72+I65+I63+I51+I50+I49+I48+I47+I32+I34+I31+I28+I27+I18+I17+I16</f>
        <v>67291.40993262222</v>
      </c>
    </row>
    <row r="87" spans="1:9" ht="15.75" customHeight="1">
      <c r="A87" s="187" t="s">
        <v>58</v>
      </c>
      <c r="B87" s="188"/>
      <c r="C87" s="188"/>
      <c r="D87" s="188"/>
      <c r="E87" s="188"/>
      <c r="F87" s="188"/>
      <c r="G87" s="188"/>
      <c r="H87" s="188"/>
      <c r="I87" s="189"/>
    </row>
    <row r="88" spans="1:9" ht="15.75" customHeight="1">
      <c r="A88" s="29">
        <v>20</v>
      </c>
      <c r="B88" s="66" t="s">
        <v>178</v>
      </c>
      <c r="C88" s="67" t="s">
        <v>175</v>
      </c>
      <c r="D88" s="64"/>
      <c r="E88" s="36"/>
      <c r="F88" s="36">
        <v>7</v>
      </c>
      <c r="G88" s="36">
        <v>134.12</v>
      </c>
      <c r="H88" s="102">
        <f t="shared" ref="H88:H90" si="12">G88*F88/1000</f>
        <v>0.93884000000000001</v>
      </c>
      <c r="I88" s="13">
        <f>G88*53</f>
        <v>7108.3600000000006</v>
      </c>
    </row>
    <row r="89" spans="1:9" ht="31.5" customHeight="1">
      <c r="A89" s="29">
        <v>21</v>
      </c>
      <c r="B89" s="55" t="s">
        <v>140</v>
      </c>
      <c r="C89" s="65" t="s">
        <v>37</v>
      </c>
      <c r="D89" s="51"/>
      <c r="E89" s="36"/>
      <c r="F89" s="36">
        <v>35</v>
      </c>
      <c r="G89" s="36">
        <v>3724.37</v>
      </c>
      <c r="H89" s="102">
        <f t="shared" si="12"/>
        <v>130.35294999999999</v>
      </c>
      <c r="I89" s="13">
        <f>G89*0.01</f>
        <v>37.243699999999997</v>
      </c>
    </row>
    <row r="90" spans="1:9" ht="31.5" customHeight="1">
      <c r="A90" s="29">
        <v>22</v>
      </c>
      <c r="B90" s="66" t="s">
        <v>202</v>
      </c>
      <c r="C90" s="67" t="s">
        <v>203</v>
      </c>
      <c r="D90" s="51"/>
      <c r="E90" s="13"/>
      <c r="F90" s="13">
        <v>7</v>
      </c>
      <c r="G90" s="36">
        <v>24829.08</v>
      </c>
      <c r="H90" s="100">
        <f t="shared" si="12"/>
        <v>173.80356</v>
      </c>
      <c r="I90" s="13">
        <f>G90*0.01</f>
        <v>248.29080000000002</v>
      </c>
    </row>
    <row r="91" spans="1:9" ht="15.75" customHeight="1">
      <c r="A91" s="29">
        <v>23</v>
      </c>
      <c r="B91" s="66" t="s">
        <v>170</v>
      </c>
      <c r="C91" s="67" t="s">
        <v>117</v>
      </c>
      <c r="D91" s="64"/>
      <c r="E91" s="36"/>
      <c r="F91" s="36">
        <v>9</v>
      </c>
      <c r="G91" s="36">
        <v>197.48</v>
      </c>
      <c r="H91" s="102">
        <f>G91*F91/1000</f>
        <v>1.77732</v>
      </c>
      <c r="I91" s="13">
        <f>G91*1</f>
        <v>197.48</v>
      </c>
    </row>
    <row r="92" spans="1:9" ht="20.25" hidden="1" customHeight="1">
      <c r="A92" s="29">
        <v>23</v>
      </c>
      <c r="B92" s="55"/>
      <c r="C92" s="65"/>
      <c r="D92" s="51"/>
      <c r="E92" s="13"/>
      <c r="F92" s="13">
        <v>0.11</v>
      </c>
      <c r="G92" s="13"/>
      <c r="H92" s="100">
        <f>G92*F92/1000</f>
        <v>0</v>
      </c>
      <c r="I92" s="13"/>
    </row>
    <row r="93" spans="1:9" ht="15.75" hidden="1" customHeight="1">
      <c r="A93" s="29">
        <v>24</v>
      </c>
      <c r="B93" s="55"/>
      <c r="C93" s="65"/>
      <c r="D93" s="51"/>
      <c r="E93" s="36"/>
      <c r="F93" s="36">
        <v>15</v>
      </c>
      <c r="G93" s="36"/>
      <c r="H93" s="102">
        <f t="shared" ref="H93" si="13">G93*F93/1000</f>
        <v>0</v>
      </c>
      <c r="I93" s="13"/>
    </row>
    <row r="94" spans="1:9" ht="19.5" hidden="1" customHeight="1">
      <c r="A94" s="29">
        <v>25</v>
      </c>
      <c r="B94" s="55"/>
      <c r="C94" s="65"/>
      <c r="D94" s="64"/>
      <c r="E94" s="36"/>
      <c r="F94" s="36">
        <v>4</v>
      </c>
      <c r="G94" s="36"/>
      <c r="H94" s="102">
        <f>G94*F94/1000</f>
        <v>0</v>
      </c>
      <c r="I94" s="13"/>
    </row>
    <row r="95" spans="1:9" ht="15.75" hidden="1" customHeight="1">
      <c r="A95" s="29">
        <v>26</v>
      </c>
      <c r="B95" s="66"/>
      <c r="C95" s="67"/>
      <c r="D95" s="64"/>
      <c r="E95" s="36"/>
      <c r="F95" s="36">
        <v>1</v>
      </c>
      <c r="G95" s="36"/>
      <c r="H95" s="100">
        <f t="shared" ref="H95:H98" si="14">G95*F95/1000</f>
        <v>0</v>
      </c>
      <c r="I95" s="13"/>
    </row>
    <row r="96" spans="1:9" ht="15" hidden="1" customHeight="1">
      <c r="A96" s="29">
        <v>27</v>
      </c>
      <c r="B96" s="66"/>
      <c r="C96" s="67"/>
      <c r="D96" s="64"/>
      <c r="E96" s="36"/>
      <c r="F96" s="36">
        <f>1.25/10</f>
        <v>0.125</v>
      </c>
      <c r="G96" s="36"/>
      <c r="H96" s="100">
        <f t="shared" si="14"/>
        <v>0</v>
      </c>
      <c r="I96" s="13"/>
    </row>
    <row r="97" spans="1:9" ht="21" hidden="1" customHeight="1">
      <c r="A97" s="29">
        <v>28</v>
      </c>
      <c r="B97" s="66"/>
      <c r="C97" s="105"/>
      <c r="D97" s="64"/>
      <c r="E97" s="36"/>
      <c r="F97" s="36">
        <f>3/10</f>
        <v>0.3</v>
      </c>
      <c r="G97" s="36"/>
      <c r="H97" s="100">
        <f t="shared" si="14"/>
        <v>0</v>
      </c>
      <c r="I97" s="13"/>
    </row>
    <row r="98" spans="1:9" ht="15.75" hidden="1" customHeight="1">
      <c r="A98" s="29">
        <v>29</v>
      </c>
      <c r="B98" s="66"/>
      <c r="C98" s="67"/>
      <c r="D98" s="64"/>
      <c r="E98" s="36"/>
      <c r="F98" s="36">
        <f>0.8/10</f>
        <v>0.08</v>
      </c>
      <c r="G98" s="36"/>
      <c r="H98" s="100">
        <f t="shared" si="14"/>
        <v>0</v>
      </c>
      <c r="I98" s="13"/>
    </row>
    <row r="99" spans="1:9" ht="15.75" customHeight="1">
      <c r="A99" s="29">
        <v>24</v>
      </c>
      <c r="B99" s="66" t="s">
        <v>235</v>
      </c>
      <c r="C99" s="146" t="s">
        <v>163</v>
      </c>
      <c r="D99" s="147"/>
      <c r="E99" s="148"/>
      <c r="F99" s="148"/>
      <c r="G99" s="148">
        <v>546.01</v>
      </c>
      <c r="H99" s="149"/>
      <c r="I99" s="150">
        <f>G99*1</f>
        <v>546.01</v>
      </c>
    </row>
    <row r="100" spans="1:9" ht="15.75" customHeight="1">
      <c r="A100" s="29"/>
      <c r="B100" s="45" t="s">
        <v>50</v>
      </c>
      <c r="C100" s="41"/>
      <c r="D100" s="53"/>
      <c r="E100" s="41">
        <v>1</v>
      </c>
      <c r="F100" s="41"/>
      <c r="G100" s="41"/>
      <c r="H100" s="41"/>
      <c r="I100" s="31">
        <f>SUM(I88:I99)</f>
        <v>8137.3845000000001</v>
      </c>
    </row>
    <row r="101" spans="1:9" ht="15.75" customHeight="1">
      <c r="A101" s="29"/>
      <c r="B101" s="51" t="s">
        <v>77</v>
      </c>
      <c r="C101" s="15"/>
      <c r="D101" s="15"/>
      <c r="E101" s="42"/>
      <c r="F101" s="42"/>
      <c r="G101" s="43"/>
      <c r="H101" s="43"/>
      <c r="I101" s="17">
        <v>0</v>
      </c>
    </row>
    <row r="102" spans="1:9" ht="15.75" customHeight="1">
      <c r="A102" s="54"/>
      <c r="B102" s="46" t="s">
        <v>152</v>
      </c>
      <c r="C102" s="34"/>
      <c r="D102" s="34"/>
      <c r="E102" s="34"/>
      <c r="F102" s="34"/>
      <c r="G102" s="34"/>
      <c r="H102" s="34"/>
      <c r="I102" s="44">
        <f>I86+I100</f>
        <v>75428.79443262222</v>
      </c>
    </row>
    <row r="103" spans="1:9" ht="15.75">
      <c r="A103" s="181" t="s">
        <v>236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>
      <c r="A104" s="61"/>
      <c r="B104" s="182" t="s">
        <v>237</v>
      </c>
      <c r="C104" s="182"/>
      <c r="D104" s="182"/>
      <c r="E104" s="182"/>
      <c r="F104" s="182"/>
      <c r="G104" s="182"/>
      <c r="H104" s="80"/>
      <c r="I104" s="3"/>
    </row>
    <row r="105" spans="1:9">
      <c r="A105" s="74"/>
      <c r="B105" s="180" t="s">
        <v>6</v>
      </c>
      <c r="C105" s="180"/>
      <c r="D105" s="180"/>
      <c r="E105" s="180"/>
      <c r="F105" s="180"/>
      <c r="G105" s="180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83" t="s">
        <v>7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15.75">
      <c r="A108" s="183" t="s">
        <v>8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>
      <c r="A109" s="177" t="s">
        <v>59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5.75">
      <c r="A110" s="11"/>
    </row>
    <row r="111" spans="1:9" ht="15.75">
      <c r="A111" s="178" t="s">
        <v>9</v>
      </c>
      <c r="B111" s="178"/>
      <c r="C111" s="178"/>
      <c r="D111" s="178"/>
      <c r="E111" s="178"/>
      <c r="F111" s="178"/>
      <c r="G111" s="178"/>
      <c r="H111" s="178"/>
      <c r="I111" s="178"/>
    </row>
    <row r="112" spans="1:9" ht="15.75">
      <c r="A112" s="4"/>
    </row>
    <row r="113" spans="1:9" ht="15.75">
      <c r="B113" s="72" t="s">
        <v>10</v>
      </c>
      <c r="C113" s="179" t="s">
        <v>86</v>
      </c>
      <c r="D113" s="179"/>
      <c r="E113" s="179"/>
      <c r="F113" s="78"/>
      <c r="I113" s="73"/>
    </row>
    <row r="114" spans="1:9">
      <c r="A114" s="74"/>
      <c r="C114" s="180" t="s">
        <v>11</v>
      </c>
      <c r="D114" s="180"/>
      <c r="E114" s="180"/>
      <c r="F114" s="24"/>
      <c r="I114" s="71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72" t="s">
        <v>13</v>
      </c>
      <c r="C116" s="174"/>
      <c r="D116" s="174"/>
      <c r="E116" s="174"/>
      <c r="F116" s="79"/>
      <c r="I116" s="73"/>
    </row>
    <row r="117" spans="1:9">
      <c r="A117" s="74"/>
      <c r="C117" s="175" t="s">
        <v>11</v>
      </c>
      <c r="D117" s="175"/>
      <c r="E117" s="175"/>
      <c r="F117" s="74"/>
      <c r="I117" s="71" t="s">
        <v>12</v>
      </c>
    </row>
    <row r="118" spans="1:9" ht="15.75">
      <c r="A118" s="4" t="s">
        <v>14</v>
      </c>
    </row>
    <row r="119" spans="1:9">
      <c r="A119" s="176" t="s">
        <v>15</v>
      </c>
      <c r="B119" s="176"/>
      <c r="C119" s="176"/>
      <c r="D119" s="176"/>
      <c r="E119" s="176"/>
      <c r="F119" s="176"/>
      <c r="G119" s="176"/>
      <c r="H119" s="176"/>
      <c r="I119" s="176"/>
    </row>
    <row r="120" spans="1:9" ht="45" customHeight="1">
      <c r="A120" s="173" t="s">
        <v>16</v>
      </c>
      <c r="B120" s="173"/>
      <c r="C120" s="173"/>
      <c r="D120" s="173"/>
      <c r="E120" s="173"/>
      <c r="F120" s="173"/>
      <c r="G120" s="173"/>
      <c r="H120" s="173"/>
      <c r="I120" s="173"/>
    </row>
    <row r="121" spans="1:9" ht="30" customHeight="1">
      <c r="A121" s="173" t="s">
        <v>17</v>
      </c>
      <c r="B121" s="173"/>
      <c r="C121" s="173"/>
      <c r="D121" s="173"/>
      <c r="E121" s="173"/>
      <c r="F121" s="173"/>
      <c r="G121" s="173"/>
      <c r="H121" s="173"/>
      <c r="I121" s="173"/>
    </row>
    <row r="122" spans="1:9" ht="30" customHeight="1">
      <c r="A122" s="173" t="s">
        <v>21</v>
      </c>
      <c r="B122" s="173"/>
      <c r="C122" s="173"/>
      <c r="D122" s="173"/>
      <c r="E122" s="173"/>
      <c r="F122" s="173"/>
      <c r="G122" s="173"/>
      <c r="H122" s="173"/>
      <c r="I122" s="173"/>
    </row>
    <row r="123" spans="1:9" ht="15" customHeight="1">
      <c r="A123" s="173" t="s">
        <v>20</v>
      </c>
      <c r="B123" s="173"/>
      <c r="C123" s="173"/>
      <c r="D123" s="173"/>
      <c r="E123" s="173"/>
      <c r="F123" s="173"/>
      <c r="G123" s="173"/>
      <c r="H123" s="173"/>
      <c r="I123" s="173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7:E117"/>
    <mergeCell ref="A87:I87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3:I83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2017-12-12T13:41:19Z</cp:lastPrinted>
  <dcterms:created xsi:type="dcterms:W3CDTF">2016-03-25T08:33:47Z</dcterms:created>
  <dcterms:modified xsi:type="dcterms:W3CDTF">2019-02-04T06:58:55Z</dcterms:modified>
</cp:coreProperties>
</file>