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</sheets>
  <definedNames>
    <definedName name="_xlnm._FilterDatabase" localSheetId="0" hidden="1">'01.16'!$I$12:$I$62</definedName>
    <definedName name="_xlnm._FilterDatabase" localSheetId="1" hidden="1">'02.16'!$I$12:$I$62</definedName>
    <definedName name="_xlnm._FilterDatabase" localSheetId="2" hidden="1">'03.16'!$I$12:$I$62</definedName>
    <definedName name="_xlnm._FilterDatabase" localSheetId="3" hidden="1">'04.16'!$I$12:$I$62</definedName>
    <definedName name="_xlnm._FilterDatabase" localSheetId="4" hidden="1">'05.16'!$I$12:$I$62</definedName>
    <definedName name="_xlnm._FilterDatabase" localSheetId="5" hidden="1">'06.16'!$I$12:$I$62</definedName>
    <definedName name="_xlnm._FilterDatabase" localSheetId="6" hidden="1">'07.16'!$I$12:$I$62</definedName>
    <definedName name="_xlnm._FilterDatabase" localSheetId="7" hidden="1">'08.16'!$I$12:$I$62</definedName>
    <definedName name="_xlnm._FilterDatabase" localSheetId="8" hidden="1">'09.16'!$I$12:$I$62</definedName>
    <definedName name="_xlnm._FilterDatabase" localSheetId="9" hidden="1">'10.16'!$I$12:$I$62</definedName>
    <definedName name="_xlnm._FilterDatabase" localSheetId="10" hidden="1">'11.16'!$G$13:$G$97</definedName>
    <definedName name="_xlnm._FilterDatabase" localSheetId="11" hidden="1">'12.16'!$G$12:$G$67</definedName>
    <definedName name="_xlnm.Print_Titles" localSheetId="10">'11.16'!$13:$14</definedName>
    <definedName name="_xlnm.Print_Area" localSheetId="0">'01.16'!$A$1:$I$144</definedName>
    <definedName name="_xlnm.Print_Area" localSheetId="1">'02.16'!$A$1:$I$121</definedName>
    <definedName name="_xlnm.Print_Area" localSheetId="2">'03.16'!$A$1:$I$113</definedName>
    <definedName name="_xlnm.Print_Area" localSheetId="3">'04.16'!$A$1:$I$110</definedName>
    <definedName name="_xlnm.Print_Area" localSheetId="4">'05.16'!$A$1:$I$127</definedName>
    <definedName name="_xlnm.Print_Area" localSheetId="5">'06.16'!$A$1:$I$122</definedName>
    <definedName name="_xlnm.Print_Area" localSheetId="6">'07.16'!$A$1:$I$111</definedName>
    <definedName name="_xlnm.Print_Area" localSheetId="7">'08.16'!$A$1:$I$111</definedName>
    <definedName name="_xlnm.Print_Area" localSheetId="8">'09.16'!$A$1:$I$110</definedName>
    <definedName name="_xlnm.Print_Area" localSheetId="9">'10.16'!$A$1:$I$110</definedName>
    <definedName name="_xlnm.Print_Area" localSheetId="10">'11.16'!$A$1:$G$119</definedName>
    <definedName name="_xlnm.Print_Area" localSheetId="11">'12.16'!$A$1:$G$113</definedName>
  </definedNames>
  <calcPr calcId="124519"/>
</workbook>
</file>

<file path=xl/calcChain.xml><?xml version="1.0" encoding="utf-8"?>
<calcChain xmlns="http://schemas.openxmlformats.org/spreadsheetml/2006/main">
  <c r="G90" i="8"/>
  <c r="G86"/>
  <c r="I86" i="26"/>
  <c r="I87" s="1"/>
  <c r="I54"/>
  <c r="H86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86" i="25"/>
  <c r="F86"/>
  <c r="H86" s="1"/>
  <c r="I87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7" i="24"/>
  <c r="I86"/>
  <c r="H70" i="26" l="1"/>
  <c r="H17"/>
  <c r="H68"/>
  <c r="H72"/>
  <c r="I52"/>
  <c r="I53"/>
  <c r="H18"/>
  <c r="I18"/>
  <c r="H83"/>
  <c r="I83"/>
  <c r="H16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I49" i="25"/>
  <c r="I47"/>
  <c r="I50"/>
  <c r="I48"/>
  <c r="I46"/>
  <c r="H70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H87" i="24"/>
  <c r="F86"/>
  <c r="H86" s="1"/>
  <c r="I88"/>
  <c r="E83"/>
  <c r="F83" s="1"/>
  <c r="H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7" i="23"/>
  <c r="I86"/>
  <c r="I80"/>
  <c r="I65"/>
  <c r="H87"/>
  <c r="H86"/>
  <c r="I88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98" i="22"/>
  <c r="I97"/>
  <c r="I96"/>
  <c r="I95"/>
  <c r="I94"/>
  <c r="I93"/>
  <c r="I92"/>
  <c r="I91"/>
  <c r="I90"/>
  <c r="I89"/>
  <c r="H90"/>
  <c r="H91"/>
  <c r="I88"/>
  <c r="I87"/>
  <c r="I86"/>
  <c r="I74"/>
  <c r="F98"/>
  <c r="H98" s="1"/>
  <c r="H97"/>
  <c r="H96"/>
  <c r="F95"/>
  <c r="H95" s="1"/>
  <c r="F94"/>
  <c r="H94" s="1"/>
  <c r="F93"/>
  <c r="H93" s="1"/>
  <c r="H92"/>
  <c r="H89"/>
  <c r="H88"/>
  <c r="H87"/>
  <c r="H86"/>
  <c r="I99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4" i="21"/>
  <c r="I104"/>
  <c r="I88"/>
  <c r="I84" i="26" l="1"/>
  <c r="I89" s="1"/>
  <c r="I84" i="25"/>
  <c r="I89" s="1"/>
  <c r="H16" i="24"/>
  <c r="H70"/>
  <c r="H20"/>
  <c r="H27"/>
  <c r="H39"/>
  <c r="H68"/>
  <c r="H72"/>
  <c r="H58"/>
  <c r="H41"/>
  <c r="H43"/>
  <c r="H31"/>
  <c r="I17"/>
  <c r="I18"/>
  <c r="I21"/>
  <c r="I26"/>
  <c r="I30"/>
  <c r="I32"/>
  <c r="I42"/>
  <c r="I51"/>
  <c r="I67"/>
  <c r="I69"/>
  <c r="I71"/>
  <c r="I82"/>
  <c r="I83"/>
  <c r="H17" i="23"/>
  <c r="H72"/>
  <c r="H18"/>
  <c r="I18"/>
  <c r="H83"/>
  <c r="I83"/>
  <c r="H16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I82"/>
  <c r="H72" i="22"/>
  <c r="H70"/>
  <c r="H83"/>
  <c r="I83"/>
  <c r="H18"/>
  <c r="I18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I71"/>
  <c r="I82"/>
  <c r="H79" i="24" l="1"/>
  <c r="I84"/>
  <c r="I90" s="1"/>
  <c r="I84" i="23"/>
  <c r="I90" s="1"/>
  <c r="H79"/>
  <c r="I84" i="22"/>
  <c r="I101" s="1"/>
  <c r="H79"/>
  <c r="I87" i="21" l="1"/>
  <c r="I86"/>
  <c r="I54"/>
  <c r="I24"/>
  <c r="H103"/>
  <c r="H102"/>
  <c r="H101"/>
  <c r="H100"/>
  <c r="H99"/>
  <c r="H98"/>
  <c r="F97"/>
  <c r="H97" s="1"/>
  <c r="H96"/>
  <c r="H95"/>
  <c r="F94"/>
  <c r="H94" s="1"/>
  <c r="F93"/>
  <c r="H93" s="1"/>
  <c r="F92"/>
  <c r="H92" s="1"/>
  <c r="H91"/>
  <c r="H88"/>
  <c r="H90"/>
  <c r="H89"/>
  <c r="H87"/>
  <c r="H86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6" i="20"/>
  <c r="I87" s="1"/>
  <c r="H86"/>
  <c r="F86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89" i="19"/>
  <c r="I90"/>
  <c r="I88"/>
  <c r="I87"/>
  <c r="I86"/>
  <c r="H89"/>
  <c r="H88"/>
  <c r="H87"/>
  <c r="H86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7" i="18"/>
  <c r="I96"/>
  <c r="I95"/>
  <c r="I94"/>
  <c r="I93"/>
  <c r="I92"/>
  <c r="I91"/>
  <c r="I90"/>
  <c r="I89"/>
  <c r="I88"/>
  <c r="I87"/>
  <c r="I86"/>
  <c r="I74"/>
  <c r="H97"/>
  <c r="H96"/>
  <c r="H95"/>
  <c r="H94"/>
  <c r="H93"/>
  <c r="H92"/>
  <c r="H91"/>
  <c r="H90"/>
  <c r="H89"/>
  <c r="H88"/>
  <c r="H87"/>
  <c r="H86"/>
  <c r="I98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22" i="21" l="1"/>
  <c r="I49"/>
  <c r="I47"/>
  <c r="I50"/>
  <c r="I19"/>
  <c r="I25"/>
  <c r="I23"/>
  <c r="I48"/>
  <c r="I46"/>
  <c r="I52"/>
  <c r="I53"/>
  <c r="H83"/>
  <c r="I83"/>
  <c r="H18"/>
  <c r="I18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H72"/>
  <c r="I82"/>
  <c r="H70" i="20"/>
  <c r="H68"/>
  <c r="H72"/>
  <c r="H17"/>
  <c r="H18"/>
  <c r="I18"/>
  <c r="H83"/>
  <c r="I83"/>
  <c r="H16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H18" i="19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H72"/>
  <c r="I82"/>
  <c r="H70" i="18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I106" i="21" l="1"/>
  <c r="H79"/>
  <c r="I84" i="20"/>
  <c r="I89" s="1"/>
  <c r="I84" i="19"/>
  <c r="I92" s="1"/>
  <c r="H79"/>
  <c r="I84" i="18"/>
  <c r="I100"/>
  <c r="I33" i="17" l="1"/>
  <c r="H120"/>
  <c r="H119"/>
  <c r="H118"/>
  <c r="H117"/>
  <c r="H116"/>
  <c r="H115"/>
  <c r="F114"/>
  <c r="H114" s="1"/>
  <c r="H113"/>
  <c r="H112"/>
  <c r="F111"/>
  <c r="H111" s="1"/>
  <c r="F110"/>
  <c r="H110" s="1"/>
  <c r="F109"/>
  <c r="H109" s="1"/>
  <c r="H108"/>
  <c r="H105"/>
  <c r="H107"/>
  <c r="H106"/>
  <c r="H104"/>
  <c r="H103"/>
  <c r="F102"/>
  <c r="H102" s="1"/>
  <c r="H101"/>
  <c r="H100"/>
  <c r="H99"/>
  <c r="H98"/>
  <c r="H97"/>
  <c r="H96"/>
  <c r="H95"/>
  <c r="H94"/>
  <c r="H93"/>
  <c r="H92"/>
  <c r="H91"/>
  <c r="H90"/>
  <c r="H89"/>
  <c r="H88"/>
  <c r="H87"/>
  <c r="I86"/>
  <c r="I121" s="1"/>
  <c r="H86"/>
  <c r="E83"/>
  <c r="F83" s="1"/>
  <c r="F82"/>
  <c r="I82" s="1"/>
  <c r="H80"/>
  <c r="H78"/>
  <c r="H76"/>
  <c r="F75"/>
  <c r="H75" s="1"/>
  <c r="F72"/>
  <c r="H72" s="1"/>
  <c r="F71"/>
  <c r="H71" s="1"/>
  <c r="F70"/>
  <c r="H70" s="1"/>
  <c r="F69"/>
  <c r="H69" s="1"/>
  <c r="F68"/>
  <c r="H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F27"/>
  <c r="I27" s="1"/>
  <c r="H36"/>
  <c r="H35"/>
  <c r="F26"/>
  <c r="H26" s="1"/>
  <c r="H34"/>
  <c r="F34"/>
  <c r="I34" s="1"/>
  <c r="F32"/>
  <c r="H32" s="1"/>
  <c r="F31"/>
  <c r="H31" s="1"/>
  <c r="F30"/>
  <c r="H30" s="1"/>
  <c r="F25"/>
  <c r="H25" s="1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2" l="1"/>
  <c r="I70"/>
  <c r="I68"/>
  <c r="I67"/>
  <c r="I71"/>
  <c r="I69"/>
  <c r="I30"/>
  <c r="I32"/>
  <c r="I31"/>
  <c r="H82"/>
  <c r="H27"/>
  <c r="H39"/>
  <c r="I18"/>
  <c r="H18"/>
  <c r="I83"/>
  <c r="H83"/>
  <c r="I16"/>
  <c r="I84" s="1"/>
  <c r="I123" s="1"/>
  <c r="H17"/>
  <c r="I20"/>
  <c r="H21"/>
  <c r="I26"/>
  <c r="H41"/>
  <c r="I42"/>
  <c r="H43"/>
  <c r="H51"/>
  <c r="H58"/>
  <c r="H79" s="1"/>
  <c r="G95" i="14" l="1"/>
  <c r="G84" i="8" l="1"/>
  <c r="E31" l="1"/>
  <c r="G92" l="1"/>
  <c r="G69" i="14" l="1"/>
  <c r="G98" s="1"/>
  <c r="E23" l="1"/>
  <c r="G64" l="1"/>
  <c r="G47"/>
  <c r="G46"/>
  <c r="G44"/>
  <c r="G43"/>
  <c r="E43"/>
  <c r="E44"/>
  <c r="E45"/>
  <c r="G42"/>
  <c r="G41"/>
  <c r="G40"/>
  <c r="E27" l="1"/>
  <c r="E33"/>
  <c r="E38"/>
  <c r="E39"/>
  <c r="E40"/>
  <c r="E41"/>
  <c r="E42"/>
  <c r="E50"/>
  <c r="E56"/>
  <c r="E59"/>
  <c r="E61"/>
  <c r="E62"/>
  <c r="E63"/>
  <c r="E65"/>
  <c r="E67"/>
  <c r="G38" l="1"/>
  <c r="G39"/>
  <c r="E37" l="1"/>
  <c r="J67"/>
  <c r="E32" l="1"/>
  <c r="E28"/>
  <c r="G37" l="1"/>
  <c r="G45"/>
  <c r="G65"/>
  <c r="E34"/>
  <c r="E35" l="1"/>
  <c r="H67" l="1"/>
  <c r="H68" s="1"/>
</calcChain>
</file>

<file path=xl/sharedStrings.xml><?xml version="1.0" encoding="utf-8"?>
<sst xmlns="http://schemas.openxmlformats.org/spreadsheetml/2006/main" count="2746" uniqueCount="317">
  <si>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</si>
  <si>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</si>
  <si>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</si>
  <si>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</si>
  <si>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</si>
  <si>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</si>
  <si>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</si>
  <si>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</si>
  <si>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</si>
  <si>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</si>
  <si>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</si>
  <si>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</si>
  <si>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</si>
  <si>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</si>
  <si>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</si>
  <si>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</si>
  <si>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</si>
  <si>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</si>
  <si>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</si>
  <si>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</si>
  <si>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</si>
  <si>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</si>
  <si>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</si>
  <si>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</si>
  <si>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</si>
  <si>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</si>
  <si>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</si>
  <si>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</si>
  <si>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</si>
  <si>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</si>
  <si>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</si>
  <si>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</si>
  <si>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</si>
  <si>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</si>
  <si>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</si>
  <si>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</si>
  <si>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</si>
  <si>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</si>
  <si>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</si>
  <si>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</si>
  <si>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</si>
  <si>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</si>
  <si>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</si>
  <si>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</si>
  <si>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</si>
  <si>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</si>
  <si>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</si>
  <si>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</si>
  <si>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</si>
  <si>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</si>
  <si>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</si>
  <si>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</si>
  <si>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</si>
  <si>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</si>
  <si>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</si>
  <si>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</si>
  <si>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</si>
  <si>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</si>
  <si>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</si>
  <si>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</si>
  <si>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</si>
  <si>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</si>
  <si>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</si>
  <si>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</si>
  <si>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</si>
  <si>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</si>
  <si>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</si>
  <si>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</si>
  <si>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</si>
  <si>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</si>
  <si>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</si>
  <si>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</si>
  <si>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</si>
  <si>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</si>
  <si>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</si>
  <si>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</si>
  <si>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</si>
  <si>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</si>
  <si>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</si>
  <si>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</si>
  <si>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</si>
  <si>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весенне-осенний осмотр, 2 раза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</si>
  <si>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</si>
  <si>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</si>
  <si>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</si>
  <si>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</si>
  <si>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</si>
  <si>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</si>
  <si>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</si>
  <si>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</si>
  <si>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</si>
  <si>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</si>
  <si>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</si>
  <si>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</si>
  <si>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</si>
  <si>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</si>
  <si>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</si>
  <si>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</si>
  <si>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</si>
  <si>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</si>
  <si>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</si>
  <si>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</si>
  <si>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</si>
  <si>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</si>
  <si>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</si>
  <si>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</si>
  <si>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</si>
  <si>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</si>
  <si>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</si>
  <si>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</si>
  <si>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</si>
  <si>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</si>
  <si>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</si>
  <si>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</si>
  <si>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</si>
  <si>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</si>
  <si>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</si>
  <si>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</si>
  <si>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</si>
  <si>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сгонов у трубопроводов диаметром до 32 мм</t>
  </si>
  <si>
    <t>Смена дверных приборов - петли</t>
  </si>
  <si>
    <t>II. Уборка земельного участка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</si>
  <si>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</si>
  <si>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</si>
  <si>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</si>
  <si>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</si>
  <si>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</si>
  <si>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</si>
  <si>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</si>
  <si>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</si>
  <si>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</si>
  <si>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</si>
  <si>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</si>
  <si>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</si>
  <si>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</si>
  <si>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</si>
  <si>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</si>
  <si>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</si>
  <si>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</si>
  <si>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</si>
  <si>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</si>
  <si>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</si>
  <si>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</si>
  <si>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</si>
  <si>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</si>
  <si>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</si>
  <si>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</si>
  <si>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</si>
  <si>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</si>
  <si>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</si>
  <si>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</si>
  <si>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</si>
  <si>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</si>
  <si>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</si>
  <si>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</si>
  <si>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</si>
  <si>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</si>
  <si>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</si>
  <si>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</si>
  <si>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</si>
  <si>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</si>
  <si>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</si>
  <si>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</si>
  <si>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</si>
  <si>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</si>
  <si>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8 раз в месяц</t>
  </si>
  <si>
    <t>Зимняя уборка газонов от мусора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</si>
  <si>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</si>
  <si>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</si>
  <si>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</si>
  <si>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 xml:space="preserve">Ремонт и регулировка доводчика (со стоимостью доводчика) </t>
  </si>
  <si>
    <t>1 шт.</t>
  </si>
  <si>
    <t>маш/час</t>
  </si>
  <si>
    <t>Обработка деревянных перил наждачной бумагой</t>
  </si>
  <si>
    <t xml:space="preserve"> 10 м</t>
  </si>
  <si>
    <t>Влажная протирка подоконников</t>
  </si>
  <si>
    <t>Влажная протирка отопительных приборов</t>
  </si>
  <si>
    <t xml:space="preserve">Очистка края кровли  от слежавшегося снега со сбрасыванием сосулек (козырьки) </t>
  </si>
  <si>
    <t>Уплотнение сгонов с применением льняной пряди или асбестового шнура (без разборки сгонов)</t>
  </si>
  <si>
    <t>1 соединение</t>
  </si>
  <si>
    <t>Смена автомата на ток до 20 А (авт.выкл. ВА47-29 Iн-25А)</t>
  </si>
  <si>
    <t>Внеплановая проверка вентканалов</t>
  </si>
  <si>
    <t>Сдвигание снега в дни снегопада (проезды)</t>
  </si>
  <si>
    <t>Смена светодиодных светильников</t>
  </si>
  <si>
    <t>Смена дощатых полов с добавлением новых досок до25%</t>
  </si>
  <si>
    <t>1 раз в 2 месяца</t>
  </si>
  <si>
    <t>6 раз в месяц</t>
  </si>
  <si>
    <t>Обслуживание приборов тепловой энергии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</si>
  <si>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</si>
  <si>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 13 по  ул. Нефтяников  пгт. Ярега
</t>
  </si>
  <si>
    <t>Очистка козырьков от слежавшегося снега со сбрасыванием сосулек</t>
  </si>
  <si>
    <t xml:space="preserve">Смена сгонов у трубопроводов диаметром до 20 мм </t>
  </si>
  <si>
    <t>1 сгон</t>
  </si>
  <si>
    <t>3 м</t>
  </si>
  <si>
    <t>АКТ №12</t>
  </si>
  <si>
    <t>за период с 01.12.2016 г. по 31.12.2016 г.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</si>
  <si>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</si>
  <si>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</si>
  <si>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</si>
  <si>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</si>
  <si>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</si>
  <si>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</si>
  <si>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</si>
  <si>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</si>
  <si>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</si>
  <si>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</si>
  <si>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</si>
  <si>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</si>
  <si>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</si>
  <si>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 xml:space="preserve">Очистка урн от мусора 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</si>
  <si>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</si>
  <si>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</si>
  <si>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</si>
  <si>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</si>
  <si>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</si>
  <si>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</si>
  <si>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</si>
  <si>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</si>
  <si>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</si>
  <si>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</si>
  <si>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</si>
  <si>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</si>
  <si>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</si>
  <si>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</si>
  <si>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</si>
  <si>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</si>
  <si>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</si>
  <si>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</si>
  <si>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</si>
  <si>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</si>
  <si>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№13 по ул.Нефтяников пгт.Ярега
</t>
  </si>
  <si>
    <t>1 раз в  2 месяца</t>
  </si>
  <si>
    <t xml:space="preserve">2 раза в неделю </t>
  </si>
  <si>
    <t>Мытье лестничных площадок и маршей 1-5 этаж.</t>
  </si>
  <si>
    <t>Осмотр шиферной кровли</t>
  </si>
  <si>
    <t>Лестничная клетка</t>
  </si>
  <si>
    <t>Установка пружин на входных дверях</t>
  </si>
  <si>
    <t>Смена трубопроводов на металл-полимерные трубы д=20 (без учёта материала)</t>
  </si>
  <si>
    <t>2. Всего за период с  01.11.2016 г. по 30.11.2016 г. выполнено работ (оказано услуг) на общую сумму: 93779,57 руб.</t>
  </si>
  <si>
    <t>девяносто три тысячи семьсот семьдесят девять рублей 57 копеек)</t>
  </si>
  <si>
    <t>Смена вентиля диаметром до 32 мм (без стоимости материалов)</t>
  </si>
  <si>
    <t>Прогрев XВC</t>
  </si>
  <si>
    <t>III. Проведение технических осмотров</t>
  </si>
  <si>
    <t>IV. Содержание общего имущества МКД</t>
  </si>
  <si>
    <t>V. Прочие услуги</t>
  </si>
  <si>
    <t>АКТ №11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</si>
  <si>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13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</si>
  <si>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</si>
  <si>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</t>
  </si>
  <si>
    <t>Очистка урн от мусора</t>
  </si>
  <si>
    <t>ежедневно 365 раз</t>
  </si>
  <si>
    <t>Сдвигание снега в дни снегопада (тротуар, крыльца)</t>
  </si>
  <si>
    <t>Смена патронов (без материала)</t>
  </si>
  <si>
    <t>Ремонт и регулировка доводчика (со стоимостью доводчика)</t>
  </si>
  <si>
    <t>1шт.</t>
  </si>
  <si>
    <t>Смена арматуры - вентилей и клапанов обратных муфтовых диаметром до 32 мм</t>
  </si>
  <si>
    <t xml:space="preserve">Смена трубопроводов на металл-полимерные трубы д=20 </t>
  </si>
  <si>
    <t xml:space="preserve">Смена внутренних трубопроводов из стальных труб диаметром до 32 мм </t>
  </si>
  <si>
    <t>Смена внутренних трубопроводов из стальных труб диаметром до 50 мм</t>
  </si>
  <si>
    <t>Устройство хомута</t>
  </si>
  <si>
    <t>Замена кран-буксы</t>
  </si>
  <si>
    <t>Ремонт и регулировка доводчика (без стоимости доводчика)</t>
  </si>
  <si>
    <t>Ремонт силового предохранительного шкафа (без стоимости материалов)</t>
  </si>
  <si>
    <t>Смена плавкой вставки на электрощите</t>
  </si>
  <si>
    <t>Ремонт ступеней деревянных</t>
  </si>
  <si>
    <t>10 ступ.</t>
  </si>
  <si>
    <t>Смена вентилей диаметром до 20 мм (без материала)</t>
  </si>
  <si>
    <t>Герметизация стыков трубопроводов</t>
  </si>
  <si>
    <t>руб.</t>
  </si>
  <si>
    <t>Смена тройника 20</t>
  </si>
  <si>
    <t>Смена тройника 25</t>
  </si>
  <si>
    <t>Внеплановый осмотр элекгросетей, арматуры и электрооборудования на чердаках и подвалах</t>
  </si>
  <si>
    <t>Внеплановый осмотр вводных электрических щитков</t>
  </si>
  <si>
    <t>100шт</t>
  </si>
  <si>
    <t>Внеплановый осмотр электросетей, армазуры и электрооборудования на лестничных клетках</t>
  </si>
  <si>
    <t>Ремонт венткороба</t>
  </si>
  <si>
    <t>тыс.руб.</t>
  </si>
  <si>
    <t>Ремонт оголовков</t>
  </si>
  <si>
    <t>Ремонт отдельных мест покрытия из асбоцементных листов обыкновенного профиля</t>
  </si>
  <si>
    <t>Смена внутренних трубопроводов из стальных труб диаметром до 20 мм (без стоимости материалов)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</si>
  <si>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</si>
  <si>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</si>
  <si>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</si>
  <si>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Смена светодионых светильников в.о.</t>
  </si>
  <si>
    <t>2. Всего за период с 01.01.2016 по 31.01.2016 выполнено работ (оказано услуг) на общую сумму: 100663,91 руб.</t>
  </si>
  <si>
    <t>(сто тысяч шестьсот шестьдесят три рубля 91 копейка)</t>
  </si>
  <si>
    <t>АКТ №2</t>
  </si>
  <si>
    <t>2. Всего за период с 01.02.2016 по 29.02.2016 выполнено работ (оказано услуг) на общую сумму: 139848,22 руб.</t>
  </si>
  <si>
    <t>(сто тридцать девять тысяч восемьсот сорок восемь рублей 22 копейки)</t>
  </si>
  <si>
    <t>АКТ №3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</si>
  <si>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</si>
  <si>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</si>
  <si>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94706,13 руб.</t>
  </si>
  <si>
    <t>(девяносто четыре тысячи семьсот шесть рублей 13 копеек)</t>
  </si>
  <si>
    <t>АКТ №4</t>
  </si>
  <si>
    <t>2. Всего за период с 01.04.2016 по 30.04.2016 выполнено работ (оказано услуг) на общую сумму: 98434,33 руб.</t>
  </si>
  <si>
    <t>(девяносто восемь тысяч четыреста тридцать четыре рубля 33 копейки)</t>
  </si>
  <si>
    <t>АКТ №5</t>
  </si>
  <si>
    <t>2. Всего за период с 01.05.2016 по 31.05.2016 выполнено работ (оказано услуг) на общую сумму: 216019,64 руб.</t>
  </si>
  <si>
    <t>(двести шестнадцать тысяч девятнадцать рублей 64 копейки)</t>
  </si>
  <si>
    <t>АКТ №6</t>
  </si>
  <si>
    <t>2. Всего за период с 01.06.2016 по 30.06.2016 выполнено работ (оказано услуг) на общую сумму: 213012,31 руб.</t>
  </si>
  <si>
    <t>(двести тринадцать тысяч двенадцать рублей 31 копейка)</t>
  </si>
  <si>
    <t>АКТ №7</t>
  </si>
  <si>
    <t>2. Всего за период с 01.07.2016 по 31.07.2016 выполнено работ (оказано услуг) на общую сумму: 94175,72 руб.</t>
  </si>
  <si>
    <t>(девяносто четыре тысячи сто семьдесят пять рублей 72 копейки)</t>
  </si>
  <si>
    <t>АКТ №8</t>
  </si>
  <si>
    <t>2. Всего за период с 01.08.2016 по 31.08.2016 выполнено работ (оказано услуг) на общую сумму: 85561,70 руб.</t>
  </si>
  <si>
    <t>(восемьдесят пять тысяч пятьсот шестьдесят один рубль 70 копеек)</t>
  </si>
  <si>
    <t>АКТ №9</t>
  </si>
  <si>
    <t>2. Всего за период с 01.09.2016 по 30.09.2016 выполнено работ (оказано услуг) на общую сумму: 83825,04 руб.</t>
  </si>
  <si>
    <t>(восемьдесят три тысячи восемьсот двадцать пять рублей 04 копейки)</t>
  </si>
  <si>
    <t>АКТ №10</t>
  </si>
  <si>
    <t>2. Всего за период с 01.10.2016 по 31.10.2016 выполнено работ (оказано услуг) на общую сумму: 80311,88 руб.</t>
  </si>
  <si>
    <t>(восемьдесят тысяч триста одиннадцать рублей 88 копеек)</t>
  </si>
  <si>
    <t>2. Всего за период с 01.12.2016 по 31.12.2016 выполнено работ (оказано услуг) на общую сумму: 94127,42 руб.</t>
  </si>
  <si>
    <t>(девяносто четыре тысячи сто двадцать семь рублей 42 копейки)</t>
  </si>
</sst>
</file>

<file path=xl/styles.xml><?xml version="1.0" encoding="utf-8"?>
<styleSheet xmlns="http://schemas.openxmlformats.org/spreadsheetml/2006/main">
  <numFmts count="3">
    <numFmt numFmtId="164" formatCode="#,##0.000"/>
    <numFmt numFmtId="166" formatCode="#,##0.0"/>
    <numFmt numFmtId="167" formatCode="0.00000"/>
  </numFmts>
  <fonts count="3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rgb="FF353535"/>
      <name val="Times New Roman"/>
      <family val="1"/>
      <charset val="204"/>
    </font>
    <font>
      <b/>
      <sz val="12"/>
      <color rgb="FF353535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4" fontId="0" fillId="0" borderId="0" xfId="0" applyNumberFormat="1" applyFill="1"/>
    <xf numFmtId="167" fontId="0" fillId="0" borderId="0" xfId="0" applyNumberFormat="1" applyFill="1"/>
    <xf numFmtId="0" fontId="5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5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top"/>
    </xf>
    <xf numFmtId="4" fontId="15" fillId="0" borderId="3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4" fontId="12" fillId="3" borderId="8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1" fillId="0" borderId="3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right" wrapText="1"/>
    </xf>
    <xf numFmtId="0" fontId="25" fillId="0" borderId="0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justify"/>
    </xf>
    <xf numFmtId="0" fontId="26" fillId="0" borderId="0" xfId="0" applyFont="1"/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14" fontId="24" fillId="0" borderId="0" xfId="0" applyNumberFormat="1" applyFont="1" applyAlignment="1">
      <alignment wrapText="1"/>
    </xf>
    <xf numFmtId="0" fontId="2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center" vertical="top" wrapText="1"/>
    </xf>
    <xf numFmtId="0" fontId="29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wrapText="1"/>
    </xf>
    <xf numFmtId="0" fontId="31" fillId="0" borderId="3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 vertical="center" wrapText="1"/>
    </xf>
    <xf numFmtId="4" fontId="12" fillId="0" borderId="19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33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center" vertical="center"/>
    </xf>
    <xf numFmtId="4" fontId="2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248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104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42400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6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7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hidden="1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hidden="1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hidden="1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hidden="1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hidden="1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17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18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19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SUM(I16+I17+I18+I20+I21+I26+I27+I38+I39+I41+I42+I43+I44+I51+I55+I58+I61+I82+I83)</f>
        <v>100532.15130825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20</v>
      </c>
      <c r="B86" s="139" t="s">
        <v>252</v>
      </c>
      <c r="C86" s="202" t="s">
        <v>219</v>
      </c>
      <c r="D86" s="82"/>
      <c r="E86" s="16"/>
      <c r="F86" s="16">
        <v>1</v>
      </c>
      <c r="G86" s="16">
        <v>131.76</v>
      </c>
      <c r="H86" s="16">
        <f t="shared" ref="H86" si="7">G86*F86/1000</f>
        <v>0.13175999999999999</v>
      </c>
      <c r="I86" s="16">
        <f>G86*1</f>
        <v>131.76</v>
      </c>
    </row>
    <row r="87" spans="1:9" ht="31.5" hidden="1" customHeight="1">
      <c r="A87" s="46"/>
      <c r="B87" s="254" t="s">
        <v>253</v>
      </c>
      <c r="C87" s="46" t="s">
        <v>254</v>
      </c>
      <c r="D87" s="82"/>
      <c r="E87" s="16"/>
      <c r="F87" s="16">
        <v>2</v>
      </c>
      <c r="G87" s="16">
        <v>1835.8</v>
      </c>
      <c r="H87" s="272">
        <f>G87*F87/1000</f>
        <v>3.6715999999999998</v>
      </c>
      <c r="I87" s="16">
        <v>0</v>
      </c>
    </row>
    <row r="88" spans="1:9" ht="31.5" hidden="1" customHeight="1">
      <c r="A88" s="46"/>
      <c r="B88" s="139" t="s">
        <v>139</v>
      </c>
      <c r="C88" s="202" t="s">
        <v>148</v>
      </c>
      <c r="D88" s="82"/>
      <c r="E88" s="16"/>
      <c r="F88" s="16">
        <v>9</v>
      </c>
      <c r="G88" s="16">
        <v>559.62</v>
      </c>
      <c r="H88" s="272">
        <f t="shared" ref="H88:H120" si="8">G88*F88/1000</f>
        <v>5.0365799999999998</v>
      </c>
      <c r="I88" s="16">
        <v>0</v>
      </c>
    </row>
    <row r="89" spans="1:9" ht="31.5" hidden="1" customHeight="1">
      <c r="A89" s="46"/>
      <c r="B89" s="139" t="s">
        <v>255</v>
      </c>
      <c r="C89" s="202" t="s">
        <v>148</v>
      </c>
      <c r="D89" s="82"/>
      <c r="E89" s="16"/>
      <c r="F89" s="16">
        <v>4</v>
      </c>
      <c r="G89" s="16">
        <v>762.37</v>
      </c>
      <c r="H89" s="272">
        <f>G89*F89/1000</f>
        <v>3.04948</v>
      </c>
      <c r="I89" s="16">
        <v>0</v>
      </c>
    </row>
    <row r="90" spans="1:9" ht="15.75" hidden="1" customHeight="1">
      <c r="A90" s="46"/>
      <c r="B90" s="139" t="s">
        <v>256</v>
      </c>
      <c r="C90" s="202" t="s">
        <v>109</v>
      </c>
      <c r="D90" s="82"/>
      <c r="E90" s="16"/>
      <c r="F90" s="16">
        <v>1.5</v>
      </c>
      <c r="G90" s="16">
        <v>2057</v>
      </c>
      <c r="H90" s="272">
        <f t="shared" si="8"/>
        <v>3.0855000000000001</v>
      </c>
      <c r="I90" s="16">
        <v>0</v>
      </c>
    </row>
    <row r="91" spans="1:9" ht="31.5" hidden="1" customHeight="1">
      <c r="A91" s="46"/>
      <c r="B91" s="139" t="s">
        <v>257</v>
      </c>
      <c r="C91" s="202" t="s">
        <v>109</v>
      </c>
      <c r="D91" s="82"/>
      <c r="E91" s="16"/>
      <c r="F91" s="16">
        <v>0.5</v>
      </c>
      <c r="G91" s="16">
        <v>994.03</v>
      </c>
      <c r="H91" s="272">
        <f t="shared" si="8"/>
        <v>0.49701499999999998</v>
      </c>
      <c r="I91" s="16">
        <v>0</v>
      </c>
    </row>
    <row r="92" spans="1:9" ht="31.5" hidden="1" customHeight="1">
      <c r="A92" s="46"/>
      <c r="B92" s="139" t="s">
        <v>258</v>
      </c>
      <c r="C92" s="202" t="s">
        <v>109</v>
      </c>
      <c r="D92" s="82"/>
      <c r="E92" s="16"/>
      <c r="F92" s="16">
        <v>6</v>
      </c>
      <c r="G92" s="16">
        <v>1264.3399999999999</v>
      </c>
      <c r="H92" s="272">
        <f t="shared" si="8"/>
        <v>7.5860399999999988</v>
      </c>
      <c r="I92" s="16">
        <v>0</v>
      </c>
    </row>
    <row r="93" spans="1:9" ht="15.75" hidden="1" customHeight="1">
      <c r="A93" s="46"/>
      <c r="B93" s="139" t="s">
        <v>191</v>
      </c>
      <c r="C93" s="202" t="s">
        <v>192</v>
      </c>
      <c r="D93" s="82"/>
      <c r="E93" s="16"/>
      <c r="F93" s="16">
        <v>4</v>
      </c>
      <c r="G93" s="16">
        <v>195.95</v>
      </c>
      <c r="H93" s="272">
        <f t="shared" si="8"/>
        <v>0.78379999999999994</v>
      </c>
      <c r="I93" s="16">
        <v>0</v>
      </c>
    </row>
    <row r="94" spans="1:9" ht="15.75" hidden="1" customHeight="1">
      <c r="A94" s="46"/>
      <c r="B94" s="139" t="s">
        <v>119</v>
      </c>
      <c r="C94" s="202" t="s">
        <v>192</v>
      </c>
      <c r="D94" s="82"/>
      <c r="E94" s="16"/>
      <c r="F94" s="16">
        <v>1</v>
      </c>
      <c r="G94" s="16">
        <v>290.67</v>
      </c>
      <c r="H94" s="272">
        <f t="shared" si="8"/>
        <v>0.29067000000000004</v>
      </c>
      <c r="I94" s="16">
        <v>0</v>
      </c>
    </row>
    <row r="95" spans="1:9" ht="15.75" hidden="1" customHeight="1">
      <c r="A95" s="46"/>
      <c r="B95" s="139" t="s">
        <v>259</v>
      </c>
      <c r="C95" s="202" t="s">
        <v>118</v>
      </c>
      <c r="D95" s="82"/>
      <c r="E95" s="16"/>
      <c r="F95" s="16">
        <v>2</v>
      </c>
      <c r="G95" s="16">
        <v>185.81</v>
      </c>
      <c r="H95" s="272">
        <f t="shared" si="8"/>
        <v>0.37162000000000001</v>
      </c>
      <c r="I95" s="16">
        <v>0</v>
      </c>
    </row>
    <row r="96" spans="1:9" ht="15.75" hidden="1" customHeight="1">
      <c r="A96" s="46"/>
      <c r="B96" s="139" t="s">
        <v>283</v>
      </c>
      <c r="C96" s="202" t="s">
        <v>219</v>
      </c>
      <c r="D96" s="82"/>
      <c r="E96" s="16"/>
      <c r="F96" s="16">
        <v>1</v>
      </c>
      <c r="G96" s="16">
        <v>1072.21</v>
      </c>
      <c r="H96" s="272">
        <f t="shared" si="8"/>
        <v>1.0722100000000001</v>
      </c>
      <c r="I96" s="16">
        <v>0</v>
      </c>
    </row>
    <row r="97" spans="1:9" ht="15.75" hidden="1" customHeight="1">
      <c r="A97" s="46"/>
      <c r="B97" s="82" t="s">
        <v>133</v>
      </c>
      <c r="C97" s="20" t="s">
        <v>172</v>
      </c>
      <c r="D97" s="82"/>
      <c r="E97" s="16"/>
      <c r="F97" s="16">
        <v>20</v>
      </c>
      <c r="G97" s="16">
        <v>1501</v>
      </c>
      <c r="H97" s="272">
        <f t="shared" si="8"/>
        <v>30.02</v>
      </c>
      <c r="I97" s="16">
        <v>0</v>
      </c>
    </row>
    <row r="98" spans="1:9" ht="15.75" hidden="1" customHeight="1">
      <c r="A98" s="46"/>
      <c r="B98" s="139" t="s">
        <v>260</v>
      </c>
      <c r="C98" s="202" t="s">
        <v>148</v>
      </c>
      <c r="D98" s="82"/>
      <c r="E98" s="16"/>
      <c r="F98" s="16">
        <v>1</v>
      </c>
      <c r="G98" s="16">
        <v>332.87</v>
      </c>
      <c r="H98" s="272">
        <f t="shared" si="8"/>
        <v>0.33287</v>
      </c>
      <c r="I98" s="16">
        <v>0</v>
      </c>
    </row>
    <row r="99" spans="1:9" ht="31.5" hidden="1" customHeight="1">
      <c r="A99" s="46"/>
      <c r="B99" s="254" t="s">
        <v>261</v>
      </c>
      <c r="C99" s="46" t="s">
        <v>254</v>
      </c>
      <c r="D99" s="82"/>
      <c r="E99" s="16"/>
      <c r="F99" s="16">
        <v>1</v>
      </c>
      <c r="G99" s="16">
        <v>383.01</v>
      </c>
      <c r="H99" s="272">
        <f t="shared" si="8"/>
        <v>0.38301000000000002</v>
      </c>
      <c r="I99" s="16">
        <v>0</v>
      </c>
    </row>
    <row r="100" spans="1:9" ht="31.5" hidden="1" customHeight="1">
      <c r="A100" s="46"/>
      <c r="B100" s="139" t="s">
        <v>262</v>
      </c>
      <c r="C100" s="202" t="s">
        <v>219</v>
      </c>
      <c r="D100" s="82"/>
      <c r="E100" s="16"/>
      <c r="F100" s="16">
        <v>2</v>
      </c>
      <c r="G100" s="16">
        <v>2179.33</v>
      </c>
      <c r="H100" s="272">
        <f t="shared" si="8"/>
        <v>4.3586599999999995</v>
      </c>
      <c r="I100" s="16">
        <v>0</v>
      </c>
    </row>
    <row r="101" spans="1:9" ht="15.75" hidden="1" customHeight="1">
      <c r="A101" s="46"/>
      <c r="B101" s="139" t="s">
        <v>263</v>
      </c>
      <c r="C101" s="202" t="s">
        <v>219</v>
      </c>
      <c r="D101" s="82"/>
      <c r="E101" s="16"/>
      <c r="F101" s="16">
        <v>3</v>
      </c>
      <c r="G101" s="16">
        <v>1189.8499999999999</v>
      </c>
      <c r="H101" s="272">
        <f t="shared" si="8"/>
        <v>3.5695499999999996</v>
      </c>
      <c r="I101" s="16">
        <v>0</v>
      </c>
    </row>
    <row r="102" spans="1:9" ht="15.75" hidden="1" customHeight="1">
      <c r="A102" s="46"/>
      <c r="B102" s="277" t="s">
        <v>264</v>
      </c>
      <c r="C102" s="278" t="s">
        <v>265</v>
      </c>
      <c r="D102" s="82"/>
      <c r="E102" s="16"/>
      <c r="F102" s="16">
        <f>2/10</f>
        <v>0.2</v>
      </c>
      <c r="G102" s="16">
        <v>16494.61</v>
      </c>
      <c r="H102" s="272">
        <f t="shared" si="8"/>
        <v>3.2989220000000006</v>
      </c>
      <c r="I102" s="16">
        <v>0</v>
      </c>
    </row>
    <row r="103" spans="1:9" ht="15.75" hidden="1" customHeight="1">
      <c r="A103" s="46"/>
      <c r="B103" s="139" t="s">
        <v>266</v>
      </c>
      <c r="C103" s="202" t="s">
        <v>148</v>
      </c>
      <c r="D103" s="82"/>
      <c r="E103" s="16"/>
      <c r="F103" s="16">
        <v>2</v>
      </c>
      <c r="G103" s="16">
        <v>476.76</v>
      </c>
      <c r="H103" s="272">
        <f t="shared" si="8"/>
        <v>0.95352000000000003</v>
      </c>
      <c r="I103" s="16">
        <v>0</v>
      </c>
    </row>
    <row r="104" spans="1:9" ht="15.75" hidden="1" customHeight="1">
      <c r="A104" s="46"/>
      <c r="B104" s="139" t="s">
        <v>267</v>
      </c>
      <c r="C104" s="202" t="s">
        <v>268</v>
      </c>
      <c r="D104" s="82"/>
      <c r="E104" s="16"/>
      <c r="F104" s="16">
        <v>0.5</v>
      </c>
      <c r="G104" s="16">
        <v>164</v>
      </c>
      <c r="H104" s="272">
        <f t="shared" si="8"/>
        <v>8.2000000000000003E-2</v>
      </c>
      <c r="I104" s="16">
        <v>0</v>
      </c>
    </row>
    <row r="105" spans="1:9" ht="15.75" hidden="1" customHeight="1">
      <c r="A105" s="46"/>
      <c r="B105" s="139" t="s">
        <v>112</v>
      </c>
      <c r="C105" s="202" t="s">
        <v>219</v>
      </c>
      <c r="D105" s="82"/>
      <c r="E105" s="16"/>
      <c r="F105" s="16">
        <v>3</v>
      </c>
      <c r="G105" s="16">
        <v>180.15</v>
      </c>
      <c r="H105" s="272">
        <f>G105*F105/1000</f>
        <v>0.5404500000000001</v>
      </c>
      <c r="I105" s="16">
        <v>0</v>
      </c>
    </row>
    <row r="106" spans="1:9" ht="15.75" hidden="1" customHeight="1">
      <c r="A106" s="46"/>
      <c r="B106" s="139" t="s">
        <v>269</v>
      </c>
      <c r="C106" s="202" t="s">
        <v>148</v>
      </c>
      <c r="D106" s="82"/>
      <c r="E106" s="16"/>
      <c r="F106" s="16">
        <v>1</v>
      </c>
      <c r="G106" s="16">
        <v>174.63</v>
      </c>
      <c r="H106" s="272">
        <f t="shared" si="8"/>
        <v>0.17463000000000001</v>
      </c>
      <c r="I106" s="16">
        <v>0</v>
      </c>
    </row>
    <row r="107" spans="1:9" ht="15.75" hidden="1" customHeight="1">
      <c r="A107" s="46"/>
      <c r="B107" s="139" t="s">
        <v>270</v>
      </c>
      <c r="C107" s="202" t="s">
        <v>148</v>
      </c>
      <c r="D107" s="82"/>
      <c r="E107" s="16"/>
      <c r="F107" s="16">
        <v>3</v>
      </c>
      <c r="G107" s="16">
        <v>267.58</v>
      </c>
      <c r="H107" s="272">
        <f t="shared" si="8"/>
        <v>0.80274000000000001</v>
      </c>
      <c r="I107" s="16">
        <v>0</v>
      </c>
    </row>
    <row r="108" spans="1:9" ht="31.5" hidden="1" customHeight="1">
      <c r="A108" s="46"/>
      <c r="B108" s="139" t="s">
        <v>106</v>
      </c>
      <c r="C108" s="202" t="s">
        <v>219</v>
      </c>
      <c r="D108" s="82"/>
      <c r="E108" s="16"/>
      <c r="F108" s="16">
        <v>7</v>
      </c>
      <c r="G108" s="16">
        <v>79.09</v>
      </c>
      <c r="H108" s="272">
        <f t="shared" si="8"/>
        <v>0.55362999999999996</v>
      </c>
      <c r="I108" s="16">
        <v>0</v>
      </c>
    </row>
    <row r="109" spans="1:9" ht="31.5" hidden="1" customHeight="1">
      <c r="A109" s="46"/>
      <c r="B109" s="139" t="s">
        <v>271</v>
      </c>
      <c r="C109" s="202" t="s">
        <v>35</v>
      </c>
      <c r="D109" s="82"/>
      <c r="E109" s="16"/>
      <c r="F109" s="21">
        <f>4/1000</f>
        <v>4.0000000000000001E-3</v>
      </c>
      <c r="G109" s="16">
        <v>1510.06</v>
      </c>
      <c r="H109" s="272">
        <f t="shared" si="8"/>
        <v>6.0402399999999997E-3</v>
      </c>
      <c r="I109" s="16">
        <v>0</v>
      </c>
    </row>
    <row r="110" spans="1:9" ht="15.75" hidden="1" customHeight="1">
      <c r="A110" s="46"/>
      <c r="B110" s="139" t="s">
        <v>272</v>
      </c>
      <c r="C110" s="202" t="s">
        <v>273</v>
      </c>
      <c r="D110" s="82"/>
      <c r="E110" s="16"/>
      <c r="F110" s="16">
        <f>1/100</f>
        <v>0.01</v>
      </c>
      <c r="G110" s="16">
        <v>7033.13</v>
      </c>
      <c r="H110" s="272">
        <f t="shared" si="8"/>
        <v>7.0331299999999999E-2</v>
      </c>
      <c r="I110" s="16">
        <v>0</v>
      </c>
    </row>
    <row r="111" spans="1:9" ht="31.5" hidden="1" customHeight="1">
      <c r="A111" s="46"/>
      <c r="B111" s="139" t="s">
        <v>274</v>
      </c>
      <c r="C111" s="202" t="s">
        <v>49</v>
      </c>
      <c r="D111" s="82"/>
      <c r="E111" s="16"/>
      <c r="F111" s="16">
        <f>4/100</f>
        <v>0.04</v>
      </c>
      <c r="G111" s="16">
        <v>3397.65</v>
      </c>
      <c r="H111" s="272">
        <f t="shared" si="8"/>
        <v>0.135906</v>
      </c>
      <c r="I111" s="16">
        <v>0</v>
      </c>
    </row>
    <row r="112" spans="1:9" ht="15.75" hidden="1" customHeight="1">
      <c r="A112" s="46"/>
      <c r="B112" s="139" t="s">
        <v>275</v>
      </c>
      <c r="C112" s="202" t="s">
        <v>276</v>
      </c>
      <c r="D112" s="82"/>
      <c r="E112" s="16"/>
      <c r="F112" s="16">
        <v>1</v>
      </c>
      <c r="G112" s="16">
        <v>29624</v>
      </c>
      <c r="H112" s="272">
        <f t="shared" si="8"/>
        <v>29.623999999999999</v>
      </c>
      <c r="I112" s="16">
        <v>0</v>
      </c>
    </row>
    <row r="113" spans="1:9" ht="15.75" hidden="1" customHeight="1">
      <c r="A113" s="46"/>
      <c r="B113" s="139" t="s">
        <v>277</v>
      </c>
      <c r="C113" s="202" t="s">
        <v>276</v>
      </c>
      <c r="D113" s="82"/>
      <c r="E113" s="16"/>
      <c r="F113" s="16">
        <v>1</v>
      </c>
      <c r="G113" s="16">
        <v>59761</v>
      </c>
      <c r="H113" s="272">
        <f t="shared" si="8"/>
        <v>59.761000000000003</v>
      </c>
      <c r="I113" s="16">
        <v>0</v>
      </c>
    </row>
    <row r="114" spans="1:9" ht="31.5" hidden="1" customHeight="1">
      <c r="A114" s="46"/>
      <c r="B114" s="139" t="s">
        <v>278</v>
      </c>
      <c r="C114" s="202" t="s">
        <v>162</v>
      </c>
      <c r="D114" s="82"/>
      <c r="E114" s="16"/>
      <c r="F114" s="16">
        <f>75/10</f>
        <v>7.5</v>
      </c>
      <c r="G114" s="16">
        <v>5641.28</v>
      </c>
      <c r="H114" s="272">
        <f t="shared" si="8"/>
        <v>42.309599999999996</v>
      </c>
      <c r="I114" s="16">
        <v>0</v>
      </c>
    </row>
    <row r="115" spans="1:9" ht="15.75" hidden="1" customHeight="1">
      <c r="A115" s="46"/>
      <c r="B115" s="210" t="s">
        <v>144</v>
      </c>
      <c r="C115" s="211" t="s">
        <v>145</v>
      </c>
      <c r="D115" s="82"/>
      <c r="E115" s="16"/>
      <c r="F115" s="16">
        <v>4</v>
      </c>
      <c r="G115" s="16">
        <v>1063.47</v>
      </c>
      <c r="H115" s="272">
        <f t="shared" si="8"/>
        <v>4.2538800000000005</v>
      </c>
      <c r="I115" s="16">
        <v>0</v>
      </c>
    </row>
    <row r="116" spans="1:9" ht="31.5" hidden="1" customHeight="1">
      <c r="A116" s="46"/>
      <c r="B116" s="139" t="s">
        <v>237</v>
      </c>
      <c r="C116" s="202" t="s">
        <v>109</v>
      </c>
      <c r="D116" s="82"/>
      <c r="E116" s="16"/>
      <c r="F116" s="16">
        <v>4</v>
      </c>
      <c r="G116" s="16">
        <v>1639</v>
      </c>
      <c r="H116" s="272">
        <f t="shared" si="8"/>
        <v>6.556</v>
      </c>
      <c r="I116" s="16">
        <v>0</v>
      </c>
    </row>
    <row r="117" spans="1:9" ht="15.75" hidden="1" customHeight="1">
      <c r="A117" s="46"/>
      <c r="B117" s="139" t="s">
        <v>147</v>
      </c>
      <c r="C117" s="202" t="s">
        <v>148</v>
      </c>
      <c r="D117" s="82"/>
      <c r="E117" s="16"/>
      <c r="F117" s="16">
        <v>2</v>
      </c>
      <c r="G117" s="16">
        <v>195.95</v>
      </c>
      <c r="H117" s="272">
        <f t="shared" si="8"/>
        <v>0.39189999999999997</v>
      </c>
      <c r="I117" s="16">
        <v>0</v>
      </c>
    </row>
    <row r="118" spans="1:9" ht="31.5" hidden="1" customHeight="1">
      <c r="A118" s="46"/>
      <c r="B118" s="139" t="s">
        <v>279</v>
      </c>
      <c r="C118" s="202" t="s">
        <v>109</v>
      </c>
      <c r="D118" s="82"/>
      <c r="E118" s="16"/>
      <c r="F118" s="16">
        <v>1</v>
      </c>
      <c r="G118" s="16">
        <v>513.99</v>
      </c>
      <c r="H118" s="272">
        <f t="shared" si="8"/>
        <v>0.51399000000000006</v>
      </c>
      <c r="I118" s="16">
        <v>0</v>
      </c>
    </row>
    <row r="119" spans="1:9" ht="15.75" hidden="1" customHeight="1">
      <c r="A119" s="46"/>
      <c r="B119" s="210" t="s">
        <v>241</v>
      </c>
      <c r="C119" s="211" t="s">
        <v>145</v>
      </c>
      <c r="D119" s="82"/>
      <c r="E119" s="16"/>
      <c r="F119" s="16">
        <v>3</v>
      </c>
      <c r="G119" s="16">
        <v>1063.47</v>
      </c>
      <c r="H119" s="272">
        <f t="shared" si="8"/>
        <v>3.19041</v>
      </c>
      <c r="I119" s="16">
        <v>0</v>
      </c>
    </row>
    <row r="120" spans="1:9" ht="31.5" hidden="1" customHeight="1">
      <c r="A120" s="46"/>
      <c r="B120" s="139" t="s">
        <v>240</v>
      </c>
      <c r="C120" s="202" t="s">
        <v>148</v>
      </c>
      <c r="D120" s="82"/>
      <c r="E120" s="16"/>
      <c r="F120" s="16">
        <v>1</v>
      </c>
      <c r="G120" s="16">
        <v>625.07000000000005</v>
      </c>
      <c r="H120" s="272">
        <f t="shared" si="8"/>
        <v>0.62507000000000001</v>
      </c>
      <c r="I120" s="16">
        <v>0</v>
      </c>
    </row>
    <row r="121" spans="1:9" ht="15.75" customHeight="1">
      <c r="A121" s="46"/>
      <c r="B121" s="76" t="s">
        <v>66</v>
      </c>
      <c r="C121" s="72"/>
      <c r="D121" s="125"/>
      <c r="E121" s="72">
        <v>1</v>
      </c>
      <c r="F121" s="72"/>
      <c r="G121" s="72"/>
      <c r="H121" s="72"/>
      <c r="I121" s="54">
        <f>SUM(I86:I120)</f>
        <v>131.76</v>
      </c>
    </row>
    <row r="122" spans="1:9" ht="15.75" customHeight="1">
      <c r="A122" s="46"/>
      <c r="B122" s="82" t="s">
        <v>103</v>
      </c>
      <c r="C122" s="19"/>
      <c r="D122" s="19"/>
      <c r="E122" s="73"/>
      <c r="F122" s="73"/>
      <c r="G122" s="74"/>
      <c r="H122" s="74"/>
      <c r="I122" s="22">
        <v>0</v>
      </c>
    </row>
    <row r="123" spans="1:9" ht="15.75" customHeight="1">
      <c r="A123" s="126"/>
      <c r="B123" s="77" t="s">
        <v>67</v>
      </c>
      <c r="C123" s="60"/>
      <c r="D123" s="60"/>
      <c r="E123" s="60"/>
      <c r="F123" s="60"/>
      <c r="G123" s="60"/>
      <c r="H123" s="60"/>
      <c r="I123" s="75">
        <f>I84+I121</f>
        <v>100663.91130825</v>
      </c>
    </row>
    <row r="124" spans="1:9" ht="15.75" customHeight="1">
      <c r="A124" s="234" t="s">
        <v>284</v>
      </c>
      <c r="B124" s="234"/>
      <c r="C124" s="234"/>
      <c r="D124" s="234"/>
      <c r="E124" s="234"/>
      <c r="F124" s="234"/>
      <c r="G124" s="234"/>
      <c r="H124" s="234"/>
      <c r="I124" s="234"/>
    </row>
    <row r="125" spans="1:9" ht="15.75" customHeight="1">
      <c r="A125" s="209"/>
      <c r="B125" s="235" t="s">
        <v>285</v>
      </c>
      <c r="C125" s="235"/>
      <c r="D125" s="235"/>
      <c r="E125" s="235"/>
      <c r="F125" s="235"/>
      <c r="G125" s="235"/>
      <c r="H125" s="253"/>
      <c r="I125" s="3"/>
    </row>
    <row r="126" spans="1:9" ht="15.75" customHeight="1">
      <c r="A126" s="203"/>
      <c r="B126" s="219" t="s">
        <v>7</v>
      </c>
      <c r="C126" s="219"/>
      <c r="D126" s="219"/>
      <c r="E126" s="219"/>
      <c r="F126" s="219"/>
      <c r="G126" s="219"/>
      <c r="H126" s="36"/>
      <c r="I126" s="5"/>
    </row>
    <row r="127" spans="1:9" ht="15.75" customHeight="1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ht="15.75" customHeight="1">
      <c r="A128" s="236" t="s">
        <v>8</v>
      </c>
      <c r="B128" s="236"/>
      <c r="C128" s="236"/>
      <c r="D128" s="236"/>
      <c r="E128" s="236"/>
      <c r="F128" s="236"/>
      <c r="G128" s="236"/>
      <c r="H128" s="236"/>
      <c r="I128" s="236"/>
    </row>
    <row r="129" spans="1:9" ht="15.75" customHeight="1">
      <c r="A129" s="236" t="s">
        <v>9</v>
      </c>
      <c r="B129" s="236"/>
      <c r="C129" s="236"/>
      <c r="D129" s="236"/>
      <c r="E129" s="236"/>
      <c r="F129" s="236"/>
      <c r="G129" s="236"/>
      <c r="H129" s="236"/>
      <c r="I129" s="236"/>
    </row>
    <row r="130" spans="1:9" ht="15.75" customHeight="1">
      <c r="A130" s="237" t="s">
        <v>82</v>
      </c>
      <c r="B130" s="237"/>
      <c r="C130" s="237"/>
      <c r="D130" s="237"/>
      <c r="E130" s="237"/>
      <c r="F130" s="237"/>
      <c r="G130" s="237"/>
      <c r="H130" s="237"/>
      <c r="I130" s="237"/>
    </row>
    <row r="131" spans="1:9" ht="15.75" customHeight="1">
      <c r="A131" s="12"/>
    </row>
    <row r="132" spans="1:9" ht="15.75" customHeight="1">
      <c r="A132" s="238" t="s">
        <v>11</v>
      </c>
      <c r="B132" s="238"/>
      <c r="C132" s="238"/>
      <c r="D132" s="238"/>
      <c r="E132" s="238"/>
      <c r="F132" s="238"/>
      <c r="G132" s="238"/>
      <c r="H132" s="238"/>
      <c r="I132" s="238"/>
    </row>
    <row r="133" spans="1:9" ht="15.75" customHeight="1">
      <c r="A133" s="4"/>
    </row>
    <row r="134" spans="1:9" ht="15.75" customHeight="1">
      <c r="B134" s="206" t="s">
        <v>12</v>
      </c>
      <c r="C134" s="247" t="s">
        <v>141</v>
      </c>
      <c r="D134" s="247"/>
      <c r="E134" s="247"/>
      <c r="F134" s="251"/>
      <c r="I134" s="205"/>
    </row>
    <row r="135" spans="1:9" ht="15.75" customHeight="1">
      <c r="A135" s="203"/>
      <c r="C135" s="219" t="s">
        <v>13</v>
      </c>
      <c r="D135" s="219"/>
      <c r="E135" s="219"/>
      <c r="F135" s="36"/>
      <c r="I135" s="204" t="s">
        <v>14</v>
      </c>
    </row>
    <row r="136" spans="1:9" ht="15.75" customHeight="1">
      <c r="A136" s="37"/>
      <c r="C136" s="13"/>
      <c r="D136" s="13"/>
      <c r="G136" s="13"/>
      <c r="H136" s="13"/>
    </row>
    <row r="137" spans="1:9" ht="15.75" customHeight="1">
      <c r="B137" s="206" t="s">
        <v>15</v>
      </c>
      <c r="C137" s="220"/>
      <c r="D137" s="220"/>
      <c r="E137" s="220"/>
      <c r="F137" s="252"/>
      <c r="I137" s="205"/>
    </row>
    <row r="138" spans="1:9" ht="15.75" customHeight="1">
      <c r="A138" s="203"/>
      <c r="C138" s="221" t="s">
        <v>13</v>
      </c>
      <c r="D138" s="221"/>
      <c r="E138" s="221"/>
      <c r="F138" s="203"/>
      <c r="I138" s="204" t="s">
        <v>14</v>
      </c>
    </row>
    <row r="139" spans="1:9" ht="15.75" customHeight="1">
      <c r="A139" s="4" t="s">
        <v>16</v>
      </c>
    </row>
    <row r="140" spans="1:9" ht="15.75" customHeight="1">
      <c r="A140" s="239" t="s">
        <v>17</v>
      </c>
      <c r="B140" s="239"/>
      <c r="C140" s="239"/>
      <c r="D140" s="239"/>
      <c r="E140" s="239"/>
      <c r="F140" s="239"/>
      <c r="G140" s="239"/>
      <c r="H140" s="239"/>
      <c r="I140" s="239"/>
    </row>
    <row r="141" spans="1:9" ht="45" customHeight="1">
      <c r="A141" s="213" t="s">
        <v>18</v>
      </c>
      <c r="B141" s="213"/>
      <c r="C141" s="213"/>
      <c r="D141" s="213"/>
      <c r="E141" s="213"/>
      <c r="F141" s="213"/>
      <c r="G141" s="213"/>
      <c r="H141" s="213"/>
      <c r="I141" s="213"/>
    </row>
    <row r="142" spans="1:9" ht="30" customHeight="1">
      <c r="A142" s="213" t="s">
        <v>19</v>
      </c>
      <c r="B142" s="213"/>
      <c r="C142" s="213"/>
      <c r="D142" s="213"/>
      <c r="E142" s="213"/>
      <c r="F142" s="213"/>
      <c r="G142" s="213"/>
      <c r="H142" s="213"/>
      <c r="I142" s="213"/>
    </row>
    <row r="143" spans="1:9" ht="30" customHeight="1">
      <c r="A143" s="213" t="s">
        <v>24</v>
      </c>
      <c r="B143" s="213"/>
      <c r="C143" s="213"/>
      <c r="D143" s="213"/>
      <c r="E143" s="213"/>
      <c r="F143" s="213"/>
      <c r="G143" s="213"/>
      <c r="H143" s="213"/>
      <c r="I143" s="213"/>
    </row>
    <row r="144" spans="1:9" ht="15" customHeight="1">
      <c r="A144" s="213" t="s">
        <v>23</v>
      </c>
      <c r="B144" s="213"/>
      <c r="C144" s="213"/>
      <c r="D144" s="213"/>
      <c r="E144" s="213"/>
      <c r="F144" s="213"/>
      <c r="G144" s="213"/>
      <c r="H144" s="213"/>
      <c r="I144" s="213"/>
    </row>
  </sheetData>
  <autoFilter ref="I12:I62"/>
  <mergeCells count="28">
    <mergeCell ref="A141:I141"/>
    <mergeCell ref="A142:I142"/>
    <mergeCell ref="A143:I143"/>
    <mergeCell ref="A144:I144"/>
    <mergeCell ref="A132:I132"/>
    <mergeCell ref="C134:E134"/>
    <mergeCell ref="C135:E135"/>
    <mergeCell ref="C137:E137"/>
    <mergeCell ref="C138:E138"/>
    <mergeCell ref="A140:I140"/>
    <mergeCell ref="A124:I124"/>
    <mergeCell ref="B125:G125"/>
    <mergeCell ref="B126:G126"/>
    <mergeCell ref="A128:I128"/>
    <mergeCell ref="A129:I129"/>
    <mergeCell ref="A130:I130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312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84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42674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hidden="1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5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6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customHeight="1">
      <c r="A52" s="46">
        <v>11</v>
      </c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f>F52/2*G52</f>
        <v>3726.3070720000005</v>
      </c>
      <c r="J52" s="32"/>
      <c r="L52" s="25"/>
      <c r="M52" s="26"/>
      <c r="N52" s="27"/>
    </row>
    <row r="53" spans="1:22" ht="31.5" customHeight="1">
      <c r="A53" s="46">
        <v>12</v>
      </c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f t="shared" ref="I53:I54" si="5">F53/2*G53</f>
        <v>1167.556</v>
      </c>
      <c r="J53" s="32"/>
      <c r="L53" s="25"/>
      <c r="M53" s="26"/>
      <c r="N53" s="27"/>
    </row>
    <row r="54" spans="1:22" ht="15.75" customHeight="1">
      <c r="A54" s="46">
        <v>13</v>
      </c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f t="shared" si="5"/>
        <v>60.421199999999999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14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6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6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6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6"/>
        <v>4.2603630300000006</v>
      </c>
      <c r="I68" s="16">
        <f t="shared" ref="I68:I72" si="7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6"/>
        <v>60.545394000000009</v>
      </c>
      <c r="I69" s="16">
        <f t="shared" si="7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6"/>
        <v>0.98141000000000012</v>
      </c>
      <c r="I70" s="16">
        <f t="shared" si="7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6"/>
        <v>0.91563000000000005</v>
      </c>
      <c r="I71" s="16">
        <f t="shared" si="7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6"/>
        <v>0.53320000000000001</v>
      </c>
      <c r="I72" s="16">
        <f t="shared" si="7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6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6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15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16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SUM(I16+I17+I18+I20+I26+I27+I30+I31+I33+I34+I52+I53+I54+I61+I82+I83)</f>
        <v>78184.942408200004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17</v>
      </c>
      <c r="B86" s="210" t="s">
        <v>144</v>
      </c>
      <c r="C86" s="211" t="s">
        <v>145</v>
      </c>
      <c r="D86" s="82"/>
      <c r="E86" s="16"/>
      <c r="F86" s="16">
        <v>4</v>
      </c>
      <c r="G86" s="16">
        <v>1063.47</v>
      </c>
      <c r="H86" s="272">
        <f t="shared" ref="H86" si="8">G86*F86/1000</f>
        <v>4.2538800000000005</v>
      </c>
      <c r="I86" s="16">
        <f>G86*2</f>
        <v>2126.94</v>
      </c>
    </row>
    <row r="87" spans="1:9" ht="15.75" customHeight="1">
      <c r="A87" s="46"/>
      <c r="B87" s="76" t="s">
        <v>66</v>
      </c>
      <c r="C87" s="72"/>
      <c r="D87" s="125"/>
      <c r="E87" s="72">
        <v>1</v>
      </c>
      <c r="F87" s="72"/>
      <c r="G87" s="72"/>
      <c r="H87" s="72"/>
      <c r="I87" s="54">
        <f>SUM(I86:I86)</f>
        <v>2126.94</v>
      </c>
    </row>
    <row r="88" spans="1:9" ht="15.75" customHeight="1">
      <c r="A88" s="46"/>
      <c r="B88" s="82" t="s">
        <v>103</v>
      </c>
      <c r="C88" s="19"/>
      <c r="D88" s="19"/>
      <c r="E88" s="73"/>
      <c r="F88" s="73"/>
      <c r="G88" s="74"/>
      <c r="H88" s="74"/>
      <c r="I88" s="22">
        <v>0</v>
      </c>
    </row>
    <row r="89" spans="1:9" ht="15.75" customHeight="1">
      <c r="A89" s="126"/>
      <c r="B89" s="77" t="s">
        <v>67</v>
      </c>
      <c r="C89" s="60"/>
      <c r="D89" s="60"/>
      <c r="E89" s="60"/>
      <c r="F89" s="60"/>
      <c r="G89" s="60"/>
      <c r="H89" s="60"/>
      <c r="I89" s="75">
        <f>I84+I87</f>
        <v>80311.882408200006</v>
      </c>
    </row>
    <row r="90" spans="1:9" ht="15.75" customHeight="1">
      <c r="A90" s="234" t="s">
        <v>313</v>
      </c>
      <c r="B90" s="234"/>
      <c r="C90" s="234"/>
      <c r="D90" s="234"/>
      <c r="E90" s="234"/>
      <c r="F90" s="234"/>
      <c r="G90" s="234"/>
      <c r="H90" s="234"/>
      <c r="I90" s="234"/>
    </row>
    <row r="91" spans="1:9" ht="15.75" customHeight="1">
      <c r="A91" s="209"/>
      <c r="B91" s="235" t="s">
        <v>314</v>
      </c>
      <c r="C91" s="235"/>
      <c r="D91" s="235"/>
      <c r="E91" s="235"/>
      <c r="F91" s="235"/>
      <c r="G91" s="235"/>
      <c r="H91" s="253"/>
      <c r="I91" s="3"/>
    </row>
    <row r="92" spans="1:9" ht="15.75" customHeight="1">
      <c r="A92" s="203"/>
      <c r="B92" s="219" t="s">
        <v>7</v>
      </c>
      <c r="C92" s="219"/>
      <c r="D92" s="219"/>
      <c r="E92" s="219"/>
      <c r="F92" s="219"/>
      <c r="G92" s="219"/>
      <c r="H92" s="36"/>
      <c r="I92" s="5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236" t="s">
        <v>8</v>
      </c>
      <c r="B94" s="236"/>
      <c r="C94" s="236"/>
      <c r="D94" s="236"/>
      <c r="E94" s="236"/>
      <c r="F94" s="236"/>
      <c r="G94" s="236"/>
      <c r="H94" s="236"/>
      <c r="I94" s="236"/>
    </row>
    <row r="95" spans="1:9" ht="15.75" customHeight="1">
      <c r="A95" s="236" t="s">
        <v>9</v>
      </c>
      <c r="B95" s="236"/>
      <c r="C95" s="236"/>
      <c r="D95" s="236"/>
      <c r="E95" s="236"/>
      <c r="F95" s="236"/>
      <c r="G95" s="236"/>
      <c r="H95" s="236"/>
      <c r="I95" s="236"/>
    </row>
    <row r="96" spans="1:9" ht="15.75" customHeight="1">
      <c r="A96" s="237" t="s">
        <v>82</v>
      </c>
      <c r="B96" s="237"/>
      <c r="C96" s="237"/>
      <c r="D96" s="237"/>
      <c r="E96" s="237"/>
      <c r="F96" s="237"/>
      <c r="G96" s="237"/>
      <c r="H96" s="237"/>
      <c r="I96" s="237"/>
    </row>
    <row r="97" spans="1:9" ht="15.75" customHeight="1">
      <c r="A97" s="12"/>
    </row>
    <row r="98" spans="1:9" ht="15.75" customHeight="1">
      <c r="A98" s="238" t="s">
        <v>11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 customHeight="1">
      <c r="A99" s="4"/>
    </row>
    <row r="100" spans="1:9" ht="15.75" customHeight="1">
      <c r="B100" s="206" t="s">
        <v>12</v>
      </c>
      <c r="C100" s="247" t="s">
        <v>141</v>
      </c>
      <c r="D100" s="247"/>
      <c r="E100" s="247"/>
      <c r="F100" s="251"/>
      <c r="I100" s="205"/>
    </row>
    <row r="101" spans="1:9" ht="15.75" customHeight="1">
      <c r="A101" s="203"/>
      <c r="C101" s="219" t="s">
        <v>13</v>
      </c>
      <c r="D101" s="219"/>
      <c r="E101" s="219"/>
      <c r="F101" s="36"/>
      <c r="I101" s="204" t="s">
        <v>14</v>
      </c>
    </row>
    <row r="102" spans="1:9" ht="15.75" customHeight="1">
      <c r="A102" s="37"/>
      <c r="C102" s="13"/>
      <c r="D102" s="13"/>
      <c r="G102" s="13"/>
      <c r="H102" s="13"/>
    </row>
    <row r="103" spans="1:9" ht="15.75" customHeight="1">
      <c r="B103" s="206" t="s">
        <v>15</v>
      </c>
      <c r="C103" s="220"/>
      <c r="D103" s="220"/>
      <c r="E103" s="220"/>
      <c r="F103" s="252"/>
      <c r="I103" s="205"/>
    </row>
    <row r="104" spans="1:9" ht="15.75" customHeight="1">
      <c r="A104" s="203"/>
      <c r="C104" s="221" t="s">
        <v>13</v>
      </c>
      <c r="D104" s="221"/>
      <c r="E104" s="221"/>
      <c r="F104" s="203"/>
      <c r="I104" s="204" t="s">
        <v>14</v>
      </c>
    </row>
    <row r="105" spans="1:9" ht="15.75" customHeight="1">
      <c r="A105" s="4" t="s">
        <v>16</v>
      </c>
    </row>
    <row r="106" spans="1:9" ht="15.75" customHeight="1">
      <c r="A106" s="239" t="s">
        <v>17</v>
      </c>
      <c r="B106" s="239"/>
      <c r="C106" s="239"/>
      <c r="D106" s="239"/>
      <c r="E106" s="239"/>
      <c r="F106" s="239"/>
      <c r="G106" s="239"/>
      <c r="H106" s="239"/>
      <c r="I106" s="239"/>
    </row>
    <row r="107" spans="1:9" ht="45" customHeight="1">
      <c r="A107" s="213" t="s">
        <v>18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30" customHeight="1">
      <c r="A108" s="213" t="s">
        <v>19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24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" customHeight="1">
      <c r="A110" s="213" t="s">
        <v>23</v>
      </c>
      <c r="B110" s="213"/>
      <c r="C110" s="213"/>
      <c r="D110" s="213"/>
      <c r="E110" s="213"/>
      <c r="F110" s="213"/>
      <c r="G110" s="213"/>
      <c r="H110" s="213"/>
      <c r="I110" s="213"/>
    </row>
  </sheetData>
  <autoFilter ref="I12:I6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21"/>
  <sheetViews>
    <sheetView view="pageLayout" zoomScale="77" zoomScaleNormal="77" zoomScalePageLayoutView="77" workbookViewId="0">
      <selection activeCell="A8" sqref="A8:G10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1.75" customHeight="1">
      <c r="B1" s="159" t="s">
        <v>127</v>
      </c>
      <c r="G1" s="53"/>
      <c r="H1" s="1"/>
      <c r="I1" s="1"/>
      <c r="J1" s="1"/>
      <c r="K1" s="1"/>
    </row>
    <row r="2" spans="1:11" ht="18.75">
      <c r="B2" s="160" t="s">
        <v>85</v>
      </c>
      <c r="H2" s="2"/>
      <c r="I2" s="2"/>
      <c r="J2" s="2"/>
      <c r="K2" s="2"/>
    </row>
    <row r="3" spans="1:11" ht="15.75" customHeight="1">
      <c r="A3" s="225" t="s">
        <v>245</v>
      </c>
      <c r="B3" s="225"/>
      <c r="C3" s="225"/>
      <c r="D3" s="225"/>
      <c r="E3" s="225"/>
      <c r="F3" s="225"/>
      <c r="G3" s="225"/>
      <c r="H3" s="3"/>
      <c r="I3" s="3"/>
      <c r="J3" s="3"/>
    </row>
    <row r="4" spans="1:11" ht="42.75" customHeight="1">
      <c r="A4" s="226" t="s">
        <v>189</v>
      </c>
      <c r="B4" s="226"/>
      <c r="C4" s="226"/>
      <c r="D4" s="226"/>
      <c r="E4" s="226"/>
      <c r="F4" s="226"/>
      <c r="G4" s="226"/>
    </row>
    <row r="5" spans="1:11" ht="18.75">
      <c r="A5" s="2"/>
      <c r="B5" s="227" t="s">
        <v>128</v>
      </c>
      <c r="C5" s="227"/>
      <c r="D5" s="227"/>
      <c r="E5" s="227"/>
      <c r="F5" s="227"/>
      <c r="H5" s="2"/>
      <c r="I5" s="2"/>
      <c r="J5" s="2"/>
      <c r="K5" s="2"/>
    </row>
    <row r="6" spans="1:11" ht="18.75">
      <c r="A6" s="2"/>
      <c r="B6" s="33"/>
      <c r="C6" s="33"/>
      <c r="D6" s="33"/>
      <c r="E6" s="33"/>
      <c r="F6" s="33"/>
      <c r="G6" s="158">
        <v>42704</v>
      </c>
      <c r="H6" s="2"/>
      <c r="I6" s="2"/>
      <c r="J6" s="2"/>
      <c r="K6" s="2"/>
    </row>
    <row r="7" spans="1:11" ht="16.5" customHeight="1">
      <c r="B7" s="38"/>
      <c r="C7" s="38"/>
      <c r="D7" s="38"/>
      <c r="E7" s="3"/>
      <c r="F7" s="3"/>
      <c r="H7" s="3"/>
      <c r="I7" s="3"/>
      <c r="J7" s="3"/>
      <c r="K7" s="3"/>
    </row>
    <row r="8" spans="1:11" ht="84.75" customHeight="1">
      <c r="A8" s="228" t="s">
        <v>247</v>
      </c>
      <c r="B8" s="228"/>
      <c r="C8" s="228"/>
      <c r="D8" s="228"/>
      <c r="E8" s="228"/>
      <c r="F8" s="228"/>
      <c r="G8" s="228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29" t="s">
        <v>246</v>
      </c>
      <c r="B10" s="229"/>
      <c r="C10" s="229"/>
      <c r="D10" s="229"/>
      <c r="E10" s="229"/>
      <c r="F10" s="229"/>
      <c r="G10" s="229"/>
      <c r="H10" s="2"/>
      <c r="I10" s="2"/>
      <c r="J10" s="2"/>
      <c r="K10" s="2"/>
    </row>
    <row r="11" spans="1:11" ht="15" customHeight="1">
      <c r="A11" s="3"/>
      <c r="B11" s="3"/>
      <c r="C11" s="36"/>
      <c r="D11" s="36"/>
      <c r="E11" s="36"/>
      <c r="F11" s="36"/>
      <c r="G11" s="36"/>
      <c r="H11" s="3"/>
    </row>
    <row r="12" spans="1:11" ht="0.75" customHeight="1">
      <c r="A12" s="4"/>
    </row>
    <row r="13" spans="1:11" ht="67.5" customHeight="1">
      <c r="A13" s="90" t="s">
        <v>0</v>
      </c>
      <c r="B13" s="90" t="s">
        <v>126</v>
      </c>
      <c r="C13" s="90" t="s">
        <v>2</v>
      </c>
      <c r="D13" s="90" t="s">
        <v>20</v>
      </c>
      <c r="E13" s="90" t="s">
        <v>21</v>
      </c>
      <c r="F13" s="90" t="s">
        <v>25</v>
      </c>
      <c r="G13" s="90" t="s">
        <v>3</v>
      </c>
    </row>
    <row r="14" spans="1:11" ht="15.75">
      <c r="A14" s="127">
        <v>1</v>
      </c>
      <c r="B14" s="127">
        <v>2</v>
      </c>
      <c r="C14" s="127">
        <v>3</v>
      </c>
      <c r="D14" s="149">
        <v>4</v>
      </c>
      <c r="E14" s="127">
        <v>5</v>
      </c>
      <c r="F14" s="127">
        <v>6</v>
      </c>
      <c r="G14" s="127">
        <v>7</v>
      </c>
      <c r="H14" s="8"/>
      <c r="I14" s="8"/>
      <c r="J14" s="8"/>
      <c r="K14" s="8"/>
    </row>
    <row r="15" spans="1:11" ht="18.75" customHeight="1">
      <c r="A15" s="215" t="s">
        <v>4</v>
      </c>
      <c r="B15" s="216"/>
      <c r="C15" s="216"/>
      <c r="D15" s="216"/>
      <c r="E15" s="216"/>
      <c r="F15" s="216"/>
      <c r="G15" s="217"/>
      <c r="H15" s="8"/>
      <c r="I15" s="8"/>
      <c r="J15" s="8"/>
      <c r="K15" s="8"/>
    </row>
    <row r="16" spans="1:11" ht="30.75" customHeight="1">
      <c r="A16" s="86">
        <v>1</v>
      </c>
      <c r="B16" s="95" t="s">
        <v>129</v>
      </c>
      <c r="C16" s="86" t="s">
        <v>68</v>
      </c>
      <c r="D16" s="86" t="s">
        <v>130</v>
      </c>
      <c r="E16" s="86"/>
      <c r="F16" s="86">
        <v>187.48</v>
      </c>
      <c r="G16" s="110">
        <v>3117.23</v>
      </c>
      <c r="H16" s="8"/>
      <c r="I16" s="8"/>
      <c r="J16" s="8"/>
      <c r="K16" s="8"/>
    </row>
    <row r="17" spans="1:11" ht="31.5" customHeight="1">
      <c r="A17" s="86">
        <v>2</v>
      </c>
      <c r="B17" s="95" t="s">
        <v>150</v>
      </c>
      <c r="C17" s="86" t="s">
        <v>68</v>
      </c>
      <c r="D17" s="86" t="s">
        <v>165</v>
      </c>
      <c r="E17" s="86"/>
      <c r="F17" s="86">
        <v>187.48</v>
      </c>
      <c r="G17" s="110">
        <v>8223.94</v>
      </c>
      <c r="H17" s="8"/>
      <c r="I17" s="8"/>
      <c r="J17" s="8"/>
      <c r="K17" s="8"/>
    </row>
    <row r="18" spans="1:11" ht="30" customHeight="1">
      <c r="A18" s="86">
        <v>3</v>
      </c>
      <c r="B18" s="153" t="s">
        <v>151</v>
      </c>
      <c r="C18" s="86" t="s">
        <v>68</v>
      </c>
      <c r="D18" s="86" t="s">
        <v>105</v>
      </c>
      <c r="E18" s="86"/>
      <c r="F18" s="110">
        <v>539.30999999999995</v>
      </c>
      <c r="G18" s="110">
        <v>6897.77</v>
      </c>
      <c r="H18" s="8"/>
      <c r="I18" s="8"/>
      <c r="J18" s="8"/>
      <c r="K18" s="8"/>
    </row>
    <row r="19" spans="1:11" ht="20.25" customHeight="1">
      <c r="A19" s="86">
        <v>4</v>
      </c>
      <c r="B19" s="106" t="s">
        <v>163</v>
      </c>
      <c r="C19" s="86" t="s">
        <v>68</v>
      </c>
      <c r="D19" s="86" t="s">
        <v>36</v>
      </c>
      <c r="E19" s="86"/>
      <c r="F19" s="110">
        <v>232.92</v>
      </c>
      <c r="G19" s="86">
        <v>136.03</v>
      </c>
      <c r="H19" s="8"/>
      <c r="I19" s="8"/>
      <c r="J19" s="8"/>
      <c r="K19" s="8"/>
    </row>
    <row r="20" spans="1:11" ht="19.5" customHeight="1">
      <c r="A20" s="86">
        <v>5</v>
      </c>
      <c r="B20" s="106" t="s">
        <v>164</v>
      </c>
      <c r="C20" s="86" t="s">
        <v>68</v>
      </c>
      <c r="D20" s="86" t="s">
        <v>185</v>
      </c>
      <c r="E20" s="86"/>
      <c r="F20" s="110">
        <v>231.03</v>
      </c>
      <c r="G20" s="86">
        <v>20.98</v>
      </c>
      <c r="H20" s="8"/>
      <c r="I20" s="8"/>
      <c r="J20" s="8"/>
      <c r="K20" s="8"/>
    </row>
    <row r="21" spans="1:11" ht="19.5" hidden="1" customHeight="1">
      <c r="A21" s="86">
        <v>6</v>
      </c>
      <c r="B21" s="106" t="s">
        <v>175</v>
      </c>
      <c r="C21" s="86" t="s">
        <v>68</v>
      </c>
      <c r="D21" s="86" t="s">
        <v>36</v>
      </c>
      <c r="E21" s="86"/>
      <c r="F21" s="110">
        <v>389.42</v>
      </c>
      <c r="G21" s="110">
        <v>12.33</v>
      </c>
      <c r="H21" s="8"/>
      <c r="I21" s="8"/>
      <c r="J21" s="8"/>
      <c r="K21" s="8"/>
    </row>
    <row r="22" spans="1:11" ht="18.75" hidden="1" customHeight="1">
      <c r="A22" s="86">
        <v>7</v>
      </c>
      <c r="B22" s="106" t="s">
        <v>176</v>
      </c>
      <c r="C22" s="86" t="s">
        <v>68</v>
      </c>
      <c r="D22" s="86" t="s">
        <v>36</v>
      </c>
      <c r="E22" s="86"/>
      <c r="F22" s="110">
        <v>520.79999999999995</v>
      </c>
      <c r="G22" s="86">
        <v>88.54</v>
      </c>
      <c r="H22" s="8"/>
      <c r="I22" s="8"/>
      <c r="J22" s="8"/>
      <c r="K22" s="8"/>
    </row>
    <row r="23" spans="1:11" ht="18" customHeight="1">
      <c r="A23" s="86">
        <v>6</v>
      </c>
      <c r="B23" s="84" t="s">
        <v>26</v>
      </c>
      <c r="C23" s="85" t="s">
        <v>27</v>
      </c>
      <c r="D23" s="86" t="s">
        <v>28</v>
      </c>
      <c r="E23" s="105" t="e">
        <f>#REF!+#REF!+#REF!+#REF!+#REF!+#REF!+'12.16'!E11+#REF!+#REF!+#REF!+#REF!+#REF!</f>
        <v>#REF!</v>
      </c>
      <c r="F23" s="93">
        <v>5.85</v>
      </c>
      <c r="G23" s="88">
        <v>26858.52</v>
      </c>
      <c r="H23" s="8"/>
      <c r="I23" s="8"/>
      <c r="J23" s="8"/>
      <c r="K23" s="8"/>
    </row>
    <row r="24" spans="1:11" ht="17.25" customHeight="1">
      <c r="A24" s="86">
        <v>7</v>
      </c>
      <c r="B24" s="95" t="s">
        <v>87</v>
      </c>
      <c r="C24" s="96" t="s">
        <v>40</v>
      </c>
      <c r="D24" s="97" t="s">
        <v>123</v>
      </c>
      <c r="E24" s="94">
        <v>0</v>
      </c>
      <c r="F24" s="87">
        <v>157.18</v>
      </c>
      <c r="G24" s="94">
        <v>478.09</v>
      </c>
      <c r="H24" s="8"/>
      <c r="I24" s="8"/>
      <c r="J24" s="8"/>
      <c r="K24" s="8"/>
    </row>
    <row r="25" spans="1:11" ht="18.75" customHeight="1">
      <c r="A25" s="215" t="s">
        <v>124</v>
      </c>
      <c r="B25" s="216"/>
      <c r="C25" s="216"/>
      <c r="D25" s="216"/>
      <c r="E25" s="216"/>
      <c r="F25" s="216"/>
      <c r="G25" s="217"/>
      <c r="H25" s="47"/>
      <c r="I25" s="8"/>
      <c r="J25" s="8"/>
      <c r="K25" s="8"/>
    </row>
    <row r="26" spans="1:11" ht="18.75" customHeight="1">
      <c r="A26" s="83"/>
      <c r="B26" s="98" t="s">
        <v>5</v>
      </c>
      <c r="C26" s="83"/>
      <c r="D26" s="83"/>
      <c r="E26" s="105"/>
      <c r="F26" s="93"/>
      <c r="G26" s="130"/>
      <c r="H26" s="31"/>
      <c r="I26" s="8"/>
      <c r="J26" s="8"/>
      <c r="K26" s="8"/>
    </row>
    <row r="27" spans="1:11" ht="34.5" customHeight="1">
      <c r="A27" s="99">
        <v>8</v>
      </c>
      <c r="B27" s="129" t="s">
        <v>31</v>
      </c>
      <c r="C27" s="92" t="s">
        <v>39</v>
      </c>
      <c r="D27" s="86" t="s">
        <v>30</v>
      </c>
      <c r="E27" s="105" t="e">
        <f>#REF!+#REF!+#REF!+#REF!+#REF!+#REF!+'12.16'!#REF!+#REF!+#REF!+#REF!+#REF!+#REF!</f>
        <v>#REF!</v>
      </c>
      <c r="F27" s="101">
        <v>1632.6</v>
      </c>
      <c r="G27" s="88">
        <v>2721</v>
      </c>
      <c r="H27" s="31"/>
      <c r="I27" s="8"/>
      <c r="J27" s="8"/>
      <c r="K27" s="8"/>
    </row>
    <row r="28" spans="1:11" ht="17.25" hidden="1" customHeight="1">
      <c r="A28" s="99">
        <v>7</v>
      </c>
      <c r="B28" s="163" t="s">
        <v>182</v>
      </c>
      <c r="C28" s="92" t="s">
        <v>35</v>
      </c>
      <c r="D28" s="86" t="s">
        <v>105</v>
      </c>
      <c r="E28" s="105" t="e">
        <f>#REF!+#REF!+#REF!+#REF!+#REF!+#REF!+'12.16'!E26+#REF!+#REF!+#REF!+#REF!+#REF!</f>
        <v>#REF!</v>
      </c>
      <c r="F28" s="101">
        <v>2102.71</v>
      </c>
      <c r="G28" s="88">
        <v>2666.94</v>
      </c>
      <c r="H28" s="31"/>
      <c r="I28" s="44"/>
      <c r="J28" s="8"/>
      <c r="K28" s="8"/>
    </row>
    <row r="29" spans="1:11" ht="35.25" customHeight="1">
      <c r="A29" s="99">
        <v>9</v>
      </c>
      <c r="B29" s="144" t="s">
        <v>153</v>
      </c>
      <c r="C29" s="92" t="s">
        <v>35</v>
      </c>
      <c r="D29" s="86" t="s">
        <v>154</v>
      </c>
      <c r="E29" s="105"/>
      <c r="F29" s="101">
        <v>2247.8000000000002</v>
      </c>
      <c r="G29" s="88">
        <v>2863.7</v>
      </c>
      <c r="H29" s="31"/>
      <c r="I29" s="44"/>
      <c r="J29" s="8"/>
      <c r="K29" s="8"/>
    </row>
    <row r="30" spans="1:11" ht="21.75" hidden="1" customHeight="1">
      <c r="A30" s="99"/>
      <c r="B30" s="145" t="s">
        <v>155</v>
      </c>
      <c r="C30" s="92" t="s">
        <v>156</v>
      </c>
      <c r="D30" s="86" t="s">
        <v>30</v>
      </c>
      <c r="E30" s="105"/>
      <c r="F30" s="101">
        <v>199.44</v>
      </c>
      <c r="G30" s="88">
        <v>0</v>
      </c>
      <c r="H30" s="31"/>
      <c r="I30" s="44"/>
      <c r="J30" s="8"/>
      <c r="K30" s="8"/>
    </row>
    <row r="31" spans="1:11" ht="20.25" hidden="1" customHeight="1">
      <c r="A31" s="99">
        <v>10</v>
      </c>
      <c r="B31" s="145" t="s">
        <v>166</v>
      </c>
      <c r="C31" s="92" t="s">
        <v>35</v>
      </c>
      <c r="D31" s="86" t="s">
        <v>142</v>
      </c>
      <c r="E31" s="105"/>
      <c r="F31" s="101">
        <v>44.29</v>
      </c>
      <c r="G31" s="88">
        <v>25.097999999999999</v>
      </c>
      <c r="H31" s="31"/>
      <c r="I31" s="44"/>
      <c r="J31" s="8"/>
      <c r="K31" s="8"/>
    </row>
    <row r="32" spans="1:11" ht="36" customHeight="1">
      <c r="A32" s="99">
        <v>10</v>
      </c>
      <c r="B32" s="150" t="s">
        <v>137</v>
      </c>
      <c r="C32" s="92" t="s">
        <v>35</v>
      </c>
      <c r="D32" s="86" t="s">
        <v>125</v>
      </c>
      <c r="E32" s="105" t="e">
        <f>#REF!+#REF!+#REF!+#REF!+#REF!+#REF!+'12.16'!E26+#REF!+#REF!+#REF!+#REF!+#REF!</f>
        <v>#REF!</v>
      </c>
      <c r="F32" s="101">
        <v>374.95</v>
      </c>
      <c r="G32" s="88">
        <v>2519.67</v>
      </c>
      <c r="H32" s="31"/>
      <c r="I32" s="44"/>
      <c r="J32" s="8"/>
      <c r="K32" s="8"/>
    </row>
    <row r="33" spans="1:12" ht="64.5" customHeight="1">
      <c r="A33" s="99">
        <v>11</v>
      </c>
      <c r="B33" s="95" t="s">
        <v>117</v>
      </c>
      <c r="C33" s="92" t="s">
        <v>35</v>
      </c>
      <c r="D33" s="86" t="s">
        <v>186</v>
      </c>
      <c r="E33" s="105" t="e">
        <f>#REF!+#REF!+#REF!+#REF!+#REF!+#REF!+'12.16'!E27+#REF!+#REF!+#REF!+#REF!+#REF!</f>
        <v>#REF!</v>
      </c>
      <c r="F33" s="101">
        <v>6203.7</v>
      </c>
      <c r="G33" s="88">
        <v>4803.2700000000004</v>
      </c>
      <c r="H33" s="31"/>
      <c r="I33" s="8"/>
      <c r="J33" s="8"/>
      <c r="K33" s="8"/>
    </row>
    <row r="34" spans="1:12" ht="18" customHeight="1">
      <c r="A34" s="99">
        <v>12</v>
      </c>
      <c r="B34" s="129" t="s">
        <v>138</v>
      </c>
      <c r="C34" s="92" t="s">
        <v>35</v>
      </c>
      <c r="D34" s="86" t="s">
        <v>122</v>
      </c>
      <c r="E34" s="88" t="e">
        <f>#REF!+#REF!+#REF!+#REF!+#REF!+#REF!+'12.16'!E29+#REF!+#REF!+#REF!+#REF!+#REF!</f>
        <v>#REF!</v>
      </c>
      <c r="F34" s="101">
        <v>458.28</v>
      </c>
      <c r="G34" s="88">
        <v>875.77</v>
      </c>
      <c r="H34" s="31"/>
      <c r="I34" s="8"/>
      <c r="J34" s="8"/>
      <c r="K34" s="8"/>
    </row>
    <row r="35" spans="1:12" ht="15.75" customHeight="1">
      <c r="A35" s="99">
        <v>13</v>
      </c>
      <c r="B35" s="91" t="s">
        <v>32</v>
      </c>
      <c r="C35" s="85" t="s">
        <v>40</v>
      </c>
      <c r="D35" s="91"/>
      <c r="E35" s="105" t="e">
        <f>#REF!+#REF!+#REF!+#REF!+#REF!+#REF!+'12.16'!E30+#REF!+#REF!+#REF!+#REF!+#REF!</f>
        <v>#REF!</v>
      </c>
      <c r="F35" s="101">
        <v>853.06</v>
      </c>
      <c r="G35" s="88">
        <v>127.96</v>
      </c>
      <c r="H35" s="31"/>
      <c r="I35" s="8"/>
      <c r="J35" s="8"/>
      <c r="K35" s="8"/>
    </row>
    <row r="36" spans="1:12" ht="15" hidden="1" customHeight="1">
      <c r="A36" s="128"/>
      <c r="B36" s="215" t="s">
        <v>131</v>
      </c>
      <c r="C36" s="216"/>
      <c r="D36" s="216"/>
      <c r="E36" s="216"/>
      <c r="F36" s="216"/>
      <c r="G36" s="217"/>
      <c r="H36" s="48"/>
      <c r="I36" s="8"/>
    </row>
    <row r="37" spans="1:12" ht="22.5" hidden="1" customHeight="1">
      <c r="A37" s="83">
        <v>16</v>
      </c>
      <c r="B37" s="129" t="s">
        <v>41</v>
      </c>
      <c r="C37" s="92" t="s">
        <v>35</v>
      </c>
      <c r="D37" s="86" t="s">
        <v>81</v>
      </c>
      <c r="E37" s="88" t="e">
        <f>#REF!+#REF!+#REF!+#REF!+#REF!+#REF!+'12.16'!E34+#REF!+#REF!+#REF!+#REF!+#REF!</f>
        <v>#REF!</v>
      </c>
      <c r="F37" s="101">
        <v>1098.72</v>
      </c>
      <c r="G37" s="130" t="e">
        <f>#REF!+#REF!+#REF!+#REF!+#REF!+#REF!+'12.16'!G34+#REF!+#REF!+#REF!+#REF!+#REF!</f>
        <v>#REF!</v>
      </c>
      <c r="H37" s="32"/>
    </row>
    <row r="38" spans="1:12" ht="24" hidden="1" customHeight="1">
      <c r="A38" s="83">
        <v>17</v>
      </c>
      <c r="B38" s="129" t="s">
        <v>42</v>
      </c>
      <c r="C38" s="92" t="s">
        <v>43</v>
      </c>
      <c r="D38" s="86" t="s">
        <v>81</v>
      </c>
      <c r="E38" s="88" t="e">
        <f>#REF!+#REF!+#REF!+#REF!+#REF!+#REF!+'12.16'!E35+#REF!+#REF!+#REF!+#REF!+#REF!</f>
        <v>#REF!</v>
      </c>
      <c r="F38" s="101">
        <v>94.18</v>
      </c>
      <c r="G38" s="130" t="e">
        <f>#REF!+#REF!+#REF!+#REF!+#REF!+#REF!+'12.16'!G34+#REF!+#REF!+#REF!+#REF!+#REF!</f>
        <v>#REF!</v>
      </c>
      <c r="H38" s="32"/>
    </row>
    <row r="39" spans="1:12" ht="24" hidden="1" customHeight="1">
      <c r="A39" s="83">
        <v>18</v>
      </c>
      <c r="B39" s="129" t="s">
        <v>44</v>
      </c>
      <c r="C39" s="92" t="s">
        <v>35</v>
      </c>
      <c r="D39" s="86" t="s">
        <v>81</v>
      </c>
      <c r="E39" s="88" t="e">
        <f>#REF!+#REF!+#REF!+#REF!+#REF!+#REF!+'12.16'!E36+#REF!+#REF!+#REF!+#REF!+#REF!</f>
        <v>#REF!</v>
      </c>
      <c r="F39" s="101">
        <v>749.49</v>
      </c>
      <c r="G39" s="130" t="e">
        <f>#REF!+#REF!+#REF!+#REF!+#REF!+#REF!+'12.16'!G35+#REF!+#REF!+#REF!+#REF!+#REF!</f>
        <v>#REF!</v>
      </c>
      <c r="H39" s="32"/>
    </row>
    <row r="40" spans="1:12" ht="24" hidden="1" customHeight="1">
      <c r="A40" s="83">
        <v>19</v>
      </c>
      <c r="B40" s="129" t="s">
        <v>45</v>
      </c>
      <c r="C40" s="92" t="s">
        <v>35</v>
      </c>
      <c r="D40" s="86" t="s">
        <v>81</v>
      </c>
      <c r="E40" s="88" t="e">
        <f>#REF!+#REF!+#REF!+#REF!+#REF!+#REF!+'12.16'!E37+#REF!+#REF!+#REF!+#REF!+#REF!</f>
        <v>#REF!</v>
      </c>
      <c r="F40" s="101">
        <v>749.49</v>
      </c>
      <c r="G40" s="130" t="e">
        <f>#REF!+#REF!+#REF!+#REF!+#REF!+#REF!+'12.16'!G37+#REF!+#REF!+#REF!+#REF!+#REF!</f>
        <v>#REF!</v>
      </c>
      <c r="H40" s="32"/>
    </row>
    <row r="41" spans="1:12" ht="23.25" hidden="1" customHeight="1">
      <c r="A41" s="83">
        <v>20</v>
      </c>
      <c r="B41" s="129" t="s">
        <v>46</v>
      </c>
      <c r="C41" s="92" t="s">
        <v>35</v>
      </c>
      <c r="D41" s="86" t="s">
        <v>81</v>
      </c>
      <c r="E41" s="88" t="e">
        <f>#REF!+#REF!+#REF!+#REF!+#REF!+#REF!+'12.16'!E38+#REF!+#REF!+#REF!+#REF!+#REF!</f>
        <v>#REF!</v>
      </c>
      <c r="F41" s="101">
        <v>784.8</v>
      </c>
      <c r="G41" s="130" t="e">
        <f>#REF!+#REF!+#REF!+#REF!+#REF!+#REF!+'12.16'!G38+#REF!+#REF!+#REF!+#REF!+#REF!</f>
        <v>#REF!</v>
      </c>
      <c r="H41" s="32"/>
    </row>
    <row r="42" spans="1:12" ht="23.25" hidden="1" customHeight="1">
      <c r="A42" s="83">
        <v>21</v>
      </c>
      <c r="B42" s="129" t="s">
        <v>76</v>
      </c>
      <c r="C42" s="92" t="s">
        <v>35</v>
      </c>
      <c r="D42" s="86" t="s">
        <v>81</v>
      </c>
      <c r="E42" s="88" t="e">
        <f>#REF!+#REF!+#REF!+#REF!+#REF!+#REF!+'12.16'!E39+#REF!+#REF!+#REF!+#REF!+#REF!</f>
        <v>#REF!</v>
      </c>
      <c r="F42" s="101">
        <v>1599.61</v>
      </c>
      <c r="G42" s="130" t="e">
        <f>#REF!+#REF!+#REF!+#REF!+#REF!+#REF!+'12.16'!G39+#REF!+#REF!+#REF!+#REF!+#REF!</f>
        <v>#REF!</v>
      </c>
      <c r="H42" s="32"/>
    </row>
    <row r="43" spans="1:12" ht="30.75" hidden="1" customHeight="1">
      <c r="A43" s="83">
        <v>22</v>
      </c>
      <c r="B43" s="129" t="s">
        <v>47</v>
      </c>
      <c r="C43" s="92" t="s">
        <v>35</v>
      </c>
      <c r="D43" s="86" t="s">
        <v>81</v>
      </c>
      <c r="E43" s="88" t="e">
        <f>#REF!+#REF!+#REF!+#REF!+#REF!+#REF!+'12.16'!E40+#REF!+#REF!+#REF!+#REF!+#REF!</f>
        <v>#REF!</v>
      </c>
      <c r="F43" s="101">
        <v>1599.61</v>
      </c>
      <c r="G43" s="130" t="e">
        <f>#REF!+#REF!+#REF!+#REF!+#REF!+#REF!+'12.16'!G40+#REF!+#REF!+#REF!+#REF!+#REF!</f>
        <v>#REF!</v>
      </c>
      <c r="H43" s="32"/>
    </row>
    <row r="44" spans="1:12" ht="30.75" hidden="1" customHeight="1">
      <c r="A44" s="83">
        <v>23</v>
      </c>
      <c r="B44" s="129" t="s">
        <v>48</v>
      </c>
      <c r="C44" s="92" t="s">
        <v>49</v>
      </c>
      <c r="D44" s="86" t="s">
        <v>81</v>
      </c>
      <c r="E44" s="88" t="e">
        <f>#REF!+#REF!+#REF!+#REF!+#REF!+#REF!+'12.16'!E41+#REF!+#REF!+#REF!+#REF!+#REF!</f>
        <v>#REF!</v>
      </c>
      <c r="F44" s="101">
        <v>3599.1</v>
      </c>
      <c r="G44" s="130" t="e">
        <f>#REF!+#REF!+#REF!+#REF!+#REF!+#REF!+'12.16'!G41+#REF!+#REF!+#REF!+#REF!+#REF!</f>
        <v>#REF!</v>
      </c>
      <c r="H44" s="32"/>
      <c r="J44" s="25"/>
      <c r="K44" s="26"/>
      <c r="L44" s="27"/>
    </row>
    <row r="45" spans="1:12" ht="25.5" hidden="1" customHeight="1">
      <c r="A45" s="83">
        <v>24</v>
      </c>
      <c r="B45" s="129" t="s">
        <v>50</v>
      </c>
      <c r="C45" s="92" t="s">
        <v>51</v>
      </c>
      <c r="D45" s="86" t="s">
        <v>81</v>
      </c>
      <c r="E45" s="88" t="e">
        <f>#REF!+#REF!+#REF!+#REF!+#REF!+#REF!+'12.16'!E42+#REF!+#REF!+#REF!+#REF!+#REF!</f>
        <v>#REF!</v>
      </c>
      <c r="F45" s="101">
        <v>7450.14</v>
      </c>
      <c r="G45" s="130" t="e">
        <f>#REF!+#REF!+#REF!+#REF!+#REF!+#REF!+'12.16'!G42+#REF!+#REF!+#REF!+#REF!+#REF!</f>
        <v>#REF!</v>
      </c>
      <c r="H45" s="32"/>
      <c r="J45" s="25"/>
      <c r="K45" s="26"/>
      <c r="L45" s="27"/>
    </row>
    <row r="46" spans="1:12" ht="25.5" hidden="1" customHeight="1">
      <c r="A46" s="83">
        <v>25</v>
      </c>
      <c r="B46" s="131" t="s">
        <v>52</v>
      </c>
      <c r="C46" s="120" t="s">
        <v>37</v>
      </c>
      <c r="D46" s="121" t="s">
        <v>53</v>
      </c>
      <c r="E46" s="88">
        <v>32</v>
      </c>
      <c r="F46" s="101">
        <v>158.66</v>
      </c>
      <c r="G46" s="130">
        <f>E46*F46</f>
        <v>5077.12</v>
      </c>
      <c r="H46" s="32"/>
      <c r="J46" s="25"/>
      <c r="K46" s="26"/>
      <c r="L46" s="27"/>
    </row>
    <row r="47" spans="1:12" ht="16.5" hidden="1" customHeight="1">
      <c r="A47" s="83">
        <v>26</v>
      </c>
      <c r="B47" s="129" t="s">
        <v>54</v>
      </c>
      <c r="C47" s="120" t="s">
        <v>37</v>
      </c>
      <c r="D47" s="86" t="s">
        <v>55</v>
      </c>
      <c r="E47" s="88">
        <v>32</v>
      </c>
      <c r="F47" s="101">
        <v>73.84</v>
      </c>
      <c r="G47" s="130">
        <f>E47*F47</f>
        <v>2362.88</v>
      </c>
      <c r="H47" s="32"/>
      <c r="J47" s="25"/>
      <c r="K47" s="26"/>
      <c r="L47" s="27"/>
    </row>
    <row r="48" spans="1:12" ht="19.5" customHeight="1">
      <c r="A48" s="89"/>
      <c r="B48" s="215" t="s">
        <v>132</v>
      </c>
      <c r="C48" s="216"/>
      <c r="D48" s="216"/>
      <c r="E48" s="216"/>
      <c r="F48" s="216"/>
      <c r="G48" s="217"/>
      <c r="H48" s="49"/>
      <c r="J48" s="25"/>
      <c r="K48" s="26"/>
      <c r="L48" s="27"/>
    </row>
    <row r="49" spans="1:12" ht="20.25" customHeight="1">
      <c r="A49" s="128"/>
      <c r="B49" s="102" t="s">
        <v>56</v>
      </c>
      <c r="C49" s="92"/>
      <c r="D49" s="132"/>
      <c r="E49" s="105"/>
      <c r="F49" s="103"/>
      <c r="G49" s="130"/>
      <c r="H49" s="32"/>
      <c r="J49" s="25"/>
      <c r="K49" s="26"/>
      <c r="L49" s="27"/>
    </row>
    <row r="50" spans="1:12" ht="36" customHeight="1">
      <c r="A50" s="83">
        <v>14</v>
      </c>
      <c r="B50" s="152" t="s">
        <v>177</v>
      </c>
      <c r="C50" s="92" t="s">
        <v>68</v>
      </c>
      <c r="D50" s="90" t="s">
        <v>36</v>
      </c>
      <c r="E50" s="88" t="e">
        <f>#REF!+#REF!+#REF!+#REF!+#REF!+#REF!+'12.16'!E48+#REF!+#REF!+#REF!+#REF!+#REF!</f>
        <v>#REF!</v>
      </c>
      <c r="F50" s="101">
        <v>1654.04</v>
      </c>
      <c r="G50" s="88">
        <v>2970.49</v>
      </c>
      <c r="H50" s="32"/>
      <c r="J50" s="25"/>
      <c r="K50" s="26"/>
      <c r="L50" s="27"/>
    </row>
    <row r="51" spans="1:12" ht="18.75" hidden="1" customHeight="1">
      <c r="A51" s="83">
        <v>14</v>
      </c>
      <c r="B51" s="144" t="s">
        <v>157</v>
      </c>
      <c r="C51" s="92" t="s">
        <v>68</v>
      </c>
      <c r="D51" s="90" t="s">
        <v>36</v>
      </c>
      <c r="E51" s="88"/>
      <c r="F51" s="101">
        <v>1547.28</v>
      </c>
      <c r="G51" s="88">
        <v>866.48</v>
      </c>
      <c r="H51" s="32"/>
      <c r="J51" s="25"/>
      <c r="K51" s="26"/>
      <c r="L51" s="27"/>
    </row>
    <row r="52" spans="1:12" ht="36.75" customHeight="1">
      <c r="A52" s="83">
        <v>15</v>
      </c>
      <c r="B52" s="169" t="s">
        <v>190</v>
      </c>
      <c r="C52" s="92" t="s">
        <v>68</v>
      </c>
      <c r="D52" s="90" t="s">
        <v>36</v>
      </c>
      <c r="E52" s="88"/>
      <c r="F52" s="101">
        <v>1654.04</v>
      </c>
      <c r="G52" s="88">
        <v>992.42</v>
      </c>
      <c r="H52" s="32"/>
      <c r="J52" s="25"/>
      <c r="K52" s="26"/>
      <c r="L52" s="27"/>
    </row>
    <row r="53" spans="1:12" ht="19.5" hidden="1" customHeight="1">
      <c r="A53" s="83">
        <v>14</v>
      </c>
      <c r="B53" s="150" t="s">
        <v>167</v>
      </c>
      <c r="C53" s="92" t="s">
        <v>168</v>
      </c>
      <c r="D53" s="90" t="s">
        <v>55</v>
      </c>
      <c r="E53" s="88"/>
      <c r="F53" s="101">
        <v>180.78</v>
      </c>
      <c r="G53" s="88">
        <v>482.08</v>
      </c>
      <c r="H53" s="32"/>
      <c r="J53" s="25"/>
      <c r="K53" s="26"/>
      <c r="L53" s="27"/>
    </row>
    <row r="54" spans="1:12" ht="17.25" hidden="1" customHeight="1">
      <c r="A54" s="83">
        <v>13</v>
      </c>
      <c r="B54" s="129" t="s">
        <v>133</v>
      </c>
      <c r="C54" s="92" t="s">
        <v>39</v>
      </c>
      <c r="D54" s="90" t="s">
        <v>30</v>
      </c>
      <c r="E54" s="88"/>
      <c r="F54" s="101">
        <v>1501</v>
      </c>
      <c r="G54" s="88">
        <v>750.5</v>
      </c>
      <c r="H54" s="32"/>
      <c r="J54" s="25"/>
      <c r="K54" s="26"/>
      <c r="L54" s="27"/>
    </row>
    <row r="55" spans="1:12" ht="18" customHeight="1">
      <c r="A55" s="83"/>
      <c r="B55" s="102" t="s">
        <v>57</v>
      </c>
      <c r="C55" s="119"/>
      <c r="D55" s="119"/>
      <c r="E55" s="105"/>
      <c r="F55" s="133"/>
      <c r="G55" s="130"/>
      <c r="H55" s="32"/>
      <c r="J55" s="25"/>
      <c r="K55" s="26"/>
      <c r="L55" s="27"/>
    </row>
    <row r="56" spans="1:12" ht="15.75" hidden="1" customHeight="1">
      <c r="A56" s="83">
        <v>29</v>
      </c>
      <c r="B56" s="129" t="s">
        <v>58</v>
      </c>
      <c r="C56" s="92" t="s">
        <v>68</v>
      </c>
      <c r="D56" s="86" t="s">
        <v>69</v>
      </c>
      <c r="E56" s="105" t="e">
        <f>#REF!+#REF!+#REF!+#REF!+#REF!+#REF!+'12.16'!E51+#REF!+#REF!+#REF!+#REF!+#REF!</f>
        <v>#REF!</v>
      </c>
      <c r="F56" s="86">
        <v>793.61</v>
      </c>
      <c r="G56" s="130"/>
      <c r="H56" s="32"/>
      <c r="J56" s="25"/>
      <c r="K56" s="26"/>
      <c r="L56" s="27"/>
    </row>
    <row r="57" spans="1:12" ht="18" customHeight="1">
      <c r="A57" s="83">
        <v>16</v>
      </c>
      <c r="B57" s="144" t="s">
        <v>158</v>
      </c>
      <c r="C57" s="92" t="s">
        <v>29</v>
      </c>
      <c r="D57" s="86" t="s">
        <v>36</v>
      </c>
      <c r="E57" s="105"/>
      <c r="F57" s="110">
        <v>2.6</v>
      </c>
      <c r="G57" s="88">
        <v>891.8</v>
      </c>
      <c r="H57" s="32"/>
      <c r="J57" s="25"/>
      <c r="K57" s="26"/>
      <c r="L57" s="27"/>
    </row>
    <row r="58" spans="1:12" ht="0.75" hidden="1" customHeight="1">
      <c r="A58" s="83"/>
      <c r="B58" s="102" t="s">
        <v>59</v>
      </c>
      <c r="C58" s="92"/>
      <c r="D58" s="90"/>
      <c r="E58" s="105"/>
      <c r="F58" s="86"/>
      <c r="G58" s="130"/>
      <c r="H58" s="32"/>
      <c r="J58" s="25"/>
      <c r="K58" s="26"/>
      <c r="L58" s="27"/>
    </row>
    <row r="59" spans="1:12" ht="18.75" hidden="1" customHeight="1">
      <c r="A59" s="83">
        <v>17</v>
      </c>
      <c r="B59" s="129" t="s">
        <v>60</v>
      </c>
      <c r="C59" s="120" t="s">
        <v>37</v>
      </c>
      <c r="D59" s="90" t="s">
        <v>30</v>
      </c>
      <c r="E59" s="105" t="e">
        <f>#REF!+#REF!+#REF!+#REF!+#REF!+#REF!+'12.16'!E53+#REF!+#REF!+#REF!+#REF!+#REF!</f>
        <v>#REF!</v>
      </c>
      <c r="F59" s="110">
        <v>237.74</v>
      </c>
      <c r="G59" s="88">
        <v>950.96</v>
      </c>
      <c r="H59" s="32"/>
      <c r="J59" s="25"/>
      <c r="K59" s="26"/>
      <c r="L59" s="27"/>
    </row>
    <row r="60" spans="1:12" ht="18" hidden="1" customHeight="1">
      <c r="A60" s="167">
        <v>18</v>
      </c>
      <c r="B60" s="164" t="s">
        <v>187</v>
      </c>
      <c r="C60" s="120" t="s">
        <v>78</v>
      </c>
      <c r="D60" s="90" t="s">
        <v>36</v>
      </c>
      <c r="E60" s="105"/>
      <c r="F60" s="110">
        <v>711</v>
      </c>
      <c r="G60" s="88">
        <v>711</v>
      </c>
      <c r="H60" s="32"/>
      <c r="J60" s="25"/>
      <c r="K60" s="26"/>
      <c r="L60" s="27"/>
    </row>
    <row r="61" spans="1:12" ht="1.5" hidden="1" customHeight="1">
      <c r="A61" s="134">
        <v>15</v>
      </c>
      <c r="B61" s="106" t="s">
        <v>134</v>
      </c>
      <c r="C61" s="120" t="s">
        <v>149</v>
      </c>
      <c r="D61" s="90" t="s">
        <v>74</v>
      </c>
      <c r="E61" s="105" t="e">
        <f>#REF!+#REF!+#REF!+#REF!+#REF!+#REF!+'12.16'!E54+#REF!+#REF!+#REF!+#REF!+#REF!</f>
        <v>#REF!</v>
      </c>
      <c r="F61" s="86">
        <v>2.16</v>
      </c>
      <c r="G61" s="88">
        <v>5506.92</v>
      </c>
      <c r="H61" s="32"/>
      <c r="J61" s="25"/>
      <c r="K61" s="26"/>
      <c r="L61" s="27"/>
    </row>
    <row r="62" spans="1:12" ht="1.5" hidden="1" customHeight="1">
      <c r="A62" s="134"/>
      <c r="B62" s="102" t="s">
        <v>97</v>
      </c>
      <c r="C62" s="92"/>
      <c r="D62" s="86"/>
      <c r="E62" s="105" t="e">
        <f>#REF!+#REF!+#REF!+#REF!+#REF!+#REF!+'12.16'!E55+#REF!+#REF!+#REF!+#REF!+#REF!</f>
        <v>#REF!</v>
      </c>
      <c r="F62" s="86"/>
      <c r="G62" s="130"/>
      <c r="H62" s="32"/>
      <c r="J62" s="25"/>
      <c r="K62" s="26"/>
      <c r="L62" s="27"/>
    </row>
    <row r="63" spans="1:12" ht="22.5" hidden="1" customHeight="1">
      <c r="A63" s="134">
        <v>16</v>
      </c>
      <c r="B63" s="106" t="s">
        <v>135</v>
      </c>
      <c r="C63" s="92" t="s">
        <v>70</v>
      </c>
      <c r="D63" s="90" t="s">
        <v>30</v>
      </c>
      <c r="E63" s="105" t="e">
        <f>#REF!+#REF!+#REF!+#REF!+#REF!+#REF!+'12.16'!E56+#REF!+#REF!+#REF!+#REF!+#REF!</f>
        <v>#REF!</v>
      </c>
      <c r="F63" s="86">
        <v>446.12</v>
      </c>
      <c r="G63" s="88">
        <v>446.12</v>
      </c>
      <c r="H63" s="32"/>
      <c r="J63" s="25"/>
      <c r="K63" s="26"/>
      <c r="L63" s="27"/>
    </row>
    <row r="64" spans="1:12" ht="20.25" hidden="1" customHeight="1">
      <c r="A64" s="128"/>
      <c r="B64" s="135" t="s">
        <v>71</v>
      </c>
      <c r="C64" s="136"/>
      <c r="D64" s="137"/>
      <c r="E64" s="105"/>
      <c r="F64" s="86"/>
      <c r="G64" s="130" t="e">
        <f>#REF!+#REF!+#REF!+#REF!+#REF!+#REF!+'12.16'!G58+#REF!+#REF!+#REF!+#REF!+#REF!</f>
        <v>#REF!</v>
      </c>
      <c r="H64" s="32"/>
      <c r="J64" s="25"/>
      <c r="K64" s="26"/>
      <c r="L64" s="27"/>
    </row>
    <row r="65" spans="1:12" ht="18.75" hidden="1" customHeight="1">
      <c r="A65" s="134">
        <v>36</v>
      </c>
      <c r="B65" s="91" t="s">
        <v>65</v>
      </c>
      <c r="C65" s="92" t="s">
        <v>72</v>
      </c>
      <c r="D65" s="86" t="s">
        <v>69</v>
      </c>
      <c r="E65" s="88" t="e">
        <f>#REF!+#REF!+#REF!+#REF!+#REF!+#REF!+'12.16'!#REF!+#REF!+#REF!+#REF!+#REF!+#REF!</f>
        <v>#REF!</v>
      </c>
      <c r="F65" s="86">
        <v>9.32</v>
      </c>
      <c r="G65" s="130" t="e">
        <f>#REF!+#REF!+#REF!+#REF!+#REF!+#REF!+'12.16'!#REF!+#REF!+#REF!+#REF!+#REF!+#REF!</f>
        <v>#REF!</v>
      </c>
      <c r="H65" s="32"/>
      <c r="J65" s="25"/>
      <c r="K65" s="26"/>
      <c r="L65" s="27"/>
    </row>
    <row r="66" spans="1:12" ht="17.25" customHeight="1">
      <c r="A66" s="134"/>
      <c r="B66" s="215" t="s">
        <v>136</v>
      </c>
      <c r="C66" s="216"/>
      <c r="D66" s="216"/>
      <c r="E66" s="216"/>
      <c r="F66" s="216"/>
      <c r="G66" s="217"/>
      <c r="H66" s="32"/>
      <c r="J66" s="25"/>
      <c r="K66" s="26"/>
      <c r="L66" s="27"/>
    </row>
    <row r="67" spans="1:12" ht="19.5" customHeight="1">
      <c r="A67" s="134">
        <v>17</v>
      </c>
      <c r="B67" s="151" t="s">
        <v>143</v>
      </c>
      <c r="C67" s="92" t="s">
        <v>73</v>
      </c>
      <c r="D67" s="90" t="s">
        <v>74</v>
      </c>
      <c r="E67" s="105" t="e">
        <f>#REF!+#REF!+#REF!+#REF!+#REF!+#REF!+'12.16'!E64+#REF!+#REF!+#REF!+#REF!+#REF!</f>
        <v>#REF!</v>
      </c>
      <c r="F67" s="146">
        <v>2.54</v>
      </c>
      <c r="G67" s="88">
        <v>11661.65</v>
      </c>
      <c r="H67" s="29" t="e">
        <f>G65+#REF!+#REF!+#REF!+G67</f>
        <v>#REF!</v>
      </c>
      <c r="J67" s="25">
        <f>6846.6/3934.8/12</f>
        <v>0.14500101657009251</v>
      </c>
      <c r="K67" s="26"/>
      <c r="L67" s="27"/>
    </row>
    <row r="68" spans="1:12" ht="47.25">
      <c r="A68" s="86">
        <v>18</v>
      </c>
      <c r="B68" s="106" t="s">
        <v>102</v>
      </c>
      <c r="C68" s="92" t="s">
        <v>73</v>
      </c>
      <c r="D68" s="86" t="s">
        <v>74</v>
      </c>
      <c r="E68" s="90"/>
      <c r="F68" s="100">
        <v>2.0499999999999998</v>
      </c>
      <c r="G68" s="94">
        <v>9411.9599999999991</v>
      </c>
      <c r="H68" s="30" t="e">
        <f>H25+H36+H48+#REF!+H67</f>
        <v>#REF!</v>
      </c>
      <c r="J68" s="43"/>
    </row>
    <row r="69" spans="1:12" ht="15.75">
      <c r="A69" s="89"/>
      <c r="B69" s="107" t="s">
        <v>107</v>
      </c>
      <c r="C69" s="83"/>
      <c r="D69" s="90"/>
      <c r="E69" s="90"/>
      <c r="F69" s="88"/>
      <c r="G69" s="108">
        <f>SUM(G16+G17+G18+G19+G20+G23+G24+G27+G29+G32+G33+G34+G35+G50+G52+G57+G67+G68)</f>
        <v>85572.25</v>
      </c>
    </row>
    <row r="70" spans="1:12" ht="30" customHeight="1">
      <c r="A70" s="45"/>
      <c r="B70" s="138" t="s">
        <v>80</v>
      </c>
      <c r="C70" s="138"/>
      <c r="D70" s="138"/>
      <c r="E70" s="90"/>
      <c r="F70" s="88"/>
      <c r="G70" s="88"/>
    </row>
    <row r="71" spans="1:12" ht="34.5" hidden="1" customHeight="1">
      <c r="A71" s="134">
        <v>18</v>
      </c>
      <c r="B71" s="139" t="s">
        <v>112</v>
      </c>
      <c r="C71" s="86" t="s">
        <v>37</v>
      </c>
      <c r="D71" s="138"/>
      <c r="E71" s="86"/>
      <c r="F71" s="88">
        <v>180.15</v>
      </c>
      <c r="G71" s="88">
        <v>0</v>
      </c>
    </row>
    <row r="72" spans="1:12" ht="26.25" hidden="1" customHeight="1">
      <c r="A72" s="134">
        <v>20</v>
      </c>
      <c r="B72" s="139" t="s">
        <v>139</v>
      </c>
      <c r="C72" s="86" t="s">
        <v>37</v>
      </c>
      <c r="D72" s="138"/>
      <c r="E72" s="86"/>
      <c r="F72" s="88">
        <v>559.62</v>
      </c>
      <c r="G72" s="88">
        <v>0</v>
      </c>
    </row>
    <row r="73" spans="1:12" ht="23.25" hidden="1" customHeight="1">
      <c r="A73" s="134">
        <v>21</v>
      </c>
      <c r="B73" s="139" t="s">
        <v>140</v>
      </c>
      <c r="C73" s="86" t="s">
        <v>109</v>
      </c>
      <c r="D73" s="138"/>
      <c r="E73" s="86"/>
      <c r="F73" s="88">
        <v>1146</v>
      </c>
      <c r="G73" s="88">
        <v>0</v>
      </c>
    </row>
    <row r="74" spans="1:12" ht="30.75" hidden="1" customHeight="1">
      <c r="A74" s="134">
        <v>19</v>
      </c>
      <c r="B74" s="109" t="s">
        <v>106</v>
      </c>
      <c r="C74" s="86" t="s">
        <v>37</v>
      </c>
      <c r="D74" s="138"/>
      <c r="E74" s="86"/>
      <c r="F74" s="88">
        <v>79.09</v>
      </c>
      <c r="G74" s="88">
        <v>0</v>
      </c>
    </row>
    <row r="75" spans="1:12" ht="30" hidden="1" customHeight="1">
      <c r="A75" s="134">
        <v>20</v>
      </c>
      <c r="B75" s="147" t="s">
        <v>144</v>
      </c>
      <c r="C75" s="148" t="s">
        <v>145</v>
      </c>
      <c r="D75" s="138"/>
      <c r="E75" s="86"/>
      <c r="F75" s="88">
        <v>1063.47</v>
      </c>
      <c r="G75" s="88">
        <v>0</v>
      </c>
    </row>
    <row r="76" spans="1:12" ht="0.75" customHeight="1">
      <c r="A76" s="134">
        <v>21</v>
      </c>
      <c r="B76" s="109" t="s">
        <v>146</v>
      </c>
      <c r="C76" s="143" t="s">
        <v>109</v>
      </c>
      <c r="D76" s="138"/>
      <c r="E76" s="86"/>
      <c r="F76" s="88">
        <v>1206</v>
      </c>
      <c r="G76" s="88">
        <v>0</v>
      </c>
    </row>
    <row r="77" spans="1:12" ht="32.25" customHeight="1">
      <c r="A77" s="134">
        <v>19</v>
      </c>
      <c r="B77" s="109" t="s">
        <v>147</v>
      </c>
      <c r="C77" s="143" t="s">
        <v>148</v>
      </c>
      <c r="D77" s="138"/>
      <c r="E77" s="86"/>
      <c r="F77" s="88">
        <v>195.95</v>
      </c>
      <c r="G77" s="88">
        <v>391.9</v>
      </c>
    </row>
    <row r="78" spans="1:12" ht="19.5" hidden="1" customHeight="1">
      <c r="A78" s="134">
        <v>20</v>
      </c>
      <c r="B78" s="109" t="s">
        <v>116</v>
      </c>
      <c r="C78" s="143" t="s">
        <v>49</v>
      </c>
      <c r="D78" s="138"/>
      <c r="E78" s="86"/>
      <c r="F78" s="88">
        <v>3397.65</v>
      </c>
      <c r="G78" s="88">
        <v>0</v>
      </c>
    </row>
    <row r="79" spans="1:12" ht="17.25" hidden="1" customHeight="1">
      <c r="A79" s="134">
        <v>22</v>
      </c>
      <c r="B79" s="109" t="s">
        <v>159</v>
      </c>
      <c r="C79" s="143" t="s">
        <v>160</v>
      </c>
      <c r="D79" s="138"/>
      <c r="E79" s="86"/>
      <c r="F79" s="88">
        <v>23221.7</v>
      </c>
      <c r="G79" s="88">
        <v>0</v>
      </c>
    </row>
    <row r="80" spans="1:12" ht="17.25" hidden="1" customHeight="1">
      <c r="A80" s="134">
        <v>23</v>
      </c>
      <c r="B80" s="109" t="s">
        <v>161</v>
      </c>
      <c r="C80" s="143" t="s">
        <v>162</v>
      </c>
      <c r="D80" s="138"/>
      <c r="E80" s="86"/>
      <c r="F80" s="88">
        <v>3113.97</v>
      </c>
      <c r="G80" s="88">
        <v>0</v>
      </c>
    </row>
    <row r="81" spans="1:7" ht="17.25" hidden="1" customHeight="1">
      <c r="A81" s="134">
        <v>24</v>
      </c>
      <c r="B81" s="109" t="s">
        <v>169</v>
      </c>
      <c r="C81" s="143" t="s">
        <v>37</v>
      </c>
      <c r="D81" s="138"/>
      <c r="E81" s="86"/>
      <c r="F81" s="88">
        <v>50.68</v>
      </c>
      <c r="G81" s="88">
        <v>0</v>
      </c>
    </row>
    <row r="82" spans="1:7" ht="18.75" hidden="1" customHeight="1">
      <c r="A82" s="134">
        <v>21</v>
      </c>
      <c r="B82" s="109" t="s">
        <v>170</v>
      </c>
      <c r="C82" s="143" t="s">
        <v>171</v>
      </c>
      <c r="D82" s="138"/>
      <c r="E82" s="86"/>
      <c r="F82" s="88">
        <v>1835.8</v>
      </c>
      <c r="G82" s="88">
        <v>0</v>
      </c>
    </row>
    <row r="83" spans="1:7" ht="17.25" hidden="1" customHeight="1">
      <c r="A83" s="134">
        <v>23</v>
      </c>
      <c r="B83" s="109" t="s">
        <v>133</v>
      </c>
      <c r="C83" s="143" t="s">
        <v>172</v>
      </c>
      <c r="D83" s="138"/>
      <c r="E83" s="86"/>
      <c r="F83" s="88">
        <v>1501</v>
      </c>
      <c r="G83" s="88">
        <v>0</v>
      </c>
    </row>
    <row r="84" spans="1:7" ht="16.5" hidden="1" customHeight="1">
      <c r="A84" s="134">
        <v>23</v>
      </c>
      <c r="B84" s="109" t="s">
        <v>173</v>
      </c>
      <c r="C84" s="143" t="s">
        <v>174</v>
      </c>
      <c r="D84" s="138"/>
      <c r="E84" s="86"/>
      <c r="F84" s="88">
        <v>115.76</v>
      </c>
      <c r="G84" s="88">
        <v>0</v>
      </c>
    </row>
    <row r="85" spans="1:7" ht="16.5" hidden="1" customHeight="1">
      <c r="A85" s="134">
        <v>25</v>
      </c>
      <c r="B85" s="109" t="s">
        <v>178</v>
      </c>
      <c r="C85" s="143" t="s">
        <v>179</v>
      </c>
      <c r="D85" s="138"/>
      <c r="E85" s="86"/>
      <c r="F85" s="88">
        <v>51.39</v>
      </c>
      <c r="G85" s="88">
        <v>0</v>
      </c>
    </row>
    <row r="86" spans="1:7" ht="16.5" hidden="1" customHeight="1">
      <c r="A86" s="134">
        <v>26</v>
      </c>
      <c r="B86" s="109" t="s">
        <v>180</v>
      </c>
      <c r="C86" s="143" t="s">
        <v>37</v>
      </c>
      <c r="D86" s="138"/>
      <c r="E86" s="86"/>
      <c r="F86" s="88">
        <v>634.4</v>
      </c>
      <c r="G86" s="88">
        <v>0</v>
      </c>
    </row>
    <row r="87" spans="1:7" ht="16.5" hidden="1" customHeight="1">
      <c r="A87" s="134">
        <v>27</v>
      </c>
      <c r="B87" s="109" t="s">
        <v>181</v>
      </c>
      <c r="C87" s="143" t="s">
        <v>37</v>
      </c>
      <c r="D87" s="138"/>
      <c r="E87" s="86"/>
      <c r="F87" s="88">
        <v>81.73</v>
      </c>
      <c r="G87" s="88">
        <v>0</v>
      </c>
    </row>
    <row r="88" spans="1:7" ht="17.25" hidden="1" customHeight="1">
      <c r="A88" s="134">
        <v>21</v>
      </c>
      <c r="B88" s="109" t="s">
        <v>183</v>
      </c>
      <c r="C88" s="143" t="s">
        <v>37</v>
      </c>
      <c r="D88" s="138"/>
      <c r="E88" s="86"/>
      <c r="F88" s="88">
        <v>1072.21</v>
      </c>
      <c r="G88" s="88">
        <v>0</v>
      </c>
    </row>
    <row r="89" spans="1:7" ht="15.75" hidden="1" customHeight="1">
      <c r="A89" s="86">
        <v>22</v>
      </c>
      <c r="B89" s="165" t="s">
        <v>184</v>
      </c>
      <c r="C89" s="86" t="s">
        <v>73</v>
      </c>
      <c r="D89" s="112"/>
      <c r="E89" s="111">
        <v>1</v>
      </c>
      <c r="F89" s="86">
        <v>612.87</v>
      </c>
      <c r="G89" s="88">
        <v>0</v>
      </c>
    </row>
    <row r="90" spans="1:7" ht="15.75" hidden="1">
      <c r="A90" s="86">
        <v>22</v>
      </c>
      <c r="B90" s="168" t="s">
        <v>188</v>
      </c>
      <c r="C90" s="86" t="s">
        <v>118</v>
      </c>
      <c r="D90" s="112"/>
      <c r="E90" s="111"/>
      <c r="F90" s="86">
        <v>185.81</v>
      </c>
      <c r="G90" s="88">
        <v>0</v>
      </c>
    </row>
    <row r="91" spans="1:7" ht="15.75" hidden="1">
      <c r="A91" s="86">
        <v>23</v>
      </c>
      <c r="B91" s="168" t="s">
        <v>120</v>
      </c>
      <c r="C91" s="86" t="s">
        <v>38</v>
      </c>
      <c r="D91" s="112"/>
      <c r="E91" s="111"/>
      <c r="F91" s="110">
        <v>3800</v>
      </c>
      <c r="G91" s="88">
        <v>0</v>
      </c>
    </row>
    <row r="92" spans="1:7" ht="31.5">
      <c r="A92" s="86">
        <v>20</v>
      </c>
      <c r="B92" s="109" t="s">
        <v>191</v>
      </c>
      <c r="C92" s="143" t="s">
        <v>192</v>
      </c>
      <c r="D92" s="112"/>
      <c r="E92" s="111"/>
      <c r="F92" s="110">
        <v>195.95</v>
      </c>
      <c r="G92" s="88">
        <v>195.95</v>
      </c>
    </row>
    <row r="93" spans="1:7" ht="33.75" customHeight="1">
      <c r="A93" s="86">
        <v>21</v>
      </c>
      <c r="B93" s="200" t="s">
        <v>237</v>
      </c>
      <c r="C93" s="201" t="s">
        <v>109</v>
      </c>
      <c r="D93" s="112"/>
      <c r="E93" s="111"/>
      <c r="F93" s="100">
        <v>1639</v>
      </c>
      <c r="G93" s="88">
        <v>6556</v>
      </c>
    </row>
    <row r="94" spans="1:7" ht="15.75">
      <c r="A94" s="86">
        <v>22</v>
      </c>
      <c r="B94" s="109" t="s">
        <v>144</v>
      </c>
      <c r="C94" s="143" t="s">
        <v>193</v>
      </c>
      <c r="D94" s="112"/>
      <c r="E94" s="111"/>
      <c r="F94" s="110">
        <v>1063.47</v>
      </c>
      <c r="G94" s="88">
        <v>1063.47</v>
      </c>
    </row>
    <row r="95" spans="1:7" ht="15.75">
      <c r="A95" s="86"/>
      <c r="B95" s="166" t="s">
        <v>66</v>
      </c>
      <c r="C95" s="86"/>
      <c r="D95" s="112"/>
      <c r="E95" s="111"/>
      <c r="F95" s="86"/>
      <c r="G95" s="108">
        <f>SUM(G77+G92+G93+G94)</f>
        <v>8207.32</v>
      </c>
    </row>
    <row r="96" spans="1:7" ht="15.75">
      <c r="A96" s="50"/>
      <c r="B96" s="91" t="s">
        <v>152</v>
      </c>
      <c r="C96" s="111">
        <v>4591.2</v>
      </c>
      <c r="D96" s="112"/>
      <c r="E96" s="111"/>
      <c r="F96" s="111"/>
      <c r="G96" s="108"/>
    </row>
    <row r="97" spans="1:20" ht="15.75">
      <c r="A97" s="9"/>
      <c r="B97" s="118" t="s">
        <v>103</v>
      </c>
      <c r="C97" s="90"/>
      <c r="D97" s="90"/>
      <c r="E97" s="113"/>
      <c r="F97" s="114"/>
      <c r="G97" s="115">
        <v>0</v>
      </c>
    </row>
    <row r="98" spans="1:20" ht="15.75">
      <c r="A98" s="28"/>
      <c r="B98" s="116" t="s">
        <v>67</v>
      </c>
      <c r="C98" s="104"/>
      <c r="D98" s="104"/>
      <c r="E98" s="104"/>
      <c r="F98" s="104"/>
      <c r="G98" s="117">
        <f>G69+G95</f>
        <v>93779.57</v>
      </c>
    </row>
    <row r="99" spans="1:20" ht="18" customHeight="1">
      <c r="A99" s="214" t="s">
        <v>238</v>
      </c>
      <c r="B99" s="214"/>
      <c r="C99" s="214"/>
      <c r="D99" s="214"/>
      <c r="E99" s="214"/>
      <c r="F99" s="214"/>
      <c r="G99" s="21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10"/>
    </row>
    <row r="100" spans="1:20" ht="19.5" customHeight="1">
      <c r="A100" s="140" t="s">
        <v>6</v>
      </c>
      <c r="B100" s="218" t="s">
        <v>239</v>
      </c>
      <c r="C100" s="218"/>
      <c r="D100" s="218"/>
      <c r="E100" s="218"/>
      <c r="F100" s="218"/>
      <c r="G100" s="141"/>
      <c r="H100" s="37"/>
      <c r="I100" s="37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20">
      <c r="A101" s="39"/>
      <c r="B101" s="219" t="s">
        <v>7</v>
      </c>
      <c r="C101" s="219"/>
      <c r="D101" s="219"/>
      <c r="E101" s="219"/>
      <c r="F101" s="219"/>
      <c r="G101" s="5"/>
      <c r="H101" s="5"/>
      <c r="I101" s="5"/>
      <c r="J101" s="5"/>
      <c r="K101" s="5"/>
      <c r="L101" s="5"/>
      <c r="M101" s="5"/>
      <c r="N101" s="5"/>
      <c r="O101" s="5"/>
      <c r="P101" s="221"/>
      <c r="Q101" s="221"/>
      <c r="R101" s="221"/>
      <c r="S101" s="221"/>
    </row>
    <row r="102" spans="1:20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20" ht="18.75">
      <c r="A103" s="223" t="s">
        <v>8</v>
      </c>
      <c r="B103" s="223"/>
      <c r="C103" s="223"/>
      <c r="D103" s="223"/>
      <c r="E103" s="223"/>
      <c r="F103" s="223"/>
      <c r="G103" s="223"/>
    </row>
    <row r="104" spans="1:20" ht="18.75">
      <c r="A104" s="223" t="s">
        <v>9</v>
      </c>
      <c r="B104" s="223"/>
      <c r="C104" s="223"/>
      <c r="D104" s="223"/>
      <c r="E104" s="223"/>
      <c r="F104" s="223"/>
      <c r="G104" s="223"/>
    </row>
    <row r="105" spans="1:20" ht="18.75">
      <c r="A105" s="214" t="s">
        <v>10</v>
      </c>
      <c r="B105" s="214"/>
      <c r="C105" s="214"/>
      <c r="D105" s="214"/>
      <c r="E105" s="214"/>
      <c r="F105" s="214"/>
      <c r="G105" s="214"/>
    </row>
    <row r="106" spans="1:20" ht="18.75">
      <c r="A106" s="154"/>
      <c r="B106" s="155"/>
      <c r="C106" s="155"/>
      <c r="D106" s="155"/>
      <c r="E106" s="155"/>
      <c r="F106" s="155"/>
      <c r="G106" s="155"/>
    </row>
    <row r="107" spans="1:20" ht="18.75">
      <c r="A107" s="224" t="s">
        <v>11</v>
      </c>
      <c r="B107" s="224"/>
      <c r="C107" s="224"/>
      <c r="D107" s="224"/>
      <c r="E107" s="224"/>
      <c r="F107" s="224"/>
      <c r="G107" s="224"/>
    </row>
    <row r="108" spans="1:20" ht="15.75">
      <c r="A108" s="4"/>
    </row>
    <row r="109" spans="1:20" ht="18.75">
      <c r="A109" s="214" t="s">
        <v>12</v>
      </c>
      <c r="B109" s="214"/>
      <c r="C109" s="222" t="s">
        <v>141</v>
      </c>
      <c r="D109" s="222"/>
      <c r="E109" s="222"/>
      <c r="G109" s="34"/>
    </row>
    <row r="110" spans="1:20" ht="18.75">
      <c r="A110" s="156"/>
      <c r="B110" s="155"/>
      <c r="C110" s="219" t="s">
        <v>13</v>
      </c>
      <c r="D110" s="219"/>
      <c r="E110" s="219"/>
      <c r="G110" s="35" t="s">
        <v>14</v>
      </c>
    </row>
    <row r="111" spans="1:20" ht="18.75">
      <c r="A111" s="157"/>
      <c r="B111" s="155"/>
      <c r="C111" s="13"/>
      <c r="D111" s="13"/>
      <c r="F111" s="13"/>
    </row>
    <row r="112" spans="1:20" ht="18.75">
      <c r="A112" s="214" t="s">
        <v>15</v>
      </c>
      <c r="B112" s="214"/>
      <c r="C112" s="220"/>
      <c r="D112" s="220"/>
      <c r="E112" s="220"/>
      <c r="G112" s="34"/>
    </row>
    <row r="113" spans="1:7">
      <c r="A113" s="39"/>
      <c r="C113" s="221" t="s">
        <v>13</v>
      </c>
      <c r="D113" s="221"/>
      <c r="E113" s="221"/>
      <c r="G113" s="35" t="s">
        <v>14</v>
      </c>
    </row>
    <row r="114" spans="1:7">
      <c r="A114" s="161"/>
      <c r="B114" s="162"/>
      <c r="C114" s="142"/>
      <c r="D114" s="142"/>
      <c r="E114" s="142"/>
      <c r="G114" s="36"/>
    </row>
    <row r="115" spans="1:7">
      <c r="A115" s="212" t="s">
        <v>17</v>
      </c>
      <c r="B115" s="212"/>
      <c r="C115" s="212"/>
      <c r="D115" s="212"/>
      <c r="E115" s="212"/>
      <c r="F115" s="212"/>
      <c r="G115" s="212"/>
    </row>
    <row r="116" spans="1:7" ht="45" customHeight="1">
      <c r="A116" s="213" t="s">
        <v>18</v>
      </c>
      <c r="B116" s="213"/>
      <c r="C116" s="213"/>
      <c r="D116" s="213"/>
      <c r="E116" s="213"/>
      <c r="F116" s="213"/>
      <c r="G116" s="213"/>
    </row>
    <row r="117" spans="1:7" ht="28.5" customHeight="1">
      <c r="A117" s="213" t="s">
        <v>19</v>
      </c>
      <c r="B117" s="213"/>
      <c r="C117" s="213"/>
      <c r="D117" s="213"/>
      <c r="E117" s="213"/>
      <c r="F117" s="213"/>
      <c r="G117" s="213"/>
    </row>
    <row r="118" spans="1:7" ht="27" customHeight="1">
      <c r="A118" s="213" t="s">
        <v>24</v>
      </c>
      <c r="B118" s="213"/>
      <c r="C118" s="213"/>
      <c r="D118" s="213"/>
      <c r="E118" s="213"/>
      <c r="F118" s="213"/>
      <c r="G118" s="213"/>
    </row>
    <row r="119" spans="1:7" ht="15" customHeight="1">
      <c r="A119" s="213" t="s">
        <v>23</v>
      </c>
      <c r="B119" s="213"/>
      <c r="C119" s="213"/>
      <c r="D119" s="213"/>
      <c r="E119" s="213"/>
      <c r="F119" s="213"/>
      <c r="G119" s="213"/>
    </row>
    <row r="121" spans="1:7" ht="27.75" customHeight="1">
      <c r="A121" s="14" t="s">
        <v>22</v>
      </c>
      <c r="B121" s="14"/>
      <c r="C121" s="14"/>
      <c r="D121" s="14"/>
      <c r="E121" s="14"/>
      <c r="F121" s="14"/>
    </row>
  </sheetData>
  <autoFilter ref="G13:G97"/>
  <mergeCells count="29">
    <mergeCell ref="A3:G3"/>
    <mergeCell ref="A4:G4"/>
    <mergeCell ref="B5:F5"/>
    <mergeCell ref="A8:G8"/>
    <mergeCell ref="A10:G10"/>
    <mergeCell ref="P101:S101"/>
    <mergeCell ref="A103:G103"/>
    <mergeCell ref="A104:G104"/>
    <mergeCell ref="A105:G105"/>
    <mergeCell ref="A107:G107"/>
    <mergeCell ref="B100:F100"/>
    <mergeCell ref="C110:E110"/>
    <mergeCell ref="A112:B112"/>
    <mergeCell ref="C112:E112"/>
    <mergeCell ref="C113:E113"/>
    <mergeCell ref="B101:F101"/>
    <mergeCell ref="A109:B109"/>
    <mergeCell ref="C109:E109"/>
    <mergeCell ref="A99:G99"/>
    <mergeCell ref="A15:G15"/>
    <mergeCell ref="A25:G25"/>
    <mergeCell ref="B36:G36"/>
    <mergeCell ref="B48:G48"/>
    <mergeCell ref="B66:G66"/>
    <mergeCell ref="A115:G115"/>
    <mergeCell ref="A116:G116"/>
    <mergeCell ref="A117:G117"/>
    <mergeCell ref="A118:G118"/>
    <mergeCell ref="A119:G11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3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1" t="s">
        <v>127</v>
      </c>
      <c r="G1" s="40"/>
      <c r="H1" s="1"/>
      <c r="I1" s="1"/>
      <c r="J1" s="1"/>
      <c r="K1" s="1"/>
    </row>
    <row r="2" spans="1:11" ht="15.75" customHeight="1">
      <c r="A2" s="42" t="s">
        <v>85</v>
      </c>
      <c r="H2" s="2"/>
      <c r="I2" s="2"/>
      <c r="J2" s="2"/>
      <c r="K2" s="2"/>
    </row>
    <row r="3" spans="1:11" ht="15.75" customHeight="1">
      <c r="A3" s="231" t="s">
        <v>194</v>
      </c>
      <c r="B3" s="231"/>
      <c r="C3" s="231"/>
      <c r="D3" s="231"/>
      <c r="E3" s="231"/>
      <c r="F3" s="231"/>
      <c r="G3" s="231"/>
      <c r="H3" s="3"/>
      <c r="I3" s="3"/>
      <c r="J3" s="3"/>
    </row>
    <row r="4" spans="1:11" ht="31.5" customHeight="1">
      <c r="A4" s="232" t="s">
        <v>230</v>
      </c>
      <c r="B4" s="232"/>
      <c r="C4" s="232"/>
      <c r="D4" s="232"/>
      <c r="E4" s="232"/>
      <c r="F4" s="232"/>
      <c r="G4" s="232"/>
    </row>
    <row r="5" spans="1:11" ht="15.75" customHeight="1">
      <c r="A5" s="231" t="s">
        <v>195</v>
      </c>
      <c r="B5" s="233"/>
      <c r="C5" s="233"/>
      <c r="D5" s="233"/>
      <c r="E5" s="233"/>
      <c r="F5" s="233"/>
      <c r="G5" s="233"/>
      <c r="H5" s="2"/>
      <c r="I5" s="2"/>
      <c r="J5" s="2"/>
      <c r="K5" s="2"/>
    </row>
    <row r="6" spans="1:11" ht="15.75" customHeight="1">
      <c r="A6" s="2"/>
      <c r="B6" s="174"/>
      <c r="C6" s="174"/>
      <c r="D6" s="174"/>
      <c r="E6" s="174"/>
      <c r="F6" s="174"/>
      <c r="G6" s="51">
        <v>42735</v>
      </c>
      <c r="H6" s="2"/>
      <c r="I6" s="2"/>
      <c r="J6" s="2"/>
      <c r="K6" s="2"/>
    </row>
    <row r="7" spans="1:11" ht="15.75" customHeight="1">
      <c r="B7" s="171"/>
      <c r="C7" s="171"/>
      <c r="D7" s="171"/>
      <c r="E7" s="3"/>
      <c r="F7" s="3"/>
      <c r="H7" s="3"/>
      <c r="I7" s="3"/>
      <c r="J7" s="3"/>
      <c r="K7" s="3"/>
    </row>
    <row r="8" spans="1:11" ht="78.75" customHeight="1">
      <c r="A8" s="228" t="s">
        <v>247</v>
      </c>
      <c r="B8" s="228"/>
      <c r="C8" s="228"/>
      <c r="D8" s="228"/>
      <c r="E8" s="228"/>
      <c r="F8" s="228"/>
      <c r="G8" s="228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29" t="s">
        <v>246</v>
      </c>
      <c r="B10" s="229"/>
      <c r="C10" s="229"/>
      <c r="D10" s="229"/>
      <c r="E10" s="229"/>
      <c r="F10" s="229"/>
      <c r="G10" s="229"/>
      <c r="H10" s="2"/>
      <c r="I10" s="2"/>
      <c r="J10" s="2"/>
      <c r="K10" s="2"/>
    </row>
    <row r="11" spans="1:11" ht="15.75">
      <c r="A11" s="4"/>
    </row>
    <row r="12" spans="1:11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 t="s">
        <v>25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.75" customHeight="1">
      <c r="A14" s="230" t="s">
        <v>79</v>
      </c>
      <c r="B14" s="230"/>
      <c r="C14" s="230"/>
      <c r="D14" s="230"/>
      <c r="E14" s="230"/>
      <c r="F14" s="230"/>
      <c r="G14" s="230"/>
      <c r="H14" s="8"/>
      <c r="I14" s="8"/>
      <c r="J14" s="8"/>
      <c r="K14" s="8"/>
    </row>
    <row r="15" spans="1:11" ht="15.75" customHeight="1">
      <c r="A15" s="240" t="s">
        <v>4</v>
      </c>
      <c r="B15" s="240"/>
      <c r="C15" s="240"/>
      <c r="D15" s="240"/>
      <c r="E15" s="240"/>
      <c r="F15" s="240"/>
      <c r="G15" s="240"/>
      <c r="H15" s="8"/>
      <c r="I15" s="8"/>
      <c r="J15" s="8"/>
      <c r="K15" s="8"/>
    </row>
    <row r="16" spans="1:11" ht="15.75" customHeight="1">
      <c r="A16" s="46">
        <v>1</v>
      </c>
      <c r="B16" s="56" t="s">
        <v>129</v>
      </c>
      <c r="C16" s="70" t="s">
        <v>196</v>
      </c>
      <c r="D16" s="56" t="s">
        <v>197</v>
      </c>
      <c r="E16" s="176"/>
      <c r="F16" s="55">
        <v>187.48</v>
      </c>
      <c r="G16" s="177">
        <v>3117.23</v>
      </c>
      <c r="H16" s="8"/>
      <c r="I16" s="8"/>
      <c r="J16" s="8"/>
      <c r="K16" s="8"/>
    </row>
    <row r="17" spans="1:11" ht="15.75" customHeight="1">
      <c r="A17" s="46">
        <v>2</v>
      </c>
      <c r="B17" s="56" t="s">
        <v>150</v>
      </c>
      <c r="C17" s="70" t="s">
        <v>196</v>
      </c>
      <c r="D17" s="56" t="s">
        <v>232</v>
      </c>
      <c r="E17" s="176"/>
      <c r="F17" s="55">
        <v>185.48</v>
      </c>
      <c r="G17" s="177">
        <v>8223.94</v>
      </c>
      <c r="H17" s="31"/>
      <c r="I17" s="8"/>
      <c r="J17" s="8"/>
      <c r="K17" s="8"/>
    </row>
    <row r="18" spans="1:11" ht="15.75" customHeight="1">
      <c r="A18" s="46">
        <v>3</v>
      </c>
      <c r="B18" s="56" t="s">
        <v>233</v>
      </c>
      <c r="C18" s="70" t="s">
        <v>196</v>
      </c>
      <c r="D18" s="56" t="s">
        <v>198</v>
      </c>
      <c r="E18" s="176"/>
      <c r="F18" s="55">
        <v>539.30999999999995</v>
      </c>
      <c r="G18" s="177">
        <v>6897.77</v>
      </c>
      <c r="H18" s="31"/>
      <c r="I18" s="8"/>
      <c r="J18" s="8"/>
      <c r="K18" s="8"/>
    </row>
    <row r="19" spans="1:11" ht="15.75" hidden="1" customHeight="1">
      <c r="A19" s="46"/>
      <c r="B19" s="56" t="s">
        <v>199</v>
      </c>
      <c r="C19" s="70" t="s">
        <v>200</v>
      </c>
      <c r="D19" s="56" t="s">
        <v>201</v>
      </c>
      <c r="E19" s="176"/>
      <c r="F19" s="55">
        <v>181.91</v>
      </c>
      <c r="G19" s="177">
        <v>0</v>
      </c>
      <c r="H19" s="31"/>
      <c r="I19" s="8"/>
      <c r="J19" s="8"/>
      <c r="K19" s="8"/>
    </row>
    <row r="20" spans="1:11" ht="15.75" customHeight="1">
      <c r="A20" s="46">
        <v>4</v>
      </c>
      <c r="B20" s="56" t="s">
        <v>163</v>
      </c>
      <c r="C20" s="70" t="s">
        <v>196</v>
      </c>
      <c r="D20" s="56" t="s">
        <v>36</v>
      </c>
      <c r="E20" s="176"/>
      <c r="F20" s="55">
        <v>232.92</v>
      </c>
      <c r="G20" s="177">
        <v>136.03</v>
      </c>
      <c r="H20" s="31"/>
      <c r="I20" s="8"/>
      <c r="J20" s="8"/>
      <c r="K20" s="8"/>
    </row>
    <row r="21" spans="1:11" ht="15.75" hidden="1" customHeight="1">
      <c r="A21" s="46">
        <v>5</v>
      </c>
      <c r="B21" s="56" t="s">
        <v>164</v>
      </c>
      <c r="C21" s="70" t="s">
        <v>196</v>
      </c>
      <c r="D21" s="56" t="s">
        <v>231</v>
      </c>
      <c r="E21" s="176"/>
      <c r="F21" s="55">
        <v>231.03</v>
      </c>
      <c r="G21" s="177">
        <v>0</v>
      </c>
      <c r="H21" s="31"/>
      <c r="I21" s="8"/>
      <c r="J21" s="8"/>
      <c r="K21" s="8"/>
    </row>
    <row r="22" spans="1:11" ht="15.75" hidden="1" customHeight="1">
      <c r="A22" s="46"/>
      <c r="B22" s="56" t="s">
        <v>202</v>
      </c>
      <c r="C22" s="70" t="s">
        <v>68</v>
      </c>
      <c r="D22" s="56" t="s">
        <v>201</v>
      </c>
      <c r="E22" s="176"/>
      <c r="F22" s="55">
        <v>287.83999999999997</v>
      </c>
      <c r="G22" s="177">
        <v>0</v>
      </c>
      <c r="H22" s="31"/>
      <c r="I22" s="8"/>
      <c r="J22" s="8"/>
      <c r="K22" s="8"/>
    </row>
    <row r="23" spans="1:11" ht="15.75" hidden="1" customHeight="1">
      <c r="A23" s="46"/>
      <c r="B23" s="56" t="s">
        <v>203</v>
      </c>
      <c r="C23" s="70" t="s">
        <v>68</v>
      </c>
      <c r="D23" s="56" t="s">
        <v>201</v>
      </c>
      <c r="E23" s="176"/>
      <c r="F23" s="55">
        <v>47.34</v>
      </c>
      <c r="G23" s="177">
        <v>0</v>
      </c>
      <c r="H23" s="31"/>
      <c r="I23" s="8"/>
      <c r="J23" s="8"/>
      <c r="K23" s="8"/>
    </row>
    <row r="24" spans="1:11" ht="15.75" hidden="1" customHeight="1">
      <c r="A24" s="46"/>
      <c r="B24" s="56" t="s">
        <v>175</v>
      </c>
      <c r="C24" s="70" t="s">
        <v>68</v>
      </c>
      <c r="D24" s="56" t="s">
        <v>201</v>
      </c>
      <c r="E24" s="176"/>
      <c r="F24" s="55">
        <v>416.62</v>
      </c>
      <c r="G24" s="177">
        <v>0</v>
      </c>
      <c r="H24" s="31"/>
      <c r="I24" s="8"/>
      <c r="J24" s="8"/>
      <c r="K24" s="8"/>
    </row>
    <row r="25" spans="1:11" ht="15.75" hidden="1" customHeight="1">
      <c r="A25" s="71">
        <v>6</v>
      </c>
      <c r="B25" s="56" t="s">
        <v>176</v>
      </c>
      <c r="C25" s="70" t="s">
        <v>68</v>
      </c>
      <c r="D25" s="56" t="s">
        <v>201</v>
      </c>
      <c r="E25" s="22"/>
      <c r="F25" s="55">
        <v>556.74</v>
      </c>
      <c r="G25" s="177">
        <v>0</v>
      </c>
      <c r="H25" s="31"/>
      <c r="I25" s="8"/>
      <c r="J25" s="8"/>
      <c r="K25" s="8"/>
    </row>
    <row r="26" spans="1:11" ht="15.75" customHeight="1">
      <c r="A26" s="71">
        <v>5</v>
      </c>
      <c r="B26" s="56" t="s">
        <v>87</v>
      </c>
      <c r="C26" s="70" t="s">
        <v>40</v>
      </c>
      <c r="D26" s="178" t="s">
        <v>28</v>
      </c>
      <c r="E26" s="22"/>
      <c r="F26" s="55">
        <v>157.18</v>
      </c>
      <c r="G26" s="177">
        <v>478.09</v>
      </c>
      <c r="H26" s="31"/>
      <c r="I26" s="8"/>
      <c r="J26" s="8"/>
      <c r="K26" s="8"/>
    </row>
    <row r="27" spans="1:11" ht="15.75" customHeight="1">
      <c r="A27" s="71">
        <v>6</v>
      </c>
      <c r="B27" s="178" t="s">
        <v>26</v>
      </c>
      <c r="C27" s="70" t="s">
        <v>27</v>
      </c>
      <c r="D27" s="178" t="s">
        <v>28</v>
      </c>
      <c r="E27" s="22"/>
      <c r="F27" s="55">
        <v>5.85</v>
      </c>
      <c r="G27" s="177">
        <v>26858.52</v>
      </c>
      <c r="H27" s="31"/>
      <c r="I27" s="8"/>
      <c r="J27" s="8"/>
      <c r="K27" s="8"/>
    </row>
    <row r="28" spans="1:11" ht="15.75" customHeight="1">
      <c r="A28" s="240" t="s">
        <v>121</v>
      </c>
      <c r="B28" s="240"/>
      <c r="C28" s="240"/>
      <c r="D28" s="240"/>
      <c r="E28" s="240"/>
      <c r="F28" s="240"/>
      <c r="G28" s="240"/>
      <c r="H28" s="31"/>
      <c r="I28" s="8"/>
      <c r="J28" s="8"/>
      <c r="K28" s="8"/>
    </row>
    <row r="29" spans="1:11" ht="15.75" hidden="1" customHeight="1">
      <c r="A29" s="71"/>
      <c r="B29" s="81" t="s">
        <v>34</v>
      </c>
      <c r="C29" s="81"/>
      <c r="D29" s="81"/>
      <c r="E29" s="81"/>
      <c r="F29" s="81"/>
      <c r="G29" s="23"/>
      <c r="H29" s="31"/>
      <c r="I29" s="8"/>
      <c r="J29" s="8"/>
      <c r="K29" s="8"/>
    </row>
    <row r="30" spans="1:11" ht="15.75" hidden="1" customHeight="1">
      <c r="A30" s="71">
        <v>2</v>
      </c>
      <c r="B30" s="56" t="s">
        <v>204</v>
      </c>
      <c r="C30" s="70" t="s">
        <v>205</v>
      </c>
      <c r="D30" s="56" t="s">
        <v>206</v>
      </c>
      <c r="E30" s="17">
        <v>2.31</v>
      </c>
      <c r="F30" s="55">
        <v>166.65</v>
      </c>
      <c r="G30" s="16">
        <v>0</v>
      </c>
      <c r="H30" s="31"/>
      <c r="I30" s="8"/>
      <c r="J30" s="8"/>
      <c r="K30" s="8"/>
    </row>
    <row r="31" spans="1:11" ht="31.5" hidden="1" customHeight="1">
      <c r="A31" s="71">
        <v>3</v>
      </c>
      <c r="B31" s="56" t="s">
        <v>207</v>
      </c>
      <c r="C31" s="70" t="s">
        <v>205</v>
      </c>
      <c r="D31" s="56" t="s">
        <v>208</v>
      </c>
      <c r="E31" s="16">
        <f>0.0024*3*4.5</f>
        <v>3.2399999999999998E-2</v>
      </c>
      <c r="F31" s="55">
        <v>276.48</v>
      </c>
      <c r="G31" s="23">
        <v>0</v>
      </c>
      <c r="H31" s="31"/>
      <c r="I31" s="8"/>
      <c r="J31" s="8"/>
      <c r="K31" s="8"/>
    </row>
    <row r="32" spans="1:11" ht="15.75" hidden="1" customHeight="1">
      <c r="A32" s="71">
        <v>4</v>
      </c>
      <c r="B32" s="56" t="s">
        <v>33</v>
      </c>
      <c r="C32" s="70" t="s">
        <v>205</v>
      </c>
      <c r="D32" s="56" t="s">
        <v>69</v>
      </c>
      <c r="E32" s="21">
        <v>0</v>
      </c>
      <c r="F32" s="55">
        <v>3228.73</v>
      </c>
      <c r="G32" s="23">
        <v>0</v>
      </c>
      <c r="H32" s="31"/>
      <c r="I32" s="8"/>
      <c r="J32" s="8"/>
      <c r="K32" s="8"/>
    </row>
    <row r="33" spans="1:12" ht="15.75" hidden="1" customHeight="1">
      <c r="A33" s="71"/>
      <c r="B33" s="56" t="s">
        <v>209</v>
      </c>
      <c r="C33" s="70" t="s">
        <v>51</v>
      </c>
      <c r="D33" s="56" t="s">
        <v>86</v>
      </c>
      <c r="E33" s="21"/>
      <c r="F33" s="55">
        <v>1391.86</v>
      </c>
      <c r="G33" s="23">
        <v>0</v>
      </c>
      <c r="H33" s="31"/>
      <c r="I33" s="8"/>
    </row>
    <row r="34" spans="1:12" ht="15.75" hidden="1" customHeight="1">
      <c r="A34" s="71">
        <v>5</v>
      </c>
      <c r="B34" s="56" t="s">
        <v>210</v>
      </c>
      <c r="C34" s="70" t="s">
        <v>37</v>
      </c>
      <c r="D34" s="56" t="s">
        <v>86</v>
      </c>
      <c r="E34" s="21">
        <v>0</v>
      </c>
      <c r="F34" s="55">
        <v>60.6</v>
      </c>
      <c r="G34" s="23">
        <v>0</v>
      </c>
      <c r="H34" s="32"/>
    </row>
    <row r="35" spans="1:12" ht="15.75" hidden="1" customHeight="1">
      <c r="A35" s="71">
        <v>4</v>
      </c>
      <c r="B35" s="56" t="s">
        <v>88</v>
      </c>
      <c r="C35" s="70" t="s">
        <v>40</v>
      </c>
      <c r="D35" s="56" t="s">
        <v>90</v>
      </c>
      <c r="E35" s="16">
        <v>3.75</v>
      </c>
      <c r="F35" s="55">
        <v>204.32</v>
      </c>
      <c r="G35" s="16">
        <v>0</v>
      </c>
      <c r="H35" s="32"/>
    </row>
    <row r="36" spans="1:12" ht="15.75" hidden="1" customHeight="1">
      <c r="A36" s="46">
        <v>8</v>
      </c>
      <c r="B36" s="56" t="s">
        <v>89</v>
      </c>
      <c r="C36" s="70" t="s">
        <v>39</v>
      </c>
      <c r="D36" s="56" t="s">
        <v>90</v>
      </c>
      <c r="E36" s="16"/>
      <c r="F36" s="55">
        <v>1214.73</v>
      </c>
      <c r="G36" s="16">
        <v>0</v>
      </c>
      <c r="H36" s="32"/>
    </row>
    <row r="37" spans="1:12" ht="15.75" customHeight="1">
      <c r="A37" s="71"/>
      <c r="B37" s="79" t="s">
        <v>5</v>
      </c>
      <c r="C37" s="79"/>
      <c r="D37" s="79"/>
      <c r="E37" s="16"/>
      <c r="F37" s="17"/>
      <c r="G37" s="23"/>
      <c r="H37" s="32"/>
    </row>
    <row r="38" spans="1:12" ht="15.75" customHeight="1">
      <c r="A38" s="57">
        <v>7</v>
      </c>
      <c r="B38" s="58" t="s">
        <v>31</v>
      </c>
      <c r="C38" s="70" t="s">
        <v>39</v>
      </c>
      <c r="D38" s="56"/>
      <c r="E38" s="16">
        <v>0</v>
      </c>
      <c r="F38" s="55">
        <v>1632.6</v>
      </c>
      <c r="G38" s="16">
        <v>2721</v>
      </c>
      <c r="H38" s="32"/>
    </row>
    <row r="39" spans="1:12" ht="15.75" customHeight="1">
      <c r="A39" s="57">
        <v>8</v>
      </c>
      <c r="B39" s="58" t="s">
        <v>91</v>
      </c>
      <c r="C39" s="179" t="s">
        <v>35</v>
      </c>
      <c r="D39" s="58" t="s">
        <v>211</v>
      </c>
      <c r="E39" s="16"/>
      <c r="F39" s="59">
        <v>2247.8000000000002</v>
      </c>
      <c r="G39" s="16">
        <v>2863.7</v>
      </c>
      <c r="H39" s="32"/>
    </row>
    <row r="40" spans="1:12" ht="15.75" hidden="1" customHeight="1">
      <c r="A40" s="57">
        <v>8</v>
      </c>
      <c r="B40" s="56" t="s">
        <v>155</v>
      </c>
      <c r="C40" s="70" t="s">
        <v>212</v>
      </c>
      <c r="D40" s="56" t="s">
        <v>90</v>
      </c>
      <c r="E40" s="16"/>
      <c r="F40" s="55">
        <v>213.2</v>
      </c>
      <c r="G40" s="16">
        <v>0</v>
      </c>
      <c r="H40" s="32"/>
    </row>
    <row r="41" spans="1:12" ht="15.75" customHeight="1">
      <c r="A41" s="57">
        <v>9</v>
      </c>
      <c r="B41" s="56" t="s">
        <v>92</v>
      </c>
      <c r="C41" s="70" t="s">
        <v>35</v>
      </c>
      <c r="D41" s="56" t="s">
        <v>213</v>
      </c>
      <c r="E41" s="16">
        <v>0</v>
      </c>
      <c r="F41" s="55">
        <v>374.95</v>
      </c>
      <c r="G41" s="16">
        <v>2519.67</v>
      </c>
      <c r="H41" s="32"/>
      <c r="J41" s="25"/>
      <c r="K41" s="26"/>
      <c r="L41" s="27"/>
    </row>
    <row r="42" spans="1:12" ht="47.25" customHeight="1">
      <c r="A42" s="57">
        <v>10</v>
      </c>
      <c r="B42" s="56" t="s">
        <v>117</v>
      </c>
      <c r="C42" s="70" t="s">
        <v>205</v>
      </c>
      <c r="D42" s="56" t="s">
        <v>214</v>
      </c>
      <c r="E42" s="16">
        <v>0</v>
      </c>
      <c r="F42" s="55">
        <v>6203.7</v>
      </c>
      <c r="G42" s="16">
        <v>4803.2700000000004</v>
      </c>
      <c r="H42" s="32"/>
      <c r="J42" s="25"/>
      <c r="K42" s="26"/>
      <c r="L42" s="27"/>
    </row>
    <row r="43" spans="1:12" ht="15.75" customHeight="1">
      <c r="A43" s="57">
        <v>11</v>
      </c>
      <c r="B43" s="56" t="s">
        <v>215</v>
      </c>
      <c r="C43" s="70" t="s">
        <v>205</v>
      </c>
      <c r="D43" s="56" t="s">
        <v>93</v>
      </c>
      <c r="E43" s="16"/>
      <c r="F43" s="55">
        <v>458.28</v>
      </c>
      <c r="G43" s="16">
        <v>875.77</v>
      </c>
      <c r="H43" s="32"/>
      <c r="J43" s="25"/>
      <c r="K43" s="26"/>
      <c r="L43" s="27"/>
    </row>
    <row r="44" spans="1:12" ht="15.75" customHeight="1">
      <c r="A44" s="57">
        <v>12</v>
      </c>
      <c r="B44" s="58" t="s">
        <v>94</v>
      </c>
      <c r="C44" s="179" t="s">
        <v>40</v>
      </c>
      <c r="D44" s="58"/>
      <c r="E44" s="16"/>
      <c r="F44" s="59">
        <v>853.06</v>
      </c>
      <c r="G44" s="16">
        <v>127.96</v>
      </c>
      <c r="H44" s="32"/>
      <c r="J44" s="25"/>
      <c r="K44" s="26"/>
      <c r="L44" s="27"/>
    </row>
    <row r="45" spans="1:12" ht="15.75" customHeight="1">
      <c r="A45" s="241" t="s">
        <v>242</v>
      </c>
      <c r="B45" s="242"/>
      <c r="C45" s="242"/>
      <c r="D45" s="242"/>
      <c r="E45" s="242"/>
      <c r="F45" s="242"/>
      <c r="G45" s="243"/>
      <c r="H45" s="32"/>
      <c r="J45" s="25"/>
      <c r="K45" s="26"/>
      <c r="L45" s="27"/>
    </row>
    <row r="46" spans="1:12" ht="15.75" hidden="1" customHeight="1">
      <c r="A46" s="71">
        <v>15</v>
      </c>
      <c r="B46" s="56" t="s">
        <v>234</v>
      </c>
      <c r="C46" s="70" t="s">
        <v>205</v>
      </c>
      <c r="D46" s="56" t="s">
        <v>55</v>
      </c>
      <c r="E46" s="23">
        <v>0.42</v>
      </c>
      <c r="F46" s="62">
        <v>865.61</v>
      </c>
      <c r="G46" s="24">
        <v>0</v>
      </c>
      <c r="H46" s="32"/>
      <c r="J46" s="25"/>
      <c r="K46" s="26"/>
      <c r="L46" s="27"/>
    </row>
    <row r="47" spans="1:12" ht="15.75" hidden="1" customHeight="1">
      <c r="A47" s="71"/>
      <c r="B47" s="56" t="s">
        <v>44</v>
      </c>
      <c r="C47" s="70" t="s">
        <v>205</v>
      </c>
      <c r="D47" s="56" t="s">
        <v>55</v>
      </c>
      <c r="E47" s="23"/>
      <c r="F47" s="62">
        <v>619.46</v>
      </c>
      <c r="G47" s="24">
        <v>0</v>
      </c>
      <c r="H47" s="32"/>
      <c r="J47" s="25"/>
      <c r="K47" s="26"/>
      <c r="L47" s="27"/>
    </row>
    <row r="48" spans="1:12" ht="15.75" hidden="1" customHeight="1">
      <c r="A48" s="71">
        <v>16</v>
      </c>
      <c r="B48" s="56" t="s">
        <v>45</v>
      </c>
      <c r="C48" s="70" t="s">
        <v>205</v>
      </c>
      <c r="D48" s="56" t="s">
        <v>55</v>
      </c>
      <c r="E48" s="23">
        <v>1.35</v>
      </c>
      <c r="F48" s="62">
        <v>619.46</v>
      </c>
      <c r="G48" s="24">
        <v>0</v>
      </c>
      <c r="H48" s="32"/>
      <c r="J48" s="25"/>
      <c r="K48" s="26"/>
      <c r="L48" s="27"/>
    </row>
    <row r="49" spans="1:12" ht="15.75" hidden="1" customHeight="1">
      <c r="A49" s="71">
        <v>17</v>
      </c>
      <c r="B49" s="56" t="s">
        <v>46</v>
      </c>
      <c r="C49" s="70" t="s">
        <v>205</v>
      </c>
      <c r="D49" s="56" t="s">
        <v>55</v>
      </c>
      <c r="E49" s="23">
        <v>0.03</v>
      </c>
      <c r="F49" s="62">
        <v>648.64</v>
      </c>
      <c r="G49" s="24">
        <v>0</v>
      </c>
      <c r="H49" s="32"/>
      <c r="J49" s="25"/>
      <c r="K49" s="26"/>
      <c r="L49" s="27"/>
    </row>
    <row r="50" spans="1:12" ht="15.75" hidden="1" customHeight="1">
      <c r="A50" s="71"/>
      <c r="B50" s="56" t="s">
        <v>42</v>
      </c>
      <c r="C50" s="70" t="s">
        <v>43</v>
      </c>
      <c r="D50" s="56" t="s">
        <v>55</v>
      </c>
      <c r="E50" s="23"/>
      <c r="F50" s="62">
        <v>77.84</v>
      </c>
      <c r="G50" s="24">
        <v>0</v>
      </c>
      <c r="H50" s="32"/>
      <c r="J50" s="25"/>
      <c r="K50" s="26"/>
      <c r="L50" s="27"/>
    </row>
    <row r="51" spans="1:12" ht="15.75" customHeight="1">
      <c r="A51" s="71">
        <v>13</v>
      </c>
      <c r="B51" s="56" t="s">
        <v>76</v>
      </c>
      <c r="C51" s="70" t="s">
        <v>205</v>
      </c>
      <c r="D51" s="56" t="s">
        <v>216</v>
      </c>
      <c r="E51" s="23">
        <v>0.22</v>
      </c>
      <c r="F51" s="62">
        <v>1297.28</v>
      </c>
      <c r="G51" s="16">
        <v>3726.31</v>
      </c>
      <c r="H51" s="32"/>
      <c r="J51" s="25"/>
      <c r="K51" s="26"/>
      <c r="L51" s="27"/>
    </row>
    <row r="52" spans="1:12" ht="31.5" hidden="1" customHeight="1">
      <c r="A52" s="71">
        <v>13</v>
      </c>
      <c r="B52" s="56" t="s">
        <v>217</v>
      </c>
      <c r="C52" s="70" t="s">
        <v>205</v>
      </c>
      <c r="D52" s="56" t="s">
        <v>55</v>
      </c>
      <c r="E52" s="23">
        <v>0.22</v>
      </c>
      <c r="F52" s="62">
        <v>1297.28</v>
      </c>
      <c r="G52" s="24">
        <v>0</v>
      </c>
      <c r="H52" s="32"/>
      <c r="J52" s="25"/>
      <c r="K52" s="26"/>
      <c r="L52" s="27"/>
    </row>
    <row r="53" spans="1:12" ht="31.5" hidden="1" customHeight="1">
      <c r="A53" s="71">
        <v>14</v>
      </c>
      <c r="B53" s="56" t="s">
        <v>218</v>
      </c>
      <c r="C53" s="70" t="s">
        <v>49</v>
      </c>
      <c r="D53" s="56" t="s">
        <v>55</v>
      </c>
      <c r="E53" s="23">
        <v>0.02</v>
      </c>
      <c r="F53" s="62">
        <v>2918.89</v>
      </c>
      <c r="G53" s="24">
        <v>0</v>
      </c>
      <c r="H53" s="32"/>
      <c r="J53" s="25"/>
      <c r="K53" s="26"/>
      <c r="L53" s="27"/>
    </row>
    <row r="54" spans="1:12" ht="15.75" hidden="1" customHeight="1">
      <c r="A54" s="71">
        <v>15</v>
      </c>
      <c r="B54" s="56" t="s">
        <v>50</v>
      </c>
      <c r="C54" s="70" t="s">
        <v>51</v>
      </c>
      <c r="D54" s="56" t="s">
        <v>55</v>
      </c>
      <c r="E54" s="23">
        <v>0.01</v>
      </c>
      <c r="F54" s="62">
        <v>6042.12</v>
      </c>
      <c r="G54" s="24">
        <v>0</v>
      </c>
      <c r="H54" s="32"/>
      <c r="J54" s="25"/>
      <c r="K54" s="26"/>
      <c r="L54" s="27"/>
    </row>
    <row r="55" spans="1:12" ht="15.75" hidden="1" customHeight="1">
      <c r="A55" s="71">
        <v>23</v>
      </c>
      <c r="B55" s="56" t="s">
        <v>54</v>
      </c>
      <c r="C55" s="70" t="s">
        <v>219</v>
      </c>
      <c r="D55" s="56" t="s">
        <v>95</v>
      </c>
      <c r="E55" s="23">
        <v>8</v>
      </c>
      <c r="F55" s="63">
        <v>70.209999999999994</v>
      </c>
      <c r="G55" s="16">
        <v>0</v>
      </c>
      <c r="H55" s="32"/>
      <c r="J55" s="25"/>
      <c r="K55" s="26"/>
      <c r="L55" s="27"/>
    </row>
    <row r="56" spans="1:12" ht="15.75" customHeight="1">
      <c r="A56" s="241" t="s">
        <v>243</v>
      </c>
      <c r="B56" s="242"/>
      <c r="C56" s="242"/>
      <c r="D56" s="242"/>
      <c r="E56" s="242"/>
      <c r="F56" s="242"/>
      <c r="G56" s="243"/>
      <c r="H56" s="32"/>
      <c r="J56" s="25"/>
      <c r="K56" s="26"/>
      <c r="L56" s="27"/>
    </row>
    <row r="57" spans="1:12" ht="15.75" customHeight="1">
      <c r="A57" s="123"/>
      <c r="B57" s="78" t="s">
        <v>56</v>
      </c>
      <c r="C57" s="20"/>
      <c r="D57" s="19"/>
      <c r="E57" s="19"/>
      <c r="F57" s="46"/>
      <c r="G57" s="23"/>
      <c r="H57" s="32"/>
      <c r="J57" s="25"/>
      <c r="K57" s="26"/>
      <c r="L57" s="27"/>
    </row>
    <row r="58" spans="1:12" ht="31.5" customHeight="1">
      <c r="A58" s="71">
        <v>14</v>
      </c>
      <c r="B58" s="56" t="s">
        <v>220</v>
      </c>
      <c r="C58" s="70" t="s">
        <v>196</v>
      </c>
      <c r="D58" s="56" t="s">
        <v>96</v>
      </c>
      <c r="E58" s="23"/>
      <c r="F58" s="180">
        <v>1654.04</v>
      </c>
      <c r="G58" s="24">
        <v>3962.91</v>
      </c>
      <c r="H58" s="32"/>
      <c r="J58" s="25"/>
      <c r="K58" s="26"/>
      <c r="L58" s="27"/>
    </row>
    <row r="59" spans="1:12" ht="15.75" customHeight="1">
      <c r="A59" s="71"/>
      <c r="B59" s="176" t="s">
        <v>57</v>
      </c>
      <c r="C59" s="176"/>
      <c r="D59" s="176"/>
      <c r="E59" s="176"/>
      <c r="F59" s="195"/>
      <c r="G59" s="61"/>
      <c r="H59" s="32"/>
      <c r="J59" s="25"/>
      <c r="K59" s="26"/>
      <c r="L59" s="27"/>
    </row>
    <row r="60" spans="1:12" ht="15.75" hidden="1" customHeight="1">
      <c r="A60" s="71">
        <v>16</v>
      </c>
      <c r="B60" s="181" t="s">
        <v>58</v>
      </c>
      <c r="C60" s="122" t="s">
        <v>68</v>
      </c>
      <c r="D60" s="181" t="s">
        <v>69</v>
      </c>
      <c r="E60" s="191"/>
      <c r="F60" s="196">
        <v>848.37</v>
      </c>
      <c r="G60" s="24">
        <v>0</v>
      </c>
      <c r="H60" s="32"/>
      <c r="J60" s="25"/>
      <c r="K60" s="26"/>
      <c r="L60" s="27"/>
    </row>
    <row r="61" spans="1:12" ht="15.75" customHeight="1">
      <c r="A61" s="71">
        <v>15</v>
      </c>
      <c r="B61" s="181" t="s">
        <v>158</v>
      </c>
      <c r="C61" s="122" t="s">
        <v>29</v>
      </c>
      <c r="D61" s="56" t="s">
        <v>36</v>
      </c>
      <c r="E61" s="192"/>
      <c r="F61" s="197">
        <v>2.6</v>
      </c>
      <c r="G61" s="24">
        <v>891.8</v>
      </c>
      <c r="H61" s="32"/>
      <c r="J61" s="25"/>
      <c r="K61" s="26"/>
      <c r="L61" s="27"/>
    </row>
    <row r="62" spans="1:12" ht="15.75" hidden="1" customHeight="1">
      <c r="A62" s="71"/>
      <c r="B62" s="198" t="s">
        <v>235</v>
      </c>
      <c r="C62" s="122"/>
      <c r="D62" s="56"/>
      <c r="E62" s="192"/>
      <c r="F62" s="197"/>
      <c r="G62" s="24"/>
      <c r="H62" s="32"/>
      <c r="J62" s="25"/>
      <c r="K62" s="26"/>
      <c r="L62" s="27"/>
    </row>
    <row r="63" spans="1:12" ht="15.75" hidden="1" customHeight="1">
      <c r="A63" s="71"/>
      <c r="B63" s="181" t="s">
        <v>236</v>
      </c>
      <c r="C63" s="122" t="s">
        <v>37</v>
      </c>
      <c r="D63" s="193" t="s">
        <v>90</v>
      </c>
      <c r="E63" s="194"/>
      <c r="F63" s="183">
        <v>254.16</v>
      </c>
      <c r="G63" s="24">
        <v>0</v>
      </c>
      <c r="H63" s="32"/>
      <c r="J63" s="25"/>
      <c r="K63" s="26"/>
      <c r="L63" s="27"/>
    </row>
    <row r="64" spans="1:12" ht="15.75" customHeight="1">
      <c r="A64" s="71"/>
      <c r="B64" s="176" t="s">
        <v>59</v>
      </c>
      <c r="C64" s="20"/>
      <c r="D64" s="65"/>
      <c r="E64" s="19"/>
      <c r="F64" s="46"/>
      <c r="G64" s="23"/>
      <c r="H64" s="32"/>
      <c r="J64" s="25"/>
      <c r="K64" s="26"/>
      <c r="L64" s="27"/>
    </row>
    <row r="65" spans="1:20" ht="15.75" customHeight="1">
      <c r="A65" s="71">
        <v>16</v>
      </c>
      <c r="B65" s="184" t="s">
        <v>60</v>
      </c>
      <c r="C65" s="66" t="s">
        <v>219</v>
      </c>
      <c r="D65" s="65" t="s">
        <v>90</v>
      </c>
      <c r="E65" s="23">
        <v>0</v>
      </c>
      <c r="F65" s="62">
        <v>237.74</v>
      </c>
      <c r="G65" s="24">
        <v>237.74</v>
      </c>
      <c r="H65" s="32"/>
      <c r="J65" s="25"/>
    </row>
    <row r="66" spans="1:20" ht="15.75" hidden="1" customHeight="1">
      <c r="A66" s="46">
        <v>29</v>
      </c>
      <c r="B66" s="184" t="s">
        <v>61</v>
      </c>
      <c r="C66" s="66" t="s">
        <v>219</v>
      </c>
      <c r="D66" s="65" t="s">
        <v>90</v>
      </c>
      <c r="E66" s="23">
        <v>0</v>
      </c>
      <c r="F66" s="62">
        <v>81.510000000000005</v>
      </c>
      <c r="G66" s="24">
        <v>0</v>
      </c>
    </row>
    <row r="67" spans="1:20" ht="15.75" hidden="1" customHeight="1">
      <c r="A67" s="46">
        <v>8</v>
      </c>
      <c r="B67" s="184" t="s">
        <v>62</v>
      </c>
      <c r="C67" s="68" t="s">
        <v>221</v>
      </c>
      <c r="D67" s="65" t="s">
        <v>69</v>
      </c>
      <c r="E67" s="23">
        <v>13.47</v>
      </c>
      <c r="F67" s="62">
        <v>226.79</v>
      </c>
      <c r="G67" s="23">
        <v>0</v>
      </c>
    </row>
    <row r="68" spans="1:20" ht="15.75" hidden="1" customHeight="1">
      <c r="A68" s="46">
        <v>9</v>
      </c>
      <c r="B68" s="184" t="s">
        <v>63</v>
      </c>
      <c r="C68" s="66" t="s">
        <v>222</v>
      </c>
      <c r="D68" s="65"/>
      <c r="E68" s="23">
        <v>1.35</v>
      </c>
      <c r="F68" s="62">
        <v>176.61</v>
      </c>
      <c r="G68" s="23">
        <v>0</v>
      </c>
    </row>
    <row r="69" spans="1:20" ht="15.75" hidden="1" customHeight="1">
      <c r="A69" s="46">
        <v>10</v>
      </c>
      <c r="B69" s="184" t="s">
        <v>64</v>
      </c>
      <c r="C69" s="66" t="s">
        <v>101</v>
      </c>
      <c r="D69" s="65" t="s">
        <v>69</v>
      </c>
      <c r="E69" s="23">
        <v>0</v>
      </c>
      <c r="F69" s="62">
        <v>2217.7800000000002</v>
      </c>
      <c r="G69" s="23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0"/>
    </row>
    <row r="70" spans="1:20" ht="15.75" hidden="1" customHeight="1">
      <c r="A70" s="46">
        <v>11</v>
      </c>
      <c r="B70" s="124" t="s">
        <v>223</v>
      </c>
      <c r="C70" s="66" t="s">
        <v>40</v>
      </c>
      <c r="D70" s="65"/>
      <c r="E70" s="15">
        <v>0</v>
      </c>
      <c r="F70" s="62">
        <v>42.67</v>
      </c>
      <c r="G70" s="23">
        <v>0</v>
      </c>
      <c r="H70" s="37"/>
      <c r="I70" s="37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 customHeight="1">
      <c r="A71" s="46">
        <v>12</v>
      </c>
      <c r="B71" s="124" t="s">
        <v>224</v>
      </c>
      <c r="C71" s="66" t="s">
        <v>40</v>
      </c>
      <c r="D71" s="65"/>
      <c r="E71" s="15"/>
      <c r="F71" s="62">
        <v>39.81</v>
      </c>
      <c r="G71" s="23">
        <v>0</v>
      </c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t="15.75" hidden="1" customHeight="1">
      <c r="A72" s="46">
        <v>13</v>
      </c>
      <c r="B72" s="65" t="s">
        <v>77</v>
      </c>
      <c r="C72" s="66" t="s">
        <v>78</v>
      </c>
      <c r="D72" s="65" t="s">
        <v>69</v>
      </c>
      <c r="E72" s="15"/>
      <c r="F72" s="62">
        <v>53.32</v>
      </c>
      <c r="G72" s="23">
        <v>0</v>
      </c>
      <c r="H72" s="5"/>
      <c r="I72" s="5"/>
      <c r="J72" s="5"/>
      <c r="K72" s="5"/>
      <c r="L72" s="5"/>
      <c r="M72" s="5"/>
      <c r="N72" s="5"/>
      <c r="O72" s="5"/>
      <c r="P72" s="221"/>
      <c r="Q72" s="221"/>
      <c r="R72" s="221"/>
      <c r="S72" s="221"/>
    </row>
    <row r="73" spans="1:20" ht="15.75" hidden="1" customHeight="1">
      <c r="A73" s="123"/>
      <c r="B73" s="176" t="s">
        <v>225</v>
      </c>
      <c r="C73" s="176"/>
      <c r="D73" s="176"/>
      <c r="E73" s="176"/>
      <c r="F73" s="176"/>
      <c r="G73" s="23"/>
    </row>
    <row r="74" spans="1:20" ht="15.75" hidden="1" customHeight="1">
      <c r="A74" s="46">
        <v>17</v>
      </c>
      <c r="B74" s="185" t="s">
        <v>226</v>
      </c>
      <c r="C74" s="186"/>
      <c r="D74" s="187" t="s">
        <v>69</v>
      </c>
      <c r="E74" s="182">
        <v>0</v>
      </c>
      <c r="F74" s="64">
        <v>19342.2</v>
      </c>
      <c r="G74" s="23">
        <v>0</v>
      </c>
    </row>
    <row r="75" spans="1:20" ht="15.75" hidden="1" customHeight="1">
      <c r="A75" s="46"/>
      <c r="B75" s="79" t="s">
        <v>97</v>
      </c>
      <c r="C75" s="79"/>
      <c r="D75" s="79"/>
      <c r="E75" s="23"/>
      <c r="F75" s="46"/>
      <c r="G75" s="23"/>
    </row>
    <row r="76" spans="1:20" ht="15.75" hidden="1" customHeight="1">
      <c r="A76" s="46"/>
      <c r="B76" s="65" t="s">
        <v>98</v>
      </c>
      <c r="C76" s="66" t="s">
        <v>38</v>
      </c>
      <c r="D76" s="65" t="s">
        <v>90</v>
      </c>
      <c r="E76" s="23"/>
      <c r="F76" s="62">
        <v>536.23</v>
      </c>
      <c r="G76" s="23">
        <v>0</v>
      </c>
    </row>
    <row r="77" spans="1:20" ht="15.75" hidden="1" customHeight="1">
      <c r="A77" s="46"/>
      <c r="B77" s="65" t="s">
        <v>135</v>
      </c>
      <c r="C77" s="66" t="s">
        <v>37</v>
      </c>
      <c r="D77" s="65" t="s">
        <v>90</v>
      </c>
      <c r="E77" s="23"/>
      <c r="F77" s="62">
        <v>383.25</v>
      </c>
      <c r="G77" s="23">
        <v>0</v>
      </c>
    </row>
    <row r="78" spans="1:20" ht="15.75" hidden="1" customHeight="1">
      <c r="A78" s="46"/>
      <c r="B78" s="65" t="s">
        <v>99</v>
      </c>
      <c r="C78" s="66" t="s">
        <v>37</v>
      </c>
      <c r="D78" s="65" t="s">
        <v>90</v>
      </c>
      <c r="E78" s="23"/>
      <c r="F78" s="62">
        <v>911.85</v>
      </c>
      <c r="G78" s="23">
        <v>0</v>
      </c>
    </row>
    <row r="79" spans="1:20" ht="15.75" customHeight="1">
      <c r="A79" s="46"/>
      <c r="B79" s="80" t="s">
        <v>100</v>
      </c>
      <c r="C79" s="66"/>
      <c r="D79" s="46"/>
      <c r="E79" s="23"/>
      <c r="F79" s="62" t="s">
        <v>227</v>
      </c>
      <c r="G79" s="23"/>
    </row>
    <row r="80" spans="1:20" ht="15.75" customHeight="1">
      <c r="A80" s="46">
        <v>17</v>
      </c>
      <c r="B80" s="67" t="s">
        <v>228</v>
      </c>
      <c r="C80" s="68" t="s">
        <v>101</v>
      </c>
      <c r="D80" s="184"/>
      <c r="E80" s="23"/>
      <c r="F80" s="63">
        <v>2949.85</v>
      </c>
      <c r="G80" s="23">
        <v>124.45</v>
      </c>
    </row>
    <row r="81" spans="1:7" ht="15.75" customHeight="1">
      <c r="A81" s="244" t="s">
        <v>244</v>
      </c>
      <c r="B81" s="245"/>
      <c r="C81" s="245"/>
      <c r="D81" s="245"/>
      <c r="E81" s="245"/>
      <c r="F81" s="245"/>
      <c r="G81" s="246"/>
    </row>
    <row r="82" spans="1:7" ht="15.75" customHeight="1">
      <c r="A82" s="46">
        <v>18</v>
      </c>
      <c r="B82" s="56" t="s">
        <v>229</v>
      </c>
      <c r="C82" s="66" t="s">
        <v>73</v>
      </c>
      <c r="D82" s="188" t="s">
        <v>74</v>
      </c>
      <c r="E82" s="19">
        <v>327.9</v>
      </c>
      <c r="F82" s="62">
        <v>2.54</v>
      </c>
      <c r="G82" s="16">
        <v>11661.65</v>
      </c>
    </row>
    <row r="83" spans="1:7" ht="31.5" customHeight="1">
      <c r="A83" s="46">
        <v>19</v>
      </c>
      <c r="B83" s="65" t="s">
        <v>102</v>
      </c>
      <c r="C83" s="66"/>
      <c r="D83" s="188" t="s">
        <v>74</v>
      </c>
      <c r="E83" s="19"/>
      <c r="F83" s="62">
        <v>2.0499999999999998</v>
      </c>
      <c r="G83" s="16">
        <v>9411.9599999999991</v>
      </c>
    </row>
    <row r="84" spans="1:7" ht="15.75" customHeight="1">
      <c r="A84" s="123"/>
      <c r="B84" s="69" t="s">
        <v>107</v>
      </c>
      <c r="C84" s="71"/>
      <c r="D84" s="19"/>
      <c r="E84" s="19"/>
      <c r="F84" s="23"/>
      <c r="G84" s="54">
        <f>SUM(G16+G17+G18+G20+G26+G27+G38+G39+G41+G42+G43+G44+G51+G58+G61+G65+G80+G82+G83)</f>
        <v>89639.76999999999</v>
      </c>
    </row>
    <row r="85" spans="1:7" ht="15.75" customHeight="1">
      <c r="A85" s="123"/>
      <c r="B85" s="189" t="s">
        <v>80</v>
      </c>
      <c r="C85" s="189"/>
      <c r="D85" s="189"/>
      <c r="E85" s="189"/>
      <c r="F85" s="189"/>
      <c r="G85" s="189"/>
    </row>
    <row r="86" spans="1:7" ht="31.5" customHeight="1">
      <c r="A86" s="46">
        <v>20</v>
      </c>
      <c r="B86" s="139" t="s">
        <v>279</v>
      </c>
      <c r="C86" s="202" t="s">
        <v>109</v>
      </c>
      <c r="D86" s="189"/>
      <c r="E86" s="189"/>
      <c r="F86" s="46">
        <v>513.99</v>
      </c>
      <c r="G86" s="46">
        <f>F86</f>
        <v>513.99</v>
      </c>
    </row>
    <row r="87" spans="1:7" ht="15.75" customHeight="1">
      <c r="A87" s="46">
        <v>21</v>
      </c>
      <c r="B87" s="210" t="s">
        <v>241</v>
      </c>
      <c r="C87" s="211" t="s">
        <v>145</v>
      </c>
      <c r="D87" s="189"/>
      <c r="E87" s="189"/>
      <c r="F87" s="46">
        <v>1063.47</v>
      </c>
      <c r="G87" s="46">
        <v>3190.41</v>
      </c>
    </row>
    <row r="88" spans="1:7" ht="31.5" customHeight="1">
      <c r="A88" s="46">
        <v>22</v>
      </c>
      <c r="B88" s="139" t="s">
        <v>240</v>
      </c>
      <c r="C88" s="202" t="s">
        <v>148</v>
      </c>
      <c r="D88" s="189"/>
      <c r="E88" s="189"/>
      <c r="F88" s="62">
        <v>625.07000000000005</v>
      </c>
      <c r="G88" s="62">
        <v>625.07000000000005</v>
      </c>
    </row>
    <row r="89" spans="1:7" ht="31.5" customHeight="1">
      <c r="A89" s="281">
        <v>23</v>
      </c>
      <c r="B89" s="199" t="s">
        <v>106</v>
      </c>
      <c r="C89" s="190" t="s">
        <v>219</v>
      </c>
      <c r="D89" s="189"/>
      <c r="E89" s="19"/>
      <c r="F89" s="62">
        <v>79.09</v>
      </c>
      <c r="G89" s="16">
        <v>158.18</v>
      </c>
    </row>
    <row r="90" spans="1:7" ht="15.75" customHeight="1">
      <c r="A90" s="46"/>
      <c r="B90" s="76" t="s">
        <v>66</v>
      </c>
      <c r="C90" s="72"/>
      <c r="D90" s="125"/>
      <c r="E90" s="72">
        <v>1</v>
      </c>
      <c r="F90" s="72"/>
      <c r="G90" s="54">
        <f>SUM(G86:G89)</f>
        <v>4487.6499999999996</v>
      </c>
    </row>
    <row r="91" spans="1:7" ht="15.75" customHeight="1">
      <c r="A91" s="46"/>
      <c r="B91" s="82" t="s">
        <v>103</v>
      </c>
      <c r="C91" s="19"/>
      <c r="D91" s="19"/>
      <c r="E91" s="73"/>
      <c r="F91" s="74"/>
      <c r="G91" s="22">
        <v>0</v>
      </c>
    </row>
    <row r="92" spans="1:7" ht="15.75" customHeight="1">
      <c r="A92" s="126"/>
      <c r="B92" s="77" t="s">
        <v>67</v>
      </c>
      <c r="C92" s="60"/>
      <c r="D92" s="60"/>
      <c r="E92" s="60"/>
      <c r="F92" s="60"/>
      <c r="G92" s="75">
        <f>G84+G90</f>
        <v>94127.419999999984</v>
      </c>
    </row>
    <row r="93" spans="1:7" ht="15.75" customHeight="1">
      <c r="A93" s="234" t="s">
        <v>315</v>
      </c>
      <c r="B93" s="234"/>
      <c r="C93" s="234"/>
      <c r="D93" s="234"/>
      <c r="E93" s="234"/>
      <c r="F93" s="234"/>
      <c r="G93" s="234"/>
    </row>
    <row r="94" spans="1:7" ht="15.75" customHeight="1">
      <c r="A94" s="175"/>
      <c r="B94" s="235" t="s">
        <v>316</v>
      </c>
      <c r="C94" s="235"/>
      <c r="D94" s="235"/>
      <c r="E94" s="235"/>
      <c r="F94" s="235"/>
      <c r="G94" s="3"/>
    </row>
    <row r="95" spans="1:7" ht="15.75" customHeight="1">
      <c r="A95" s="170"/>
      <c r="B95" s="219" t="s">
        <v>7</v>
      </c>
      <c r="C95" s="219"/>
      <c r="D95" s="219"/>
      <c r="E95" s="219"/>
      <c r="F95" s="219"/>
      <c r="G95" s="5"/>
    </row>
    <row r="96" spans="1:7" ht="15.75" customHeight="1">
      <c r="A96" s="11"/>
      <c r="B96" s="11"/>
      <c r="C96" s="11"/>
      <c r="D96" s="11"/>
      <c r="E96" s="11"/>
      <c r="F96" s="11"/>
      <c r="G96" s="11"/>
    </row>
    <row r="97" spans="1:7" ht="15.75" customHeight="1">
      <c r="A97" s="236" t="s">
        <v>8</v>
      </c>
      <c r="B97" s="236"/>
      <c r="C97" s="236"/>
      <c r="D97" s="236"/>
      <c r="E97" s="236"/>
      <c r="F97" s="236"/>
      <c r="G97" s="236"/>
    </row>
    <row r="98" spans="1:7" ht="15.75" customHeight="1">
      <c r="A98" s="236" t="s">
        <v>9</v>
      </c>
      <c r="B98" s="236"/>
      <c r="C98" s="236"/>
      <c r="D98" s="236"/>
      <c r="E98" s="236"/>
      <c r="F98" s="236"/>
      <c r="G98" s="236"/>
    </row>
    <row r="99" spans="1:7" ht="15.75" customHeight="1">
      <c r="A99" s="237" t="s">
        <v>82</v>
      </c>
      <c r="B99" s="237"/>
      <c r="C99" s="237"/>
      <c r="D99" s="237"/>
      <c r="E99" s="237"/>
      <c r="F99" s="237"/>
      <c r="G99" s="237"/>
    </row>
    <row r="100" spans="1:7" ht="7.5" customHeight="1">
      <c r="A100" s="12"/>
    </row>
    <row r="101" spans="1:7" ht="15.75" customHeight="1">
      <c r="A101" s="238" t="s">
        <v>11</v>
      </c>
      <c r="B101" s="238"/>
      <c r="C101" s="238"/>
      <c r="D101" s="238"/>
      <c r="E101" s="238"/>
      <c r="F101" s="238"/>
      <c r="G101" s="238"/>
    </row>
    <row r="102" spans="1:7" ht="15.75" customHeight="1">
      <c r="A102" s="4"/>
    </row>
    <row r="103" spans="1:7" ht="15.75" customHeight="1">
      <c r="B103" s="171" t="s">
        <v>12</v>
      </c>
      <c r="C103" s="247" t="s">
        <v>141</v>
      </c>
      <c r="D103" s="247"/>
      <c r="E103" s="247"/>
      <c r="G103" s="173"/>
    </row>
    <row r="104" spans="1:7" ht="15.75" customHeight="1">
      <c r="A104" s="170"/>
      <c r="C104" s="219" t="s">
        <v>13</v>
      </c>
      <c r="D104" s="219"/>
      <c r="E104" s="219"/>
      <c r="G104" s="172" t="s">
        <v>14</v>
      </c>
    </row>
    <row r="105" spans="1:7" ht="15.75" customHeight="1">
      <c r="A105" s="37"/>
      <c r="C105" s="13"/>
      <c r="D105" s="13"/>
      <c r="F105" s="13"/>
    </row>
    <row r="106" spans="1:7" ht="15.75" customHeight="1">
      <c r="B106" s="171" t="s">
        <v>15</v>
      </c>
      <c r="C106" s="220"/>
      <c r="D106" s="220"/>
      <c r="E106" s="220"/>
      <c r="G106" s="173"/>
    </row>
    <row r="107" spans="1:7" ht="15.75" customHeight="1">
      <c r="A107" s="170"/>
      <c r="C107" s="221" t="s">
        <v>13</v>
      </c>
      <c r="D107" s="221"/>
      <c r="E107" s="221"/>
      <c r="G107" s="172" t="s">
        <v>14</v>
      </c>
    </row>
    <row r="108" spans="1:7" ht="15.75" customHeight="1">
      <c r="A108" s="4" t="s">
        <v>16</v>
      </c>
    </row>
    <row r="109" spans="1:7" ht="15.75" customHeight="1">
      <c r="A109" s="239" t="s">
        <v>17</v>
      </c>
      <c r="B109" s="239"/>
      <c r="C109" s="239"/>
      <c r="D109" s="239"/>
      <c r="E109" s="239"/>
      <c r="F109" s="239"/>
      <c r="G109" s="239"/>
    </row>
    <row r="110" spans="1:7" ht="45" customHeight="1">
      <c r="A110" s="213" t="s">
        <v>18</v>
      </c>
      <c r="B110" s="213"/>
      <c r="C110" s="213"/>
      <c r="D110" s="213"/>
      <c r="E110" s="213"/>
      <c r="F110" s="213"/>
      <c r="G110" s="213"/>
    </row>
    <row r="111" spans="1:7" ht="30" customHeight="1">
      <c r="A111" s="213" t="s">
        <v>19</v>
      </c>
      <c r="B111" s="213"/>
      <c r="C111" s="213"/>
      <c r="D111" s="213"/>
      <c r="E111" s="213"/>
      <c r="F111" s="213"/>
      <c r="G111" s="213"/>
    </row>
    <row r="112" spans="1:7" ht="30" customHeight="1">
      <c r="A112" s="213" t="s">
        <v>24</v>
      </c>
      <c r="B112" s="213"/>
      <c r="C112" s="213"/>
      <c r="D112" s="213"/>
      <c r="E112" s="213"/>
      <c r="F112" s="213"/>
      <c r="G112" s="213"/>
    </row>
    <row r="113" spans="1:7" ht="15" customHeight="1">
      <c r="A113" s="213" t="s">
        <v>23</v>
      </c>
      <c r="B113" s="213"/>
      <c r="C113" s="213"/>
      <c r="D113" s="213"/>
      <c r="E113" s="213"/>
      <c r="F113" s="213"/>
      <c r="G113" s="213"/>
    </row>
  </sheetData>
  <autoFilter ref="G12:G67"/>
  <mergeCells count="28">
    <mergeCell ref="A81:G81"/>
    <mergeCell ref="A113:G113"/>
    <mergeCell ref="C106:E106"/>
    <mergeCell ref="C107:E107"/>
    <mergeCell ref="A109:G109"/>
    <mergeCell ref="A110:G110"/>
    <mergeCell ref="A111:G111"/>
    <mergeCell ref="A99:G99"/>
    <mergeCell ref="A101:G101"/>
    <mergeCell ref="C103:E103"/>
    <mergeCell ref="C104:E104"/>
    <mergeCell ref="A112:G112"/>
    <mergeCell ref="A93:G93"/>
    <mergeCell ref="B94:F94"/>
    <mergeCell ref="B95:F95"/>
    <mergeCell ref="A97:G97"/>
    <mergeCell ref="A98:G98"/>
    <mergeCell ref="A3:G3"/>
    <mergeCell ref="A4:G4"/>
    <mergeCell ref="A8:G8"/>
    <mergeCell ref="A10:G10"/>
    <mergeCell ref="A5:G5"/>
    <mergeCell ref="A14:G14"/>
    <mergeCell ref="A15:G15"/>
    <mergeCell ref="A28:G28"/>
    <mergeCell ref="A45:G45"/>
    <mergeCell ref="P72:S72"/>
    <mergeCell ref="A56:G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286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108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42429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hidden="1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5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6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hidden="1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hidden="1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hidden="1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hidden="1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hidden="1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customHeight="1">
      <c r="A38" s="46">
        <v>7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customHeight="1">
      <c r="A39" s="46">
        <v>8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customHeight="1">
      <c r="A41" s="46">
        <v>9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customHeight="1">
      <c r="A42" s="46">
        <v>10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customHeight="1">
      <c r="A43" s="46">
        <v>11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customHeight="1">
      <c r="A44" s="46">
        <v>12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customHeight="1">
      <c r="A51" s="46">
        <v>13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customHeight="1">
      <c r="A58" s="46">
        <v>14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15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customHeight="1">
      <c r="A74" s="46">
        <v>16</v>
      </c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f>G74*1.5</f>
        <v>804.34500000000003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17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18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SUM(I16+I17+I18+I20+I26+I27+I38+I39+I41+I42+I43+I44+I51+I58+I61+I74+I82+I83)</f>
        <v>90081.918784250011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31.5" customHeight="1">
      <c r="A86" s="46">
        <v>19</v>
      </c>
      <c r="B86" s="254" t="s">
        <v>253</v>
      </c>
      <c r="C86" s="46" t="s">
        <v>254</v>
      </c>
      <c r="D86" s="82"/>
      <c r="E86" s="16"/>
      <c r="F86" s="16">
        <v>2</v>
      </c>
      <c r="G86" s="16">
        <v>1835.8</v>
      </c>
      <c r="H86" s="272">
        <f>G86*F86/1000</f>
        <v>3.6715999999999998</v>
      </c>
      <c r="I86" s="16">
        <f>G86*2</f>
        <v>3671.6</v>
      </c>
    </row>
    <row r="87" spans="1:9" ht="31.5" customHeight="1">
      <c r="A87" s="46">
        <v>20</v>
      </c>
      <c r="B87" s="139" t="s">
        <v>139</v>
      </c>
      <c r="C87" s="202" t="s">
        <v>148</v>
      </c>
      <c r="D87" s="82"/>
      <c r="E87" s="16"/>
      <c r="F87" s="16">
        <v>9</v>
      </c>
      <c r="G87" s="16">
        <v>559.62</v>
      </c>
      <c r="H87" s="272">
        <f t="shared" ref="H87:H97" si="7">G87*F87/1000</f>
        <v>5.0365799999999998</v>
      </c>
      <c r="I87" s="16">
        <f>G87*6</f>
        <v>3357.7200000000003</v>
      </c>
    </row>
    <row r="88" spans="1:9" ht="31.5" customHeight="1">
      <c r="A88" s="46">
        <v>21</v>
      </c>
      <c r="B88" s="139" t="s">
        <v>255</v>
      </c>
      <c r="C88" s="202" t="s">
        <v>148</v>
      </c>
      <c r="D88" s="82"/>
      <c r="E88" s="16"/>
      <c r="F88" s="16">
        <v>4</v>
      </c>
      <c r="G88" s="16">
        <v>762.37</v>
      </c>
      <c r="H88" s="272">
        <f>G88*F88/1000</f>
        <v>3.04948</v>
      </c>
      <c r="I88" s="16">
        <f>G88*3</f>
        <v>2287.11</v>
      </c>
    </row>
    <row r="89" spans="1:9" ht="15.75" customHeight="1">
      <c r="A89" s="46">
        <v>22</v>
      </c>
      <c r="B89" s="139" t="s">
        <v>256</v>
      </c>
      <c r="C89" s="202" t="s">
        <v>109</v>
      </c>
      <c r="D89" s="82"/>
      <c r="E89" s="16"/>
      <c r="F89" s="16">
        <v>1.5</v>
      </c>
      <c r="G89" s="16">
        <v>2057</v>
      </c>
      <c r="H89" s="272">
        <f t="shared" si="7"/>
        <v>3.0855000000000001</v>
      </c>
      <c r="I89" s="16">
        <f>G89*1.5</f>
        <v>3085.5</v>
      </c>
    </row>
    <row r="90" spans="1:9" ht="31.5" customHeight="1">
      <c r="A90" s="46">
        <v>23</v>
      </c>
      <c r="B90" s="139" t="s">
        <v>257</v>
      </c>
      <c r="C90" s="202" t="s">
        <v>109</v>
      </c>
      <c r="D90" s="82"/>
      <c r="E90" s="16"/>
      <c r="F90" s="16">
        <v>0.5</v>
      </c>
      <c r="G90" s="16">
        <v>994.03</v>
      </c>
      <c r="H90" s="272">
        <f t="shared" si="7"/>
        <v>0.49701499999999998</v>
      </c>
      <c r="I90" s="16">
        <f>G90*0.5</f>
        <v>497.01499999999999</v>
      </c>
    </row>
    <row r="91" spans="1:9" ht="31.5" customHeight="1">
      <c r="A91" s="46">
        <v>24</v>
      </c>
      <c r="B91" s="139" t="s">
        <v>258</v>
      </c>
      <c r="C91" s="202" t="s">
        <v>109</v>
      </c>
      <c r="D91" s="82"/>
      <c r="E91" s="16"/>
      <c r="F91" s="16">
        <v>6</v>
      </c>
      <c r="G91" s="16">
        <v>1264.3399999999999</v>
      </c>
      <c r="H91" s="272">
        <f t="shared" si="7"/>
        <v>7.5860399999999988</v>
      </c>
      <c r="I91" s="16">
        <f>G91*6</f>
        <v>7586.0399999999991</v>
      </c>
    </row>
    <row r="92" spans="1:9" ht="15.75" customHeight="1">
      <c r="A92" s="46">
        <v>25</v>
      </c>
      <c r="B92" s="139" t="s">
        <v>191</v>
      </c>
      <c r="C92" s="202" t="s">
        <v>192</v>
      </c>
      <c r="D92" s="82"/>
      <c r="E92" s="16"/>
      <c r="F92" s="16">
        <v>4</v>
      </c>
      <c r="G92" s="16">
        <v>195.95</v>
      </c>
      <c r="H92" s="272">
        <f t="shared" si="7"/>
        <v>0.78379999999999994</v>
      </c>
      <c r="I92" s="16">
        <f>G92</f>
        <v>195.95</v>
      </c>
    </row>
    <row r="93" spans="1:9" ht="15.75" customHeight="1">
      <c r="A93" s="46">
        <v>26</v>
      </c>
      <c r="B93" s="139" t="s">
        <v>119</v>
      </c>
      <c r="C93" s="202" t="s">
        <v>192</v>
      </c>
      <c r="D93" s="82"/>
      <c r="E93" s="16"/>
      <c r="F93" s="16">
        <v>1</v>
      </c>
      <c r="G93" s="16">
        <v>290.67</v>
      </c>
      <c r="H93" s="272">
        <f t="shared" si="7"/>
        <v>0.29067000000000004</v>
      </c>
      <c r="I93" s="16">
        <f>G93</f>
        <v>290.67</v>
      </c>
    </row>
    <row r="94" spans="1:9" ht="15.75" customHeight="1">
      <c r="A94" s="46">
        <v>27</v>
      </c>
      <c r="B94" s="139" t="s">
        <v>259</v>
      </c>
      <c r="C94" s="202" t="s">
        <v>118</v>
      </c>
      <c r="D94" s="82"/>
      <c r="E94" s="16"/>
      <c r="F94" s="16">
        <v>2</v>
      </c>
      <c r="G94" s="16">
        <v>185.81</v>
      </c>
      <c r="H94" s="272">
        <f t="shared" si="7"/>
        <v>0.37162000000000001</v>
      </c>
      <c r="I94" s="16">
        <f>G94*2</f>
        <v>371.62</v>
      </c>
    </row>
    <row r="95" spans="1:9" ht="15.75" customHeight="1">
      <c r="A95" s="46">
        <v>28</v>
      </c>
      <c r="B95" s="139" t="s">
        <v>283</v>
      </c>
      <c r="C95" s="202" t="s">
        <v>219</v>
      </c>
      <c r="D95" s="82"/>
      <c r="E95" s="16"/>
      <c r="F95" s="16">
        <v>1</v>
      </c>
      <c r="G95" s="16">
        <v>1072.21</v>
      </c>
      <c r="H95" s="272">
        <f t="shared" si="7"/>
        <v>1.0722100000000001</v>
      </c>
      <c r="I95" s="16">
        <f>G95</f>
        <v>1072.21</v>
      </c>
    </row>
    <row r="96" spans="1:9" ht="15.75" customHeight="1">
      <c r="A96" s="46">
        <v>29</v>
      </c>
      <c r="B96" s="82" t="s">
        <v>133</v>
      </c>
      <c r="C96" s="20" t="s">
        <v>172</v>
      </c>
      <c r="D96" s="82"/>
      <c r="E96" s="16"/>
      <c r="F96" s="16">
        <v>20</v>
      </c>
      <c r="G96" s="16">
        <v>1501</v>
      </c>
      <c r="H96" s="272">
        <f t="shared" si="7"/>
        <v>30.02</v>
      </c>
      <c r="I96" s="16">
        <f>G96*18</f>
        <v>27018</v>
      </c>
    </row>
    <row r="97" spans="1:9" ht="15.75" customHeight="1">
      <c r="A97" s="46">
        <v>30</v>
      </c>
      <c r="B97" s="139" t="s">
        <v>260</v>
      </c>
      <c r="C97" s="202" t="s">
        <v>148</v>
      </c>
      <c r="D97" s="82"/>
      <c r="E97" s="16"/>
      <c r="F97" s="16">
        <v>1</v>
      </c>
      <c r="G97" s="16">
        <v>332.87</v>
      </c>
      <c r="H97" s="272">
        <f t="shared" si="7"/>
        <v>0.33287</v>
      </c>
      <c r="I97" s="16">
        <f>G97</f>
        <v>332.87</v>
      </c>
    </row>
    <row r="98" spans="1:9" ht="15.75" customHeight="1">
      <c r="A98" s="46"/>
      <c r="B98" s="76" t="s">
        <v>66</v>
      </c>
      <c r="C98" s="72"/>
      <c r="D98" s="125"/>
      <c r="E98" s="72">
        <v>1</v>
      </c>
      <c r="F98" s="72"/>
      <c r="G98" s="72"/>
      <c r="H98" s="72"/>
      <c r="I98" s="54">
        <f>SUM(I86:I97)</f>
        <v>49766.305</v>
      </c>
    </row>
    <row r="99" spans="1:9" ht="15.75" customHeight="1">
      <c r="A99" s="46"/>
      <c r="B99" s="82" t="s">
        <v>103</v>
      </c>
      <c r="C99" s="19"/>
      <c r="D99" s="19"/>
      <c r="E99" s="73"/>
      <c r="F99" s="73"/>
      <c r="G99" s="74"/>
      <c r="H99" s="74"/>
      <c r="I99" s="22">
        <v>0</v>
      </c>
    </row>
    <row r="100" spans="1:9" ht="15.75" customHeight="1">
      <c r="A100" s="126"/>
      <c r="B100" s="77" t="s">
        <v>67</v>
      </c>
      <c r="C100" s="60"/>
      <c r="D100" s="60"/>
      <c r="E100" s="60"/>
      <c r="F100" s="60"/>
      <c r="G100" s="60"/>
      <c r="H100" s="60"/>
      <c r="I100" s="75">
        <f>I84+I98</f>
        <v>139848.22378425</v>
      </c>
    </row>
    <row r="101" spans="1:9" ht="15.75" customHeight="1">
      <c r="A101" s="234" t="s">
        <v>287</v>
      </c>
      <c r="B101" s="234"/>
      <c r="C101" s="234"/>
      <c r="D101" s="234"/>
      <c r="E101" s="234"/>
      <c r="F101" s="234"/>
      <c r="G101" s="234"/>
      <c r="H101" s="234"/>
      <c r="I101" s="234"/>
    </row>
    <row r="102" spans="1:9" ht="15.75" customHeight="1">
      <c r="A102" s="209"/>
      <c r="B102" s="235" t="s">
        <v>288</v>
      </c>
      <c r="C102" s="235"/>
      <c r="D102" s="235"/>
      <c r="E102" s="235"/>
      <c r="F102" s="235"/>
      <c r="G102" s="235"/>
      <c r="H102" s="253"/>
      <c r="I102" s="3"/>
    </row>
    <row r="103" spans="1:9" ht="15.75" customHeight="1">
      <c r="A103" s="203"/>
      <c r="B103" s="219" t="s">
        <v>7</v>
      </c>
      <c r="C103" s="219"/>
      <c r="D103" s="219"/>
      <c r="E103" s="219"/>
      <c r="F103" s="219"/>
      <c r="G103" s="219"/>
      <c r="H103" s="36"/>
      <c r="I103" s="5"/>
    </row>
    <row r="104" spans="1:9" ht="15.75" customHeight="1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5.75" customHeight="1">
      <c r="A105" s="236" t="s">
        <v>8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 customHeight="1">
      <c r="A106" s="236" t="s">
        <v>9</v>
      </c>
      <c r="B106" s="236"/>
      <c r="C106" s="236"/>
      <c r="D106" s="236"/>
      <c r="E106" s="236"/>
      <c r="F106" s="236"/>
      <c r="G106" s="236"/>
      <c r="H106" s="236"/>
      <c r="I106" s="236"/>
    </row>
    <row r="107" spans="1:9" ht="15.75" customHeight="1">
      <c r="A107" s="237" t="s">
        <v>82</v>
      </c>
      <c r="B107" s="237"/>
      <c r="C107" s="237"/>
      <c r="D107" s="237"/>
      <c r="E107" s="237"/>
      <c r="F107" s="237"/>
      <c r="G107" s="237"/>
      <c r="H107" s="237"/>
      <c r="I107" s="237"/>
    </row>
    <row r="108" spans="1:9" ht="15.75" customHeight="1">
      <c r="A108" s="12"/>
    </row>
    <row r="109" spans="1:9" ht="15.75" customHeight="1">
      <c r="A109" s="238" t="s">
        <v>11</v>
      </c>
      <c r="B109" s="238"/>
      <c r="C109" s="238"/>
      <c r="D109" s="238"/>
      <c r="E109" s="238"/>
      <c r="F109" s="238"/>
      <c r="G109" s="238"/>
      <c r="H109" s="238"/>
      <c r="I109" s="238"/>
    </row>
    <row r="110" spans="1:9" ht="15.75" customHeight="1">
      <c r="A110" s="4"/>
    </row>
    <row r="111" spans="1:9" ht="15.75" customHeight="1">
      <c r="B111" s="206" t="s">
        <v>12</v>
      </c>
      <c r="C111" s="247" t="s">
        <v>141</v>
      </c>
      <c r="D111" s="247"/>
      <c r="E111" s="247"/>
      <c r="F111" s="251"/>
      <c r="I111" s="205"/>
    </row>
    <row r="112" spans="1:9" ht="15.75" customHeight="1">
      <c r="A112" s="203"/>
      <c r="C112" s="219" t="s">
        <v>13</v>
      </c>
      <c r="D112" s="219"/>
      <c r="E112" s="219"/>
      <c r="F112" s="36"/>
      <c r="I112" s="204" t="s">
        <v>14</v>
      </c>
    </row>
    <row r="113" spans="1:9" ht="15.75" customHeight="1">
      <c r="A113" s="37"/>
      <c r="C113" s="13"/>
      <c r="D113" s="13"/>
      <c r="G113" s="13"/>
      <c r="H113" s="13"/>
    </row>
    <row r="114" spans="1:9" ht="15.75" customHeight="1">
      <c r="B114" s="206" t="s">
        <v>15</v>
      </c>
      <c r="C114" s="220"/>
      <c r="D114" s="220"/>
      <c r="E114" s="220"/>
      <c r="F114" s="252"/>
      <c r="I114" s="205"/>
    </row>
    <row r="115" spans="1:9" ht="15.75" customHeight="1">
      <c r="A115" s="203"/>
      <c r="C115" s="221" t="s">
        <v>13</v>
      </c>
      <c r="D115" s="221"/>
      <c r="E115" s="221"/>
      <c r="F115" s="203"/>
      <c r="I115" s="204" t="s">
        <v>14</v>
      </c>
    </row>
    <row r="116" spans="1:9" ht="15.75" customHeight="1">
      <c r="A116" s="4" t="s">
        <v>16</v>
      </c>
    </row>
    <row r="117" spans="1:9" ht="15.75" customHeight="1">
      <c r="A117" s="239" t="s">
        <v>17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45" customHeight="1">
      <c r="A118" s="213" t="s">
        <v>18</v>
      </c>
      <c r="B118" s="213"/>
      <c r="C118" s="213"/>
      <c r="D118" s="213"/>
      <c r="E118" s="213"/>
      <c r="F118" s="213"/>
      <c r="G118" s="213"/>
      <c r="H118" s="213"/>
      <c r="I118" s="213"/>
    </row>
    <row r="119" spans="1:9" ht="30" customHeight="1">
      <c r="A119" s="213" t="s">
        <v>19</v>
      </c>
      <c r="B119" s="213"/>
      <c r="C119" s="213"/>
      <c r="D119" s="213"/>
      <c r="E119" s="213"/>
      <c r="F119" s="213"/>
      <c r="G119" s="213"/>
      <c r="H119" s="213"/>
      <c r="I119" s="213"/>
    </row>
    <row r="120" spans="1:9" ht="30" customHeight="1">
      <c r="A120" s="213" t="s">
        <v>24</v>
      </c>
      <c r="B120" s="213"/>
      <c r="C120" s="213"/>
      <c r="D120" s="213"/>
      <c r="E120" s="213"/>
      <c r="F120" s="213"/>
      <c r="G120" s="213"/>
      <c r="H120" s="213"/>
      <c r="I120" s="213"/>
    </row>
    <row r="121" spans="1:9" ht="15" customHeight="1">
      <c r="A121" s="213" t="s">
        <v>23</v>
      </c>
      <c r="B121" s="213"/>
      <c r="C121" s="213"/>
      <c r="D121" s="213"/>
      <c r="E121" s="213"/>
      <c r="F121" s="213"/>
      <c r="G121" s="213"/>
      <c r="H121" s="213"/>
      <c r="I121" s="213"/>
    </row>
  </sheetData>
  <autoFilter ref="I12:I62"/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1:I101"/>
    <mergeCell ref="B102:G102"/>
    <mergeCell ref="B103:G103"/>
    <mergeCell ref="A105:I105"/>
    <mergeCell ref="A106:I106"/>
    <mergeCell ref="A107:I107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289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110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42460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6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7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hidden="1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hidden="1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hidden="1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hidden="1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hidden="1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290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customHeight="1">
      <c r="A58" s="46">
        <v>14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15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291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16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17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SUM(I16+I17+I18+I20+I21+I26+I27+I38+I39+I41+I42+I43+I44+I58+I61+I82+I83)</f>
        <v>85572.244236250001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18</v>
      </c>
      <c r="B86" s="82" t="s">
        <v>133</v>
      </c>
      <c r="C86" s="20" t="s">
        <v>172</v>
      </c>
      <c r="D86" s="82"/>
      <c r="E86" s="16"/>
      <c r="F86" s="16">
        <v>20</v>
      </c>
      <c r="G86" s="16">
        <v>1501</v>
      </c>
      <c r="H86" s="272">
        <f t="shared" ref="H86:H89" si="7">G86*F86/1000</f>
        <v>30.02</v>
      </c>
      <c r="I86" s="16">
        <f>G86*2</f>
        <v>3002</v>
      </c>
    </row>
    <row r="87" spans="1:9" ht="31.5" customHeight="1">
      <c r="A87" s="46">
        <v>19</v>
      </c>
      <c r="B87" s="254" t="s">
        <v>261</v>
      </c>
      <c r="C87" s="46" t="s">
        <v>254</v>
      </c>
      <c r="D87" s="82"/>
      <c r="E87" s="16"/>
      <c r="F87" s="16">
        <v>1</v>
      </c>
      <c r="G87" s="16">
        <v>383.01</v>
      </c>
      <c r="H87" s="272">
        <f t="shared" si="7"/>
        <v>0.38301000000000002</v>
      </c>
      <c r="I87" s="16">
        <f>G87</f>
        <v>383.01</v>
      </c>
    </row>
    <row r="88" spans="1:9" ht="31.5" customHeight="1">
      <c r="A88" s="46">
        <v>20</v>
      </c>
      <c r="B88" s="139" t="s">
        <v>262</v>
      </c>
      <c r="C88" s="202" t="s">
        <v>219</v>
      </c>
      <c r="D88" s="82"/>
      <c r="E88" s="16"/>
      <c r="F88" s="16">
        <v>2</v>
      </c>
      <c r="G88" s="16">
        <v>2179.33</v>
      </c>
      <c r="H88" s="272">
        <f t="shared" si="7"/>
        <v>4.3586599999999995</v>
      </c>
      <c r="I88" s="16">
        <f>G88</f>
        <v>2179.33</v>
      </c>
    </row>
    <row r="89" spans="1:9" ht="15.75" customHeight="1">
      <c r="A89" s="46">
        <v>21</v>
      </c>
      <c r="B89" s="139" t="s">
        <v>263</v>
      </c>
      <c r="C89" s="202" t="s">
        <v>219</v>
      </c>
      <c r="D89" s="82"/>
      <c r="E89" s="16"/>
      <c r="F89" s="16">
        <v>3</v>
      </c>
      <c r="G89" s="16">
        <v>1189.8499999999999</v>
      </c>
      <c r="H89" s="272">
        <f t="shared" si="7"/>
        <v>3.5695499999999996</v>
      </c>
      <c r="I89" s="16">
        <f>G89*3</f>
        <v>3569.5499999999997</v>
      </c>
    </row>
    <row r="90" spans="1:9" ht="15.75" customHeight="1">
      <c r="A90" s="46"/>
      <c r="B90" s="76" t="s">
        <v>66</v>
      </c>
      <c r="C90" s="72"/>
      <c r="D90" s="125"/>
      <c r="E90" s="72">
        <v>1</v>
      </c>
      <c r="F90" s="72"/>
      <c r="G90" s="72"/>
      <c r="H90" s="72"/>
      <c r="I90" s="54">
        <f>SUM(I86:I89)</f>
        <v>9133.89</v>
      </c>
    </row>
    <row r="91" spans="1:9" ht="15.75" customHeight="1">
      <c r="A91" s="46"/>
      <c r="B91" s="82" t="s">
        <v>103</v>
      </c>
      <c r="C91" s="19"/>
      <c r="D91" s="19"/>
      <c r="E91" s="73"/>
      <c r="F91" s="73"/>
      <c r="G91" s="74"/>
      <c r="H91" s="74"/>
      <c r="I91" s="22">
        <v>0</v>
      </c>
    </row>
    <row r="92" spans="1:9" ht="15.75" customHeight="1">
      <c r="A92" s="126"/>
      <c r="B92" s="77" t="s">
        <v>67</v>
      </c>
      <c r="C92" s="60"/>
      <c r="D92" s="60"/>
      <c r="E92" s="60"/>
      <c r="F92" s="60"/>
      <c r="G92" s="60"/>
      <c r="H92" s="60"/>
      <c r="I92" s="75">
        <f>I84+I90</f>
        <v>94706.13423625</v>
      </c>
    </row>
    <row r="93" spans="1:9" ht="15.75" customHeight="1">
      <c r="A93" s="234" t="s">
        <v>292</v>
      </c>
      <c r="B93" s="234"/>
      <c r="C93" s="234"/>
      <c r="D93" s="234"/>
      <c r="E93" s="234"/>
      <c r="F93" s="234"/>
      <c r="G93" s="234"/>
      <c r="H93" s="234"/>
      <c r="I93" s="234"/>
    </row>
    <row r="94" spans="1:9" ht="15.75" customHeight="1">
      <c r="A94" s="209"/>
      <c r="B94" s="235" t="s">
        <v>293</v>
      </c>
      <c r="C94" s="235"/>
      <c r="D94" s="235"/>
      <c r="E94" s="235"/>
      <c r="F94" s="235"/>
      <c r="G94" s="235"/>
      <c r="H94" s="253"/>
      <c r="I94" s="3"/>
    </row>
    <row r="95" spans="1:9" ht="15.75" customHeight="1">
      <c r="A95" s="203"/>
      <c r="B95" s="219" t="s">
        <v>7</v>
      </c>
      <c r="C95" s="219"/>
      <c r="D95" s="219"/>
      <c r="E95" s="219"/>
      <c r="F95" s="219"/>
      <c r="G95" s="219"/>
      <c r="H95" s="36"/>
      <c r="I95" s="5"/>
    </row>
    <row r="96" spans="1:9" ht="15.75" customHeight="1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 customHeight="1">
      <c r="A97" s="236" t="s">
        <v>8</v>
      </c>
      <c r="B97" s="236"/>
      <c r="C97" s="236"/>
      <c r="D97" s="236"/>
      <c r="E97" s="236"/>
      <c r="F97" s="236"/>
      <c r="G97" s="236"/>
      <c r="H97" s="236"/>
      <c r="I97" s="236"/>
    </row>
    <row r="98" spans="1:9" ht="15.75" customHeight="1">
      <c r="A98" s="236" t="s">
        <v>9</v>
      </c>
      <c r="B98" s="236"/>
      <c r="C98" s="236"/>
      <c r="D98" s="236"/>
      <c r="E98" s="236"/>
      <c r="F98" s="236"/>
      <c r="G98" s="236"/>
      <c r="H98" s="236"/>
      <c r="I98" s="236"/>
    </row>
    <row r="99" spans="1:9" ht="15.75" customHeight="1">
      <c r="A99" s="237" t="s">
        <v>82</v>
      </c>
      <c r="B99" s="237"/>
      <c r="C99" s="237"/>
      <c r="D99" s="237"/>
      <c r="E99" s="237"/>
      <c r="F99" s="237"/>
      <c r="G99" s="237"/>
      <c r="H99" s="237"/>
      <c r="I99" s="237"/>
    </row>
    <row r="100" spans="1:9" ht="15.75" customHeight="1">
      <c r="A100" s="12"/>
    </row>
    <row r="101" spans="1:9" ht="15.75" customHeight="1">
      <c r="A101" s="238" t="s">
        <v>11</v>
      </c>
      <c r="B101" s="238"/>
      <c r="C101" s="238"/>
      <c r="D101" s="238"/>
      <c r="E101" s="238"/>
      <c r="F101" s="238"/>
      <c r="G101" s="238"/>
      <c r="H101" s="238"/>
      <c r="I101" s="238"/>
    </row>
    <row r="102" spans="1:9" ht="15.75" customHeight="1">
      <c r="A102" s="4"/>
    </row>
    <row r="103" spans="1:9" ht="15.75" customHeight="1">
      <c r="B103" s="206" t="s">
        <v>12</v>
      </c>
      <c r="C103" s="247" t="s">
        <v>141</v>
      </c>
      <c r="D103" s="247"/>
      <c r="E103" s="247"/>
      <c r="F103" s="251"/>
      <c r="I103" s="205"/>
    </row>
    <row r="104" spans="1:9" ht="15.75" customHeight="1">
      <c r="A104" s="203"/>
      <c r="C104" s="219" t="s">
        <v>13</v>
      </c>
      <c r="D104" s="219"/>
      <c r="E104" s="219"/>
      <c r="F104" s="36"/>
      <c r="I104" s="204" t="s">
        <v>14</v>
      </c>
    </row>
    <row r="105" spans="1:9" ht="15.75" customHeight="1">
      <c r="A105" s="37"/>
      <c r="C105" s="13"/>
      <c r="D105" s="13"/>
      <c r="G105" s="13"/>
      <c r="H105" s="13"/>
    </row>
    <row r="106" spans="1:9" ht="15.75" customHeight="1">
      <c r="B106" s="206" t="s">
        <v>15</v>
      </c>
      <c r="C106" s="220"/>
      <c r="D106" s="220"/>
      <c r="E106" s="220"/>
      <c r="F106" s="252"/>
      <c r="I106" s="205"/>
    </row>
    <row r="107" spans="1:9" ht="15.75" customHeight="1">
      <c r="A107" s="203"/>
      <c r="C107" s="221" t="s">
        <v>13</v>
      </c>
      <c r="D107" s="221"/>
      <c r="E107" s="221"/>
      <c r="F107" s="203"/>
      <c r="I107" s="204" t="s">
        <v>14</v>
      </c>
    </row>
    <row r="108" spans="1:9" ht="15.75" customHeight="1">
      <c r="A108" s="4" t="s">
        <v>16</v>
      </c>
    </row>
    <row r="109" spans="1:9" ht="15.75" customHeight="1">
      <c r="A109" s="239" t="s">
        <v>17</v>
      </c>
      <c r="B109" s="239"/>
      <c r="C109" s="239"/>
      <c r="D109" s="239"/>
      <c r="E109" s="239"/>
      <c r="F109" s="239"/>
      <c r="G109" s="239"/>
      <c r="H109" s="239"/>
      <c r="I109" s="239"/>
    </row>
    <row r="110" spans="1:9" ht="45" customHeight="1">
      <c r="A110" s="213" t="s">
        <v>18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30" customHeight="1">
      <c r="A111" s="213" t="s">
        <v>19</v>
      </c>
      <c r="B111" s="213"/>
      <c r="C111" s="213"/>
      <c r="D111" s="213"/>
      <c r="E111" s="213"/>
      <c r="F111" s="213"/>
      <c r="G111" s="213"/>
      <c r="H111" s="213"/>
      <c r="I111" s="213"/>
    </row>
    <row r="112" spans="1:9" ht="30" customHeight="1">
      <c r="A112" s="213" t="s">
        <v>24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15" customHeight="1">
      <c r="A113" s="213" t="s">
        <v>23</v>
      </c>
      <c r="B113" s="213"/>
      <c r="C113" s="213"/>
      <c r="D113" s="213"/>
      <c r="E113" s="213"/>
      <c r="F113" s="213"/>
      <c r="G113" s="213"/>
      <c r="H113" s="213"/>
      <c r="I113" s="213"/>
    </row>
  </sheetData>
  <autoFilter ref="I12:I62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3:I93"/>
    <mergeCell ref="B94:G94"/>
    <mergeCell ref="B95:G95"/>
    <mergeCell ref="A97:I97"/>
    <mergeCell ref="A98:I98"/>
    <mergeCell ref="A99:I99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294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111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42490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hidden="1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5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6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hidden="1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hidden="1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hidden="1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hidden="1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hidden="1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customHeight="1">
      <c r="A38" s="46">
        <v>7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customHeight="1">
      <c r="A39" s="46">
        <v>8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customHeight="1">
      <c r="A41" s="46">
        <v>9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customHeight="1">
      <c r="A42" s="46">
        <v>10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customHeight="1">
      <c r="A43" s="46">
        <v>11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customHeight="1">
      <c r="A44" s="46">
        <v>12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customHeight="1">
      <c r="A55" s="46">
        <v>13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customHeight="1">
      <c r="A58" s="46">
        <v>14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15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16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17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SUM(I16+I17+I18+I20+I26+I27+I38+I39+I41+I42+I43+I44+I55+I58+I61+I82+I83)</f>
        <v>96784.86671224999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18</v>
      </c>
      <c r="B86" s="277" t="s">
        <v>264</v>
      </c>
      <c r="C86" s="278" t="s">
        <v>265</v>
      </c>
      <c r="D86" s="82"/>
      <c r="E86" s="16"/>
      <c r="F86" s="16">
        <f>2/10</f>
        <v>0.2</v>
      </c>
      <c r="G86" s="16">
        <v>16494.61</v>
      </c>
      <c r="H86" s="272">
        <f t="shared" ref="H86" si="7">G86*F86/1000</f>
        <v>3.2989220000000006</v>
      </c>
      <c r="I86" s="16">
        <f>G86*0.1</f>
        <v>1649.4610000000002</v>
      </c>
    </row>
    <row r="87" spans="1:9" ht="15.75" customHeight="1">
      <c r="A87" s="46"/>
      <c r="B87" s="76" t="s">
        <v>66</v>
      </c>
      <c r="C87" s="72"/>
      <c r="D87" s="125"/>
      <c r="E87" s="72">
        <v>1</v>
      </c>
      <c r="F87" s="72"/>
      <c r="G87" s="72"/>
      <c r="H87" s="72"/>
      <c r="I87" s="54">
        <f>SUM(I86:I86)</f>
        <v>1649.4610000000002</v>
      </c>
    </row>
    <row r="88" spans="1:9" ht="15.75" customHeight="1">
      <c r="A88" s="46"/>
      <c r="B88" s="82" t="s">
        <v>103</v>
      </c>
      <c r="C88" s="19"/>
      <c r="D88" s="19"/>
      <c r="E88" s="73"/>
      <c r="F88" s="73"/>
      <c r="G88" s="74"/>
      <c r="H88" s="74"/>
      <c r="I88" s="22">
        <v>0</v>
      </c>
    </row>
    <row r="89" spans="1:9" ht="15.75" customHeight="1">
      <c r="A89" s="126"/>
      <c r="B89" s="77" t="s">
        <v>67</v>
      </c>
      <c r="C89" s="60"/>
      <c r="D89" s="60"/>
      <c r="E89" s="60"/>
      <c r="F89" s="60"/>
      <c r="G89" s="60"/>
      <c r="H89" s="60"/>
      <c r="I89" s="75">
        <f>I84+I87</f>
        <v>98434.327712249986</v>
      </c>
    </row>
    <row r="90" spans="1:9" ht="15.75" customHeight="1">
      <c r="A90" s="234" t="s">
        <v>295</v>
      </c>
      <c r="B90" s="234"/>
      <c r="C90" s="234"/>
      <c r="D90" s="234"/>
      <c r="E90" s="234"/>
      <c r="F90" s="234"/>
      <c r="G90" s="234"/>
      <c r="H90" s="234"/>
      <c r="I90" s="234"/>
    </row>
    <row r="91" spans="1:9" ht="15.75" customHeight="1">
      <c r="A91" s="209"/>
      <c r="B91" s="235" t="s">
        <v>296</v>
      </c>
      <c r="C91" s="235"/>
      <c r="D91" s="235"/>
      <c r="E91" s="235"/>
      <c r="F91" s="235"/>
      <c r="G91" s="235"/>
      <c r="H91" s="253"/>
      <c r="I91" s="3"/>
    </row>
    <row r="92" spans="1:9" ht="15.75" customHeight="1">
      <c r="A92" s="203"/>
      <c r="B92" s="219" t="s">
        <v>7</v>
      </c>
      <c r="C92" s="219"/>
      <c r="D92" s="219"/>
      <c r="E92" s="219"/>
      <c r="F92" s="219"/>
      <c r="G92" s="219"/>
      <c r="H92" s="36"/>
      <c r="I92" s="5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236" t="s">
        <v>8</v>
      </c>
      <c r="B94" s="236"/>
      <c r="C94" s="236"/>
      <c r="D94" s="236"/>
      <c r="E94" s="236"/>
      <c r="F94" s="236"/>
      <c r="G94" s="236"/>
      <c r="H94" s="236"/>
      <c r="I94" s="236"/>
    </row>
    <row r="95" spans="1:9" ht="15.75" customHeight="1">
      <c r="A95" s="236" t="s">
        <v>9</v>
      </c>
      <c r="B95" s="236"/>
      <c r="C95" s="236"/>
      <c r="D95" s="236"/>
      <c r="E95" s="236"/>
      <c r="F95" s="236"/>
      <c r="G95" s="236"/>
      <c r="H95" s="236"/>
      <c r="I95" s="236"/>
    </row>
    <row r="96" spans="1:9" ht="15.75" customHeight="1">
      <c r="A96" s="237" t="s">
        <v>82</v>
      </c>
      <c r="B96" s="237"/>
      <c r="C96" s="237"/>
      <c r="D96" s="237"/>
      <c r="E96" s="237"/>
      <c r="F96" s="237"/>
      <c r="G96" s="237"/>
      <c r="H96" s="237"/>
      <c r="I96" s="237"/>
    </row>
    <row r="97" spans="1:9" ht="15.75" customHeight="1">
      <c r="A97" s="12"/>
    </row>
    <row r="98" spans="1:9" ht="15.75" customHeight="1">
      <c r="A98" s="238" t="s">
        <v>11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 customHeight="1">
      <c r="A99" s="4"/>
    </row>
    <row r="100" spans="1:9" ht="15.75" customHeight="1">
      <c r="B100" s="206" t="s">
        <v>12</v>
      </c>
      <c r="C100" s="247" t="s">
        <v>141</v>
      </c>
      <c r="D100" s="247"/>
      <c r="E100" s="247"/>
      <c r="F100" s="251"/>
      <c r="I100" s="205"/>
    </row>
    <row r="101" spans="1:9" ht="15.75" customHeight="1">
      <c r="A101" s="203"/>
      <c r="C101" s="219" t="s">
        <v>13</v>
      </c>
      <c r="D101" s="219"/>
      <c r="E101" s="219"/>
      <c r="F101" s="36"/>
      <c r="I101" s="204" t="s">
        <v>14</v>
      </c>
    </row>
    <row r="102" spans="1:9" ht="15.75" customHeight="1">
      <c r="A102" s="37"/>
      <c r="C102" s="13"/>
      <c r="D102" s="13"/>
      <c r="G102" s="13"/>
      <c r="H102" s="13"/>
    </row>
    <row r="103" spans="1:9" ht="15.75" customHeight="1">
      <c r="B103" s="206" t="s">
        <v>15</v>
      </c>
      <c r="C103" s="220"/>
      <c r="D103" s="220"/>
      <c r="E103" s="220"/>
      <c r="F103" s="252"/>
      <c r="I103" s="205"/>
    </row>
    <row r="104" spans="1:9" ht="15.75" customHeight="1">
      <c r="A104" s="203"/>
      <c r="C104" s="221" t="s">
        <v>13</v>
      </c>
      <c r="D104" s="221"/>
      <c r="E104" s="221"/>
      <c r="F104" s="203"/>
      <c r="I104" s="204" t="s">
        <v>14</v>
      </c>
    </row>
    <row r="105" spans="1:9" ht="15.75" customHeight="1">
      <c r="A105" s="4" t="s">
        <v>16</v>
      </c>
    </row>
    <row r="106" spans="1:9" ht="15.75" customHeight="1">
      <c r="A106" s="239" t="s">
        <v>17</v>
      </c>
      <c r="B106" s="239"/>
      <c r="C106" s="239"/>
      <c r="D106" s="239"/>
      <c r="E106" s="239"/>
      <c r="F106" s="239"/>
      <c r="G106" s="239"/>
      <c r="H106" s="239"/>
      <c r="I106" s="239"/>
    </row>
    <row r="107" spans="1:9" ht="45" customHeight="1">
      <c r="A107" s="213" t="s">
        <v>18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30" customHeight="1">
      <c r="A108" s="213" t="s">
        <v>19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24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" customHeight="1">
      <c r="A110" s="213" t="s">
        <v>23</v>
      </c>
      <c r="B110" s="213"/>
      <c r="C110" s="213"/>
      <c r="D110" s="213"/>
      <c r="E110" s="213"/>
      <c r="F110" s="213"/>
      <c r="G110" s="213"/>
      <c r="H110" s="213"/>
      <c r="I110" s="213"/>
    </row>
  </sheetData>
  <autoFilter ref="I12:I6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297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113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42521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customHeight="1">
      <c r="A19" s="46">
        <v>4</v>
      </c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f>F19/2*G19</f>
        <v>349.2672</v>
      </c>
      <c r="J19" s="31"/>
      <c r="K19" s="8"/>
      <c r="L19" s="8"/>
      <c r="M19" s="8"/>
    </row>
    <row r="20" spans="1:13" ht="15.75" customHeight="1">
      <c r="A20" s="46">
        <v>5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customHeight="1">
      <c r="A21" s="46">
        <v>6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customHeight="1">
      <c r="A22" s="46">
        <v>7</v>
      </c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f>F22*G22</f>
        <v>2055.1775999999995</v>
      </c>
      <c r="J22" s="31"/>
      <c r="K22" s="8"/>
      <c r="L22" s="8"/>
      <c r="M22" s="8"/>
    </row>
    <row r="23" spans="1:13" ht="15.75" customHeight="1">
      <c r="A23" s="46">
        <v>8</v>
      </c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f t="shared" ref="I23:I25" si="1">F23*G23</f>
        <v>45.730440000000002</v>
      </c>
      <c r="J23" s="31"/>
      <c r="K23" s="8"/>
      <c r="L23" s="8"/>
      <c r="M23" s="8"/>
    </row>
    <row r="24" spans="1:13" ht="15.75" customHeight="1">
      <c r="A24" s="46">
        <v>9</v>
      </c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f t="shared" si="1"/>
        <v>1999.7759999999998</v>
      </c>
      <c r="J24" s="31"/>
      <c r="K24" s="8"/>
      <c r="L24" s="8"/>
      <c r="M24" s="8"/>
    </row>
    <row r="25" spans="1:13" ht="15.75" customHeight="1">
      <c r="A25" s="46">
        <v>10</v>
      </c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f t="shared" si="1"/>
        <v>94.645800000000008</v>
      </c>
      <c r="J25" s="31"/>
      <c r="K25" s="8"/>
      <c r="L25" s="8"/>
      <c r="M25" s="8"/>
    </row>
    <row r="26" spans="1:13" ht="15.75" customHeight="1">
      <c r="A26" s="46">
        <v>11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12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13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14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2">SUM(F31*G31/1000)</f>
        <v>5.6098179072000001</v>
      </c>
      <c r="I31" s="16">
        <f t="shared" ref="I31:I34" si="3">F31/6*G31</f>
        <v>934.96965120000016</v>
      </c>
      <c r="J31" s="31"/>
      <c r="K31" s="8"/>
      <c r="L31" s="8"/>
      <c r="M31" s="8"/>
    </row>
    <row r="32" spans="1:13" ht="15.75" customHeight="1">
      <c r="A32" s="46">
        <v>15</v>
      </c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2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16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3"/>
        <v>2876.5106666666666</v>
      </c>
      <c r="J33" s="31"/>
      <c r="K33" s="8"/>
      <c r="L33" s="8"/>
      <c r="M33" s="8"/>
    </row>
    <row r="34" spans="1:14" ht="15.75" customHeight="1">
      <c r="A34" s="46">
        <v>17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3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2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2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4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4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4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4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4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4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4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customHeight="1">
      <c r="A46" s="46">
        <v>18</v>
      </c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5">SUM(F46*G46/1000)</f>
        <v>3.1090979980000002</v>
      </c>
      <c r="I46" s="16">
        <f t="shared" ref="I46:I49" si="6">F46/2*G46</f>
        <v>1554.5489990000001</v>
      </c>
      <c r="J46" s="32"/>
      <c r="L46" s="25"/>
      <c r="M46" s="26"/>
      <c r="N46" s="27"/>
    </row>
    <row r="47" spans="1:14" ht="15.75" customHeight="1">
      <c r="A47" s="46">
        <v>19</v>
      </c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5"/>
        <v>0.12884767999999999</v>
      </c>
      <c r="I47" s="16">
        <f t="shared" si="6"/>
        <v>64.423839999999998</v>
      </c>
      <c r="J47" s="32"/>
      <c r="L47" s="25"/>
      <c r="M47" s="26"/>
      <c r="N47" s="27"/>
    </row>
    <row r="48" spans="1:14" ht="15.75" customHeight="1">
      <c r="A48" s="46">
        <v>20</v>
      </c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5"/>
        <v>2.4739621804</v>
      </c>
      <c r="I48" s="16">
        <f t="shared" si="6"/>
        <v>1236.9810901999999</v>
      </c>
      <c r="J48" s="32"/>
      <c r="L48" s="25"/>
      <c r="M48" s="26"/>
      <c r="N48" s="27"/>
    </row>
    <row r="49" spans="1:22" ht="15.75" customHeight="1">
      <c r="A49" s="46">
        <v>21</v>
      </c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5"/>
        <v>3.4123004479999999</v>
      </c>
      <c r="I49" s="16">
        <f t="shared" si="6"/>
        <v>1706.150224</v>
      </c>
      <c r="J49" s="32"/>
      <c r="L49" s="25"/>
      <c r="M49" s="26"/>
      <c r="N49" s="27"/>
    </row>
    <row r="50" spans="1:22" ht="15.75" customHeight="1">
      <c r="A50" s="46">
        <v>22</v>
      </c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5"/>
        <v>0.20467249599999998</v>
      </c>
      <c r="I50" s="16">
        <f>F50/2*G50</f>
        <v>102.336248</v>
      </c>
      <c r="J50" s="32"/>
      <c r="L50" s="25"/>
      <c r="M50" s="26"/>
      <c r="N50" s="27"/>
    </row>
    <row r="51" spans="1:22" ht="15.75" customHeight="1">
      <c r="A51" s="46">
        <v>23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5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customHeight="1">
      <c r="A52" s="46">
        <v>24</v>
      </c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5"/>
        <v>7.4526141440000009</v>
      </c>
      <c r="I52" s="16">
        <f>F52/2*G52</f>
        <v>3726.3070720000005</v>
      </c>
      <c r="J52" s="32"/>
      <c r="L52" s="25"/>
      <c r="M52" s="26"/>
      <c r="N52" s="27"/>
    </row>
    <row r="53" spans="1:22" ht="31.5" customHeight="1">
      <c r="A53" s="46">
        <v>25</v>
      </c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5"/>
        <v>2.3351120000000001</v>
      </c>
      <c r="I53" s="16">
        <f t="shared" ref="I53:I54" si="7">F53/2*G53</f>
        <v>1167.556</v>
      </c>
      <c r="J53" s="32"/>
      <c r="L53" s="25"/>
      <c r="M53" s="26"/>
      <c r="N53" s="27"/>
    </row>
    <row r="54" spans="1:22" ht="15.75" customHeight="1">
      <c r="A54" s="46">
        <v>26</v>
      </c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5"/>
        <v>0.1208424</v>
      </c>
      <c r="I54" s="16">
        <f t="shared" si="7"/>
        <v>60.421199999999999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5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27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27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8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8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customHeight="1">
      <c r="A67" s="46">
        <v>28</v>
      </c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8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customHeight="1">
      <c r="A68" s="46">
        <v>29</v>
      </c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8"/>
        <v>4.2603630300000006</v>
      </c>
      <c r="I68" s="16">
        <f t="shared" ref="I68:I72" si="9">F68*G68</f>
        <v>4260.3630300000004</v>
      </c>
    </row>
    <row r="69" spans="1:21" ht="15.75" customHeight="1">
      <c r="A69" s="46">
        <v>30</v>
      </c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8"/>
        <v>60.545394000000009</v>
      </c>
      <c r="I69" s="16">
        <f t="shared" si="9"/>
        <v>60545.394000000008</v>
      </c>
    </row>
    <row r="70" spans="1:21" ht="15.75" customHeight="1">
      <c r="A70" s="46">
        <v>31</v>
      </c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8"/>
        <v>0.98141000000000012</v>
      </c>
      <c r="I70" s="16">
        <f t="shared" si="9"/>
        <v>981.41000000000008</v>
      </c>
    </row>
    <row r="71" spans="1:21" ht="15.75" customHeight="1">
      <c r="A71" s="46">
        <v>32</v>
      </c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8"/>
        <v>0.91563000000000005</v>
      </c>
      <c r="I71" s="16">
        <f t="shared" si="9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8"/>
        <v>0.53320000000000001</v>
      </c>
      <c r="I72" s="16">
        <f t="shared" si="9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8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8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33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34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I16+I17+I18+I19+I20+I21+I22+I23+I24+I25+I26+I27+I30+I31+I32+I33+I34+I46+I47+I48+I49+I50+I51+I52+I53+I54+I61+I67+I68+I69+I70+I71+I82+I83</f>
        <v>215280.72858889998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35</v>
      </c>
      <c r="B86" s="139" t="s">
        <v>266</v>
      </c>
      <c r="C86" s="202" t="s">
        <v>148</v>
      </c>
      <c r="D86" s="82"/>
      <c r="E86" s="16"/>
      <c r="F86" s="16">
        <v>2</v>
      </c>
      <c r="G86" s="16">
        <v>476.76</v>
      </c>
      <c r="H86" s="272">
        <f t="shared" ref="H86:H103" si="10">G86*F86/1000</f>
        <v>0.95352000000000003</v>
      </c>
      <c r="I86" s="16">
        <f>G86</f>
        <v>476.76</v>
      </c>
    </row>
    <row r="87" spans="1:9" ht="15.75" customHeight="1">
      <c r="A87" s="46">
        <v>36</v>
      </c>
      <c r="B87" s="139" t="s">
        <v>267</v>
      </c>
      <c r="C87" s="202" t="s">
        <v>268</v>
      </c>
      <c r="D87" s="82"/>
      <c r="E87" s="16"/>
      <c r="F87" s="16">
        <v>0.5</v>
      </c>
      <c r="G87" s="16">
        <v>164</v>
      </c>
      <c r="H87" s="272">
        <f t="shared" si="10"/>
        <v>8.2000000000000003E-2</v>
      </c>
      <c r="I87" s="16">
        <f>G87*0.5</f>
        <v>82</v>
      </c>
    </row>
    <row r="88" spans="1:9" ht="15.75" customHeight="1">
      <c r="A88" s="46">
        <v>37</v>
      </c>
      <c r="B88" s="139" t="s">
        <v>112</v>
      </c>
      <c r="C88" s="202" t="s">
        <v>219</v>
      </c>
      <c r="D88" s="82"/>
      <c r="E88" s="16"/>
      <c r="F88" s="16">
        <v>3</v>
      </c>
      <c r="G88" s="16">
        <v>180.15</v>
      </c>
      <c r="H88" s="272">
        <f t="shared" si="10"/>
        <v>0.5404500000000001</v>
      </c>
      <c r="I88" s="16">
        <f>G88</f>
        <v>180.15</v>
      </c>
    </row>
    <row r="89" spans="1:9" ht="15.75" hidden="1" customHeight="1">
      <c r="A89" s="46"/>
      <c r="B89" s="139" t="s">
        <v>269</v>
      </c>
      <c r="C89" s="202" t="s">
        <v>148</v>
      </c>
      <c r="D89" s="82"/>
      <c r="E89" s="16"/>
      <c r="F89" s="16">
        <v>1</v>
      </c>
      <c r="G89" s="16">
        <v>174.63</v>
      </c>
      <c r="H89" s="272">
        <f>G89*F89/1000</f>
        <v>0.17463000000000001</v>
      </c>
      <c r="I89" s="16">
        <v>0</v>
      </c>
    </row>
    <row r="90" spans="1:9" ht="15.75" hidden="1" customHeight="1">
      <c r="A90" s="46"/>
      <c r="B90" s="139" t="s">
        <v>270</v>
      </c>
      <c r="C90" s="202" t="s">
        <v>148</v>
      </c>
      <c r="D90" s="82"/>
      <c r="E90" s="16"/>
      <c r="F90" s="16">
        <v>3</v>
      </c>
      <c r="G90" s="16">
        <v>267.58</v>
      </c>
      <c r="H90" s="272">
        <f>G90*F90/1000</f>
        <v>0.80274000000000001</v>
      </c>
      <c r="I90" s="16">
        <v>0</v>
      </c>
    </row>
    <row r="91" spans="1:9" ht="31.5" hidden="1" customHeight="1">
      <c r="A91" s="46"/>
      <c r="B91" s="139" t="s">
        <v>106</v>
      </c>
      <c r="C91" s="202" t="s">
        <v>219</v>
      </c>
      <c r="D91" s="82"/>
      <c r="E91" s="16"/>
      <c r="F91" s="16">
        <v>7</v>
      </c>
      <c r="G91" s="16">
        <v>79.09</v>
      </c>
      <c r="H91" s="272">
        <f t="shared" si="10"/>
        <v>0.55362999999999996</v>
      </c>
      <c r="I91" s="16">
        <v>0</v>
      </c>
    </row>
    <row r="92" spans="1:9" ht="31.5" hidden="1" customHeight="1">
      <c r="A92" s="46"/>
      <c r="B92" s="139" t="s">
        <v>271</v>
      </c>
      <c r="C92" s="202" t="s">
        <v>35</v>
      </c>
      <c r="D92" s="82"/>
      <c r="E92" s="16"/>
      <c r="F92" s="21">
        <f>4/1000</f>
        <v>4.0000000000000001E-3</v>
      </c>
      <c r="G92" s="16">
        <v>1510.06</v>
      </c>
      <c r="H92" s="272">
        <f t="shared" si="10"/>
        <v>6.0402399999999997E-3</v>
      </c>
      <c r="I92" s="16">
        <v>0</v>
      </c>
    </row>
    <row r="93" spans="1:9" ht="15.75" hidden="1" customHeight="1">
      <c r="A93" s="46"/>
      <c r="B93" s="139" t="s">
        <v>272</v>
      </c>
      <c r="C93" s="202" t="s">
        <v>273</v>
      </c>
      <c r="D93" s="82"/>
      <c r="E93" s="16"/>
      <c r="F93" s="16">
        <f>1/100</f>
        <v>0.01</v>
      </c>
      <c r="G93" s="16">
        <v>7033.13</v>
      </c>
      <c r="H93" s="272">
        <f t="shared" si="10"/>
        <v>7.0331299999999999E-2</v>
      </c>
      <c r="I93" s="16">
        <v>0</v>
      </c>
    </row>
    <row r="94" spans="1:9" ht="31.5" hidden="1" customHeight="1">
      <c r="A94" s="46"/>
      <c r="B94" s="139" t="s">
        <v>274</v>
      </c>
      <c r="C94" s="202" t="s">
        <v>49</v>
      </c>
      <c r="D94" s="82"/>
      <c r="E94" s="16"/>
      <c r="F94" s="16">
        <f>4/100</f>
        <v>0.04</v>
      </c>
      <c r="G94" s="16">
        <v>3397.65</v>
      </c>
      <c r="H94" s="272">
        <f t="shared" si="10"/>
        <v>0.135906</v>
      </c>
      <c r="I94" s="16">
        <v>0</v>
      </c>
    </row>
    <row r="95" spans="1:9" ht="15.75" hidden="1" customHeight="1">
      <c r="A95" s="46"/>
      <c r="B95" s="139" t="s">
        <v>275</v>
      </c>
      <c r="C95" s="202" t="s">
        <v>276</v>
      </c>
      <c r="D95" s="82"/>
      <c r="E95" s="16"/>
      <c r="F95" s="16">
        <v>1</v>
      </c>
      <c r="G95" s="16">
        <v>29624</v>
      </c>
      <c r="H95" s="272">
        <f t="shared" si="10"/>
        <v>29.623999999999999</v>
      </c>
      <c r="I95" s="16">
        <v>0</v>
      </c>
    </row>
    <row r="96" spans="1:9" ht="15.75" hidden="1" customHeight="1">
      <c r="A96" s="46"/>
      <c r="B96" s="139" t="s">
        <v>277</v>
      </c>
      <c r="C96" s="202" t="s">
        <v>276</v>
      </c>
      <c r="D96" s="82"/>
      <c r="E96" s="16"/>
      <c r="F96" s="16">
        <v>1</v>
      </c>
      <c r="G96" s="16">
        <v>59761</v>
      </c>
      <c r="H96" s="272">
        <f t="shared" si="10"/>
        <v>59.761000000000003</v>
      </c>
      <c r="I96" s="16">
        <v>0</v>
      </c>
    </row>
    <row r="97" spans="1:9" ht="31.5" hidden="1" customHeight="1">
      <c r="A97" s="46"/>
      <c r="B97" s="139" t="s">
        <v>278</v>
      </c>
      <c r="C97" s="202" t="s">
        <v>162</v>
      </c>
      <c r="D97" s="82"/>
      <c r="E97" s="16"/>
      <c r="F97" s="16">
        <f>75/10</f>
        <v>7.5</v>
      </c>
      <c r="G97" s="16">
        <v>5641.28</v>
      </c>
      <c r="H97" s="272">
        <f t="shared" si="10"/>
        <v>42.309599999999996</v>
      </c>
      <c r="I97" s="16">
        <v>0</v>
      </c>
    </row>
    <row r="98" spans="1:9" ht="15.75" hidden="1" customHeight="1">
      <c r="A98" s="46"/>
      <c r="B98" s="210" t="s">
        <v>144</v>
      </c>
      <c r="C98" s="211" t="s">
        <v>145</v>
      </c>
      <c r="D98" s="82"/>
      <c r="E98" s="16"/>
      <c r="F98" s="16">
        <v>4</v>
      </c>
      <c r="G98" s="16">
        <v>1063.47</v>
      </c>
      <c r="H98" s="272">
        <f t="shared" si="10"/>
        <v>4.2538800000000005</v>
      </c>
      <c r="I98" s="16">
        <v>0</v>
      </c>
    </row>
    <row r="99" spans="1:9" ht="31.5" hidden="1" customHeight="1">
      <c r="A99" s="46"/>
      <c r="B99" s="139" t="s">
        <v>237</v>
      </c>
      <c r="C99" s="202" t="s">
        <v>109</v>
      </c>
      <c r="D99" s="82"/>
      <c r="E99" s="16"/>
      <c r="F99" s="16">
        <v>4</v>
      </c>
      <c r="G99" s="16">
        <v>1639</v>
      </c>
      <c r="H99" s="272">
        <f t="shared" si="10"/>
        <v>6.556</v>
      </c>
      <c r="I99" s="16">
        <v>0</v>
      </c>
    </row>
    <row r="100" spans="1:9" ht="15.75" hidden="1" customHeight="1">
      <c r="A100" s="46"/>
      <c r="B100" s="139" t="s">
        <v>147</v>
      </c>
      <c r="C100" s="202" t="s">
        <v>148</v>
      </c>
      <c r="D100" s="82"/>
      <c r="E100" s="16"/>
      <c r="F100" s="16">
        <v>2</v>
      </c>
      <c r="G100" s="16">
        <v>195.95</v>
      </c>
      <c r="H100" s="272">
        <f t="shared" si="10"/>
        <v>0.39189999999999997</v>
      </c>
      <c r="I100" s="16">
        <v>0</v>
      </c>
    </row>
    <row r="101" spans="1:9" ht="31.5" hidden="1" customHeight="1">
      <c r="A101" s="46"/>
      <c r="B101" s="139" t="s">
        <v>279</v>
      </c>
      <c r="C101" s="202" t="s">
        <v>109</v>
      </c>
      <c r="D101" s="82"/>
      <c r="E101" s="16"/>
      <c r="F101" s="16">
        <v>1</v>
      </c>
      <c r="G101" s="16">
        <v>513.99</v>
      </c>
      <c r="H101" s="272">
        <f t="shared" si="10"/>
        <v>0.51399000000000006</v>
      </c>
      <c r="I101" s="16">
        <v>0</v>
      </c>
    </row>
    <row r="102" spans="1:9" ht="15.75" hidden="1" customHeight="1">
      <c r="A102" s="46"/>
      <c r="B102" s="210" t="s">
        <v>241</v>
      </c>
      <c r="C102" s="211" t="s">
        <v>145</v>
      </c>
      <c r="D102" s="82"/>
      <c r="E102" s="16"/>
      <c r="F102" s="16">
        <v>3</v>
      </c>
      <c r="G102" s="16">
        <v>1063.47</v>
      </c>
      <c r="H102" s="272">
        <f t="shared" si="10"/>
        <v>3.19041</v>
      </c>
      <c r="I102" s="16">
        <v>0</v>
      </c>
    </row>
    <row r="103" spans="1:9" ht="31.5" hidden="1" customHeight="1">
      <c r="A103" s="46"/>
      <c r="B103" s="139" t="s">
        <v>240</v>
      </c>
      <c r="C103" s="202" t="s">
        <v>148</v>
      </c>
      <c r="D103" s="82"/>
      <c r="E103" s="16"/>
      <c r="F103" s="16">
        <v>1</v>
      </c>
      <c r="G103" s="16">
        <v>625.07000000000005</v>
      </c>
      <c r="H103" s="272">
        <f t="shared" si="10"/>
        <v>0.62507000000000001</v>
      </c>
      <c r="I103" s="16">
        <v>0</v>
      </c>
    </row>
    <row r="104" spans="1:9" ht="15.75" customHeight="1">
      <c r="A104" s="46"/>
      <c r="B104" s="76" t="s">
        <v>66</v>
      </c>
      <c r="C104" s="72"/>
      <c r="D104" s="125"/>
      <c r="E104" s="72">
        <v>1</v>
      </c>
      <c r="F104" s="72"/>
      <c r="G104" s="72"/>
      <c r="H104" s="72"/>
      <c r="I104" s="54">
        <f>SUM(I86:I103)</f>
        <v>738.91</v>
      </c>
    </row>
    <row r="105" spans="1:9" ht="15.75" customHeight="1">
      <c r="A105" s="46"/>
      <c r="B105" s="82" t="s">
        <v>103</v>
      </c>
      <c r="C105" s="19"/>
      <c r="D105" s="19"/>
      <c r="E105" s="73"/>
      <c r="F105" s="73"/>
      <c r="G105" s="74"/>
      <c r="H105" s="74"/>
      <c r="I105" s="22">
        <v>0</v>
      </c>
    </row>
    <row r="106" spans="1:9" ht="15.75" customHeight="1">
      <c r="A106" s="126"/>
      <c r="B106" s="77" t="s">
        <v>67</v>
      </c>
      <c r="C106" s="60"/>
      <c r="D106" s="60"/>
      <c r="E106" s="60"/>
      <c r="F106" s="60"/>
      <c r="G106" s="60"/>
      <c r="H106" s="60"/>
      <c r="I106" s="75">
        <f>I84+I104</f>
        <v>216019.63858889998</v>
      </c>
    </row>
    <row r="107" spans="1:9" ht="15.75" customHeight="1">
      <c r="A107" s="234" t="s">
        <v>298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.75" customHeight="1">
      <c r="A108" s="209"/>
      <c r="B108" s="235" t="s">
        <v>299</v>
      </c>
      <c r="C108" s="235"/>
      <c r="D108" s="235"/>
      <c r="E108" s="235"/>
      <c r="F108" s="235"/>
      <c r="G108" s="235"/>
      <c r="H108" s="253"/>
      <c r="I108" s="3"/>
    </row>
    <row r="109" spans="1:9" ht="15.75" customHeight="1">
      <c r="A109" s="203"/>
      <c r="B109" s="219" t="s">
        <v>7</v>
      </c>
      <c r="C109" s="219"/>
      <c r="D109" s="219"/>
      <c r="E109" s="219"/>
      <c r="F109" s="219"/>
      <c r="G109" s="219"/>
      <c r="H109" s="36"/>
      <c r="I109" s="5"/>
    </row>
    <row r="110" spans="1:9" ht="15.75" customHeight="1">
      <c r="A110" s="11"/>
      <c r="B110" s="11"/>
      <c r="C110" s="11"/>
      <c r="D110" s="11"/>
      <c r="E110" s="11"/>
      <c r="F110" s="11"/>
      <c r="G110" s="11"/>
      <c r="H110" s="11"/>
      <c r="I110" s="11"/>
    </row>
    <row r="111" spans="1:9" ht="15.75" customHeight="1">
      <c r="A111" s="236" t="s">
        <v>8</v>
      </c>
      <c r="B111" s="236"/>
      <c r="C111" s="236"/>
      <c r="D111" s="236"/>
      <c r="E111" s="236"/>
      <c r="F111" s="236"/>
      <c r="G111" s="236"/>
      <c r="H111" s="236"/>
      <c r="I111" s="236"/>
    </row>
    <row r="112" spans="1:9" ht="15.75" customHeight="1">
      <c r="A112" s="236" t="s">
        <v>9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15.75" customHeight="1">
      <c r="A113" s="237" t="s">
        <v>82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15.75" customHeight="1">
      <c r="A114" s="12"/>
    </row>
    <row r="115" spans="1:9" ht="15.75" customHeight="1">
      <c r="A115" s="238" t="s">
        <v>11</v>
      </c>
      <c r="B115" s="238"/>
      <c r="C115" s="238"/>
      <c r="D115" s="238"/>
      <c r="E115" s="238"/>
      <c r="F115" s="238"/>
      <c r="G115" s="238"/>
      <c r="H115" s="238"/>
      <c r="I115" s="238"/>
    </row>
    <row r="116" spans="1:9" ht="15.75" customHeight="1">
      <c r="A116" s="4"/>
    </row>
    <row r="117" spans="1:9" ht="15.75" customHeight="1">
      <c r="B117" s="206" t="s">
        <v>12</v>
      </c>
      <c r="C117" s="247" t="s">
        <v>141</v>
      </c>
      <c r="D117" s="247"/>
      <c r="E117" s="247"/>
      <c r="F117" s="251"/>
      <c r="I117" s="205"/>
    </row>
    <row r="118" spans="1:9" ht="15.75" customHeight="1">
      <c r="A118" s="203"/>
      <c r="C118" s="219" t="s">
        <v>13</v>
      </c>
      <c r="D118" s="219"/>
      <c r="E118" s="219"/>
      <c r="F118" s="36"/>
      <c r="I118" s="204" t="s">
        <v>14</v>
      </c>
    </row>
    <row r="119" spans="1:9" ht="15.75" customHeight="1">
      <c r="A119" s="37"/>
      <c r="C119" s="13"/>
      <c r="D119" s="13"/>
      <c r="G119" s="13"/>
      <c r="H119" s="13"/>
    </row>
    <row r="120" spans="1:9" ht="15.75" customHeight="1">
      <c r="B120" s="206" t="s">
        <v>15</v>
      </c>
      <c r="C120" s="220"/>
      <c r="D120" s="220"/>
      <c r="E120" s="220"/>
      <c r="F120" s="252"/>
      <c r="I120" s="205"/>
    </row>
    <row r="121" spans="1:9" ht="15.75" customHeight="1">
      <c r="A121" s="203"/>
      <c r="C121" s="221" t="s">
        <v>13</v>
      </c>
      <c r="D121" s="221"/>
      <c r="E121" s="221"/>
      <c r="F121" s="203"/>
      <c r="I121" s="204" t="s">
        <v>14</v>
      </c>
    </row>
    <row r="122" spans="1:9" ht="15.75" customHeight="1">
      <c r="A122" s="4" t="s">
        <v>16</v>
      </c>
    </row>
    <row r="123" spans="1:9" ht="15.75" customHeight="1">
      <c r="A123" s="239" t="s">
        <v>17</v>
      </c>
      <c r="B123" s="239"/>
      <c r="C123" s="239"/>
      <c r="D123" s="239"/>
      <c r="E123" s="239"/>
      <c r="F123" s="239"/>
      <c r="G123" s="239"/>
      <c r="H123" s="239"/>
      <c r="I123" s="239"/>
    </row>
    <row r="124" spans="1:9" ht="45" customHeight="1">
      <c r="A124" s="213" t="s">
        <v>18</v>
      </c>
      <c r="B124" s="213"/>
      <c r="C124" s="213"/>
      <c r="D124" s="213"/>
      <c r="E124" s="213"/>
      <c r="F124" s="213"/>
      <c r="G124" s="213"/>
      <c r="H124" s="213"/>
      <c r="I124" s="213"/>
    </row>
    <row r="125" spans="1:9" ht="30" customHeight="1">
      <c r="A125" s="213" t="s">
        <v>19</v>
      </c>
      <c r="B125" s="213"/>
      <c r="C125" s="213"/>
      <c r="D125" s="213"/>
      <c r="E125" s="213"/>
      <c r="F125" s="213"/>
      <c r="G125" s="213"/>
      <c r="H125" s="213"/>
      <c r="I125" s="213"/>
    </row>
    <row r="126" spans="1:9" ht="30" customHeight="1">
      <c r="A126" s="213" t="s">
        <v>24</v>
      </c>
      <c r="B126" s="213"/>
      <c r="C126" s="213"/>
      <c r="D126" s="213"/>
      <c r="E126" s="213"/>
      <c r="F126" s="213"/>
      <c r="G126" s="213"/>
      <c r="H126" s="213"/>
      <c r="I126" s="213"/>
    </row>
    <row r="127" spans="1:9" ht="15" customHeight="1">
      <c r="A127" s="213" t="s">
        <v>23</v>
      </c>
      <c r="B127" s="213"/>
      <c r="C127" s="213"/>
      <c r="D127" s="213"/>
      <c r="E127" s="213"/>
      <c r="F127" s="213"/>
      <c r="G127" s="213"/>
      <c r="H127" s="213"/>
      <c r="I127" s="213"/>
    </row>
  </sheetData>
  <autoFilter ref="I12:I62"/>
  <mergeCells count="28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07:I107"/>
    <mergeCell ref="B108:G108"/>
    <mergeCell ref="B109:G109"/>
    <mergeCell ref="A111:I111"/>
    <mergeCell ref="A112:I112"/>
    <mergeCell ref="A113:I113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300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75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42551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hidden="1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5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6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290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11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customHeight="1">
      <c r="A74" s="46">
        <v>12</v>
      </c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f>G74*2.9</f>
        <v>1555.067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291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13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14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SUM(I16+I17+I18+I20+I26+I27+I30+I31+I33+I34+I61+I74+I82+I83)</f>
        <v>74785.725136199995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31.5" customHeight="1">
      <c r="A86" s="46">
        <v>15</v>
      </c>
      <c r="B86" s="139" t="s">
        <v>139</v>
      </c>
      <c r="C86" s="202" t="s">
        <v>148</v>
      </c>
      <c r="D86" s="82"/>
      <c r="E86" s="16"/>
      <c r="F86" s="16">
        <v>9</v>
      </c>
      <c r="G86" s="16">
        <v>559.62</v>
      </c>
      <c r="H86" s="272">
        <f t="shared" ref="H86:H98" si="7">G86*F86/1000</f>
        <v>5.0365799999999998</v>
      </c>
      <c r="I86" s="16">
        <f>G86*3</f>
        <v>1678.8600000000001</v>
      </c>
    </row>
    <row r="87" spans="1:9" ht="31.5" customHeight="1">
      <c r="A87" s="46">
        <v>16</v>
      </c>
      <c r="B87" s="139" t="s">
        <v>255</v>
      </c>
      <c r="C87" s="202" t="s">
        <v>148</v>
      </c>
      <c r="D87" s="82"/>
      <c r="E87" s="16"/>
      <c r="F87" s="16">
        <v>4</v>
      </c>
      <c r="G87" s="16">
        <v>762.37</v>
      </c>
      <c r="H87" s="272">
        <f>G87*F87/1000</f>
        <v>3.04948</v>
      </c>
      <c r="I87" s="16">
        <f>G87</f>
        <v>762.37</v>
      </c>
    </row>
    <row r="88" spans="1:9" ht="31.5" customHeight="1">
      <c r="A88" s="46">
        <v>17</v>
      </c>
      <c r="B88" s="139" t="s">
        <v>262</v>
      </c>
      <c r="C88" s="202" t="s">
        <v>219</v>
      </c>
      <c r="D88" s="82"/>
      <c r="E88" s="16"/>
      <c r="F88" s="16">
        <v>2</v>
      </c>
      <c r="G88" s="16">
        <v>2179.33</v>
      </c>
      <c r="H88" s="272">
        <f t="shared" si="7"/>
        <v>4.3586599999999995</v>
      </c>
      <c r="I88" s="16">
        <f>G88</f>
        <v>2179.33</v>
      </c>
    </row>
    <row r="89" spans="1:9" ht="15.75" customHeight="1">
      <c r="A89" s="46">
        <v>18</v>
      </c>
      <c r="B89" s="139" t="s">
        <v>112</v>
      </c>
      <c r="C89" s="202" t="s">
        <v>219</v>
      </c>
      <c r="D89" s="82"/>
      <c r="E89" s="16"/>
      <c r="F89" s="16">
        <v>3</v>
      </c>
      <c r="G89" s="16">
        <v>180.15</v>
      </c>
      <c r="H89" s="272">
        <f>G89*F89/1000</f>
        <v>0.5404500000000001</v>
      </c>
      <c r="I89" s="16">
        <f>G89*2</f>
        <v>360.3</v>
      </c>
    </row>
    <row r="90" spans="1:9" ht="15.75" customHeight="1">
      <c r="A90" s="46">
        <v>19</v>
      </c>
      <c r="B90" s="139" t="s">
        <v>269</v>
      </c>
      <c r="C90" s="202" t="s">
        <v>148</v>
      </c>
      <c r="D90" s="82"/>
      <c r="E90" s="16"/>
      <c r="F90" s="16">
        <v>1</v>
      </c>
      <c r="G90" s="16">
        <v>174.63</v>
      </c>
      <c r="H90" s="272">
        <f t="shared" si="7"/>
        <v>0.17463000000000001</v>
      </c>
      <c r="I90" s="16">
        <f>G90</f>
        <v>174.63</v>
      </c>
    </row>
    <row r="91" spans="1:9" ht="15.75" customHeight="1">
      <c r="A91" s="46">
        <v>20</v>
      </c>
      <c r="B91" s="139" t="s">
        <v>270</v>
      </c>
      <c r="C91" s="202" t="s">
        <v>148</v>
      </c>
      <c r="D91" s="82"/>
      <c r="E91" s="16"/>
      <c r="F91" s="16">
        <v>3</v>
      </c>
      <c r="G91" s="16">
        <v>267.58</v>
      </c>
      <c r="H91" s="272">
        <f t="shared" si="7"/>
        <v>0.80274000000000001</v>
      </c>
      <c r="I91" s="16">
        <f>G91*3</f>
        <v>802.74</v>
      </c>
    </row>
    <row r="92" spans="1:9" ht="31.5" customHeight="1">
      <c r="A92" s="46">
        <v>21</v>
      </c>
      <c r="B92" s="139" t="s">
        <v>106</v>
      </c>
      <c r="C92" s="202" t="s">
        <v>219</v>
      </c>
      <c r="D92" s="82"/>
      <c r="E92" s="16"/>
      <c r="F92" s="16">
        <v>7</v>
      </c>
      <c r="G92" s="16">
        <v>79.09</v>
      </c>
      <c r="H92" s="272">
        <f t="shared" si="7"/>
        <v>0.55362999999999996</v>
      </c>
      <c r="I92" s="16">
        <f>G92*5</f>
        <v>395.45000000000005</v>
      </c>
    </row>
    <row r="93" spans="1:9" ht="31.5" customHeight="1">
      <c r="A93" s="46">
        <v>22</v>
      </c>
      <c r="B93" s="139" t="s">
        <v>271</v>
      </c>
      <c r="C93" s="202" t="s">
        <v>35</v>
      </c>
      <c r="D93" s="82"/>
      <c r="E93" s="16"/>
      <c r="F93" s="21">
        <f>4/1000</f>
        <v>4.0000000000000001E-3</v>
      </c>
      <c r="G93" s="16">
        <v>1510.06</v>
      </c>
      <c r="H93" s="272">
        <f t="shared" si="7"/>
        <v>6.0402399999999997E-3</v>
      </c>
      <c r="I93" s="16">
        <f>G93*0.004</f>
        <v>6.0402399999999998</v>
      </c>
    </row>
    <row r="94" spans="1:9" ht="15.75" customHeight="1">
      <c r="A94" s="46">
        <v>23</v>
      </c>
      <c r="B94" s="139" t="s">
        <v>272</v>
      </c>
      <c r="C94" s="202" t="s">
        <v>273</v>
      </c>
      <c r="D94" s="82"/>
      <c r="E94" s="16"/>
      <c r="F94" s="16">
        <f>1/100</f>
        <v>0.01</v>
      </c>
      <c r="G94" s="16">
        <v>7033.13</v>
      </c>
      <c r="H94" s="272">
        <f t="shared" si="7"/>
        <v>7.0331299999999999E-2</v>
      </c>
      <c r="I94" s="16">
        <f>G94*0.01</f>
        <v>70.331299999999999</v>
      </c>
    </row>
    <row r="95" spans="1:9" ht="31.5" customHeight="1">
      <c r="A95" s="46">
        <v>24</v>
      </c>
      <c r="B95" s="139" t="s">
        <v>274</v>
      </c>
      <c r="C95" s="202" t="s">
        <v>49</v>
      </c>
      <c r="D95" s="82"/>
      <c r="E95" s="16"/>
      <c r="F95" s="16">
        <f>4/100</f>
        <v>0.04</v>
      </c>
      <c r="G95" s="16">
        <v>3397.65</v>
      </c>
      <c r="H95" s="272">
        <f t="shared" si="7"/>
        <v>0.135906</v>
      </c>
      <c r="I95" s="16">
        <f>G95*0.03</f>
        <v>101.9295</v>
      </c>
    </row>
    <row r="96" spans="1:9" ht="15.75" customHeight="1">
      <c r="A96" s="46">
        <v>25</v>
      </c>
      <c r="B96" s="139" t="s">
        <v>275</v>
      </c>
      <c r="C96" s="202" t="s">
        <v>276</v>
      </c>
      <c r="D96" s="82"/>
      <c r="E96" s="16"/>
      <c r="F96" s="16">
        <v>1</v>
      </c>
      <c r="G96" s="16">
        <v>29624</v>
      </c>
      <c r="H96" s="272">
        <f t="shared" si="7"/>
        <v>29.623999999999999</v>
      </c>
      <c r="I96" s="16">
        <f>G96</f>
        <v>29624</v>
      </c>
    </row>
    <row r="97" spans="1:9" ht="15.75" customHeight="1">
      <c r="A97" s="46">
        <v>26</v>
      </c>
      <c r="B97" s="139" t="s">
        <v>277</v>
      </c>
      <c r="C97" s="202" t="s">
        <v>276</v>
      </c>
      <c r="D97" s="82"/>
      <c r="E97" s="16"/>
      <c r="F97" s="16">
        <v>1</v>
      </c>
      <c r="G97" s="16">
        <v>59761</v>
      </c>
      <c r="H97" s="272">
        <f t="shared" si="7"/>
        <v>59.761000000000003</v>
      </c>
      <c r="I97" s="16">
        <f>G97</f>
        <v>59761</v>
      </c>
    </row>
    <row r="98" spans="1:9" ht="31.5" customHeight="1">
      <c r="A98" s="46">
        <v>27</v>
      </c>
      <c r="B98" s="139" t="s">
        <v>278</v>
      </c>
      <c r="C98" s="202" t="s">
        <v>162</v>
      </c>
      <c r="D98" s="82"/>
      <c r="E98" s="16"/>
      <c r="F98" s="16">
        <f>75/10</f>
        <v>7.5</v>
      </c>
      <c r="G98" s="16">
        <v>5641.28</v>
      </c>
      <c r="H98" s="272">
        <f t="shared" si="7"/>
        <v>42.309599999999996</v>
      </c>
      <c r="I98" s="16">
        <f>G98*7.5</f>
        <v>42309.599999999999</v>
      </c>
    </row>
    <row r="99" spans="1:9" ht="15.75" customHeight="1">
      <c r="A99" s="46"/>
      <c r="B99" s="76" t="s">
        <v>66</v>
      </c>
      <c r="C99" s="72"/>
      <c r="D99" s="125"/>
      <c r="E99" s="72">
        <v>1</v>
      </c>
      <c r="F99" s="72"/>
      <c r="G99" s="72"/>
      <c r="H99" s="72"/>
      <c r="I99" s="54">
        <f>SUM(I86:I98)</f>
        <v>138226.58103999999</v>
      </c>
    </row>
    <row r="100" spans="1:9" ht="15.75" customHeight="1">
      <c r="A100" s="46"/>
      <c r="B100" s="82" t="s">
        <v>103</v>
      </c>
      <c r="C100" s="19"/>
      <c r="D100" s="19"/>
      <c r="E100" s="73"/>
      <c r="F100" s="73"/>
      <c r="G100" s="74"/>
      <c r="H100" s="74"/>
      <c r="I100" s="22">
        <v>0</v>
      </c>
    </row>
    <row r="101" spans="1:9" ht="15.75" customHeight="1">
      <c r="A101" s="126"/>
      <c r="B101" s="77" t="s">
        <v>67</v>
      </c>
      <c r="C101" s="60"/>
      <c r="D101" s="60"/>
      <c r="E101" s="60"/>
      <c r="F101" s="60"/>
      <c r="G101" s="60"/>
      <c r="H101" s="60"/>
      <c r="I101" s="75">
        <f>I84+I99</f>
        <v>213012.30617619999</v>
      </c>
    </row>
    <row r="102" spans="1:9" ht="15.75" customHeight="1">
      <c r="A102" s="234" t="s">
        <v>301</v>
      </c>
      <c r="B102" s="234"/>
      <c r="C102" s="234"/>
      <c r="D102" s="234"/>
      <c r="E102" s="234"/>
      <c r="F102" s="234"/>
      <c r="G102" s="234"/>
      <c r="H102" s="234"/>
      <c r="I102" s="234"/>
    </row>
    <row r="103" spans="1:9" ht="15.75" customHeight="1">
      <c r="A103" s="209"/>
      <c r="B103" s="235" t="s">
        <v>302</v>
      </c>
      <c r="C103" s="235"/>
      <c r="D103" s="235"/>
      <c r="E103" s="235"/>
      <c r="F103" s="235"/>
      <c r="G103" s="235"/>
      <c r="H103" s="253"/>
      <c r="I103" s="3"/>
    </row>
    <row r="104" spans="1:9" ht="15.75" customHeight="1">
      <c r="A104" s="203"/>
      <c r="B104" s="219" t="s">
        <v>7</v>
      </c>
      <c r="C104" s="219"/>
      <c r="D104" s="219"/>
      <c r="E104" s="219"/>
      <c r="F104" s="219"/>
      <c r="G104" s="219"/>
      <c r="H104" s="36"/>
      <c r="I104" s="5"/>
    </row>
    <row r="105" spans="1:9" ht="15.75" customHeight="1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ht="15.75" customHeight="1">
      <c r="A106" s="236" t="s">
        <v>8</v>
      </c>
      <c r="B106" s="236"/>
      <c r="C106" s="236"/>
      <c r="D106" s="236"/>
      <c r="E106" s="236"/>
      <c r="F106" s="236"/>
      <c r="G106" s="236"/>
      <c r="H106" s="236"/>
      <c r="I106" s="236"/>
    </row>
    <row r="107" spans="1:9" ht="15.75" customHeight="1">
      <c r="A107" s="236" t="s">
        <v>9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 customHeight="1">
      <c r="A108" s="237" t="s">
        <v>82</v>
      </c>
      <c r="B108" s="237"/>
      <c r="C108" s="237"/>
      <c r="D108" s="237"/>
      <c r="E108" s="237"/>
      <c r="F108" s="237"/>
      <c r="G108" s="237"/>
      <c r="H108" s="237"/>
      <c r="I108" s="237"/>
    </row>
    <row r="109" spans="1:9" ht="15.75" customHeight="1">
      <c r="A109" s="12"/>
    </row>
    <row r="110" spans="1:9" ht="15.75" customHeight="1">
      <c r="A110" s="238" t="s">
        <v>11</v>
      </c>
      <c r="B110" s="238"/>
      <c r="C110" s="238"/>
      <c r="D110" s="238"/>
      <c r="E110" s="238"/>
      <c r="F110" s="238"/>
      <c r="G110" s="238"/>
      <c r="H110" s="238"/>
      <c r="I110" s="238"/>
    </row>
    <row r="111" spans="1:9" ht="15.75" customHeight="1">
      <c r="A111" s="4"/>
    </row>
    <row r="112" spans="1:9" ht="15.75" customHeight="1">
      <c r="B112" s="206" t="s">
        <v>12</v>
      </c>
      <c r="C112" s="247" t="s">
        <v>141</v>
      </c>
      <c r="D112" s="247"/>
      <c r="E112" s="247"/>
      <c r="F112" s="251"/>
      <c r="I112" s="205"/>
    </row>
    <row r="113" spans="1:9" ht="15.75" customHeight="1">
      <c r="A113" s="203"/>
      <c r="C113" s="219" t="s">
        <v>13</v>
      </c>
      <c r="D113" s="219"/>
      <c r="E113" s="219"/>
      <c r="F113" s="36"/>
      <c r="I113" s="204" t="s">
        <v>14</v>
      </c>
    </row>
    <row r="114" spans="1:9" ht="15.75" customHeight="1">
      <c r="A114" s="37"/>
      <c r="C114" s="13"/>
      <c r="D114" s="13"/>
      <c r="G114" s="13"/>
      <c r="H114" s="13"/>
    </row>
    <row r="115" spans="1:9" ht="15.75" customHeight="1">
      <c r="B115" s="206" t="s">
        <v>15</v>
      </c>
      <c r="C115" s="220"/>
      <c r="D115" s="220"/>
      <c r="E115" s="220"/>
      <c r="F115" s="252"/>
      <c r="I115" s="205"/>
    </row>
    <row r="116" spans="1:9" ht="15.75" customHeight="1">
      <c r="A116" s="203"/>
      <c r="C116" s="221" t="s">
        <v>13</v>
      </c>
      <c r="D116" s="221"/>
      <c r="E116" s="221"/>
      <c r="F116" s="203"/>
      <c r="I116" s="204" t="s">
        <v>14</v>
      </c>
    </row>
    <row r="117" spans="1:9" ht="15.75" customHeight="1">
      <c r="A117" s="4" t="s">
        <v>16</v>
      </c>
    </row>
    <row r="118" spans="1:9" ht="15.75" customHeight="1">
      <c r="A118" s="239" t="s">
        <v>17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45" customHeight="1">
      <c r="A119" s="213" t="s">
        <v>18</v>
      </c>
      <c r="B119" s="213"/>
      <c r="C119" s="213"/>
      <c r="D119" s="213"/>
      <c r="E119" s="213"/>
      <c r="F119" s="213"/>
      <c r="G119" s="213"/>
      <c r="H119" s="213"/>
      <c r="I119" s="213"/>
    </row>
    <row r="120" spans="1:9" ht="30" customHeight="1">
      <c r="A120" s="213" t="s">
        <v>19</v>
      </c>
      <c r="B120" s="213"/>
      <c r="C120" s="213"/>
      <c r="D120" s="213"/>
      <c r="E120" s="213"/>
      <c r="F120" s="213"/>
      <c r="G120" s="213"/>
      <c r="H120" s="213"/>
      <c r="I120" s="213"/>
    </row>
    <row r="121" spans="1:9" ht="30" customHeight="1">
      <c r="A121" s="213" t="s">
        <v>24</v>
      </c>
      <c r="B121" s="213"/>
      <c r="C121" s="213"/>
      <c r="D121" s="213"/>
      <c r="E121" s="213"/>
      <c r="F121" s="213"/>
      <c r="G121" s="213"/>
      <c r="H121" s="213"/>
      <c r="I121" s="213"/>
    </row>
    <row r="122" spans="1:9" ht="15" customHeight="1">
      <c r="A122" s="213" t="s">
        <v>23</v>
      </c>
      <c r="B122" s="213"/>
      <c r="C122" s="213"/>
      <c r="D122" s="213"/>
      <c r="E122" s="213"/>
      <c r="F122" s="213"/>
      <c r="G122" s="213"/>
      <c r="H122" s="213"/>
      <c r="I122" s="213"/>
    </row>
  </sheetData>
  <autoFilter ref="I12:I62"/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2:I102"/>
    <mergeCell ref="B103:G103"/>
    <mergeCell ref="B104:G104"/>
    <mergeCell ref="A106:I106"/>
    <mergeCell ref="A107:I107"/>
    <mergeCell ref="A108:I108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303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114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42582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6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7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8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9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10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customHeight="1">
      <c r="A34" s="46">
        <v>11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290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12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>
        <v>13</v>
      </c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f>G65*3</f>
        <v>713.22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customHeight="1">
      <c r="A80" s="46">
        <v>14</v>
      </c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f>G80</f>
        <v>19342.2</v>
      </c>
    </row>
    <row r="81" spans="1:9" ht="15.75" customHeight="1">
      <c r="A81" s="244" t="s">
        <v>291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15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16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SUM(I16+I17+I18+I20+I21+I26+I27+I30+I31+I33+I34+I61+I65+I80+I82+I83)</f>
        <v>93307.055660200014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17</v>
      </c>
      <c r="B86" s="139" t="s">
        <v>191</v>
      </c>
      <c r="C86" s="202" t="s">
        <v>192</v>
      </c>
      <c r="D86" s="82"/>
      <c r="E86" s="16"/>
      <c r="F86" s="16">
        <v>4</v>
      </c>
      <c r="G86" s="16">
        <v>195.95</v>
      </c>
      <c r="H86" s="272">
        <f t="shared" ref="H86:H87" si="7">G86*F86/1000</f>
        <v>0.78379999999999994</v>
      </c>
      <c r="I86" s="16">
        <f>G86*2</f>
        <v>391.9</v>
      </c>
    </row>
    <row r="87" spans="1:9" ht="15.75" customHeight="1">
      <c r="A87" s="46">
        <v>18</v>
      </c>
      <c r="B87" s="139" t="s">
        <v>266</v>
      </c>
      <c r="C87" s="202" t="s">
        <v>148</v>
      </c>
      <c r="D87" s="82"/>
      <c r="E87" s="16"/>
      <c r="F87" s="16">
        <v>2</v>
      </c>
      <c r="G87" s="16">
        <v>476.76</v>
      </c>
      <c r="H87" s="272">
        <f t="shared" si="7"/>
        <v>0.95352000000000003</v>
      </c>
      <c r="I87" s="16">
        <f>G87</f>
        <v>476.76</v>
      </c>
    </row>
    <row r="88" spans="1:9" ht="15.75" customHeight="1">
      <c r="A88" s="46"/>
      <c r="B88" s="76" t="s">
        <v>66</v>
      </c>
      <c r="C88" s="72"/>
      <c r="D88" s="125"/>
      <c r="E88" s="72">
        <v>1</v>
      </c>
      <c r="F88" s="72"/>
      <c r="G88" s="72"/>
      <c r="H88" s="72"/>
      <c r="I88" s="54">
        <f>SUM(I86:I87)</f>
        <v>868.66</v>
      </c>
    </row>
    <row r="89" spans="1:9" ht="15.75" customHeight="1">
      <c r="A89" s="46"/>
      <c r="B89" s="82" t="s">
        <v>103</v>
      </c>
      <c r="C89" s="19"/>
      <c r="D89" s="19"/>
      <c r="E89" s="73"/>
      <c r="F89" s="73"/>
      <c r="G89" s="74"/>
      <c r="H89" s="74"/>
      <c r="I89" s="22">
        <v>0</v>
      </c>
    </row>
    <row r="90" spans="1:9" ht="15.75" customHeight="1">
      <c r="A90" s="126"/>
      <c r="B90" s="77" t="s">
        <v>67</v>
      </c>
      <c r="C90" s="60"/>
      <c r="D90" s="60"/>
      <c r="E90" s="60"/>
      <c r="F90" s="60"/>
      <c r="G90" s="60"/>
      <c r="H90" s="60"/>
      <c r="I90" s="75">
        <f>I84+I88</f>
        <v>94175.715660200018</v>
      </c>
    </row>
    <row r="91" spans="1:9" ht="15.75" customHeight="1">
      <c r="A91" s="234" t="s">
        <v>304</v>
      </c>
      <c r="B91" s="234"/>
      <c r="C91" s="234"/>
      <c r="D91" s="234"/>
      <c r="E91" s="234"/>
      <c r="F91" s="234"/>
      <c r="G91" s="234"/>
      <c r="H91" s="234"/>
      <c r="I91" s="234"/>
    </row>
    <row r="92" spans="1:9" ht="15.75" customHeight="1">
      <c r="A92" s="209"/>
      <c r="B92" s="235" t="s">
        <v>305</v>
      </c>
      <c r="C92" s="235"/>
      <c r="D92" s="235"/>
      <c r="E92" s="235"/>
      <c r="F92" s="235"/>
      <c r="G92" s="235"/>
      <c r="H92" s="253"/>
      <c r="I92" s="3"/>
    </row>
    <row r="93" spans="1:9" ht="15.75" customHeight="1">
      <c r="A93" s="203"/>
      <c r="B93" s="219" t="s">
        <v>7</v>
      </c>
      <c r="C93" s="219"/>
      <c r="D93" s="219"/>
      <c r="E93" s="219"/>
      <c r="F93" s="219"/>
      <c r="G93" s="219"/>
      <c r="H93" s="36"/>
      <c r="I93" s="5"/>
    </row>
    <row r="94" spans="1:9" ht="15.7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 customHeight="1">
      <c r="A95" s="236" t="s">
        <v>8</v>
      </c>
      <c r="B95" s="236"/>
      <c r="C95" s="236"/>
      <c r="D95" s="236"/>
      <c r="E95" s="236"/>
      <c r="F95" s="236"/>
      <c r="G95" s="236"/>
      <c r="H95" s="236"/>
      <c r="I95" s="236"/>
    </row>
    <row r="96" spans="1:9" ht="15.75" customHeight="1">
      <c r="A96" s="236" t="s">
        <v>9</v>
      </c>
      <c r="B96" s="236"/>
      <c r="C96" s="236"/>
      <c r="D96" s="236"/>
      <c r="E96" s="236"/>
      <c r="F96" s="236"/>
      <c r="G96" s="236"/>
      <c r="H96" s="236"/>
      <c r="I96" s="236"/>
    </row>
    <row r="97" spans="1:9" ht="15.75" customHeight="1">
      <c r="A97" s="237" t="s">
        <v>82</v>
      </c>
      <c r="B97" s="237"/>
      <c r="C97" s="237"/>
      <c r="D97" s="237"/>
      <c r="E97" s="237"/>
      <c r="F97" s="237"/>
      <c r="G97" s="237"/>
      <c r="H97" s="237"/>
      <c r="I97" s="237"/>
    </row>
    <row r="98" spans="1:9" ht="15.75" customHeight="1">
      <c r="A98" s="12"/>
    </row>
    <row r="99" spans="1:9" ht="15.75" customHeight="1">
      <c r="A99" s="238" t="s">
        <v>11</v>
      </c>
      <c r="B99" s="238"/>
      <c r="C99" s="238"/>
      <c r="D99" s="238"/>
      <c r="E99" s="238"/>
      <c r="F99" s="238"/>
      <c r="G99" s="238"/>
      <c r="H99" s="238"/>
      <c r="I99" s="238"/>
    </row>
    <row r="100" spans="1:9" ht="15.75" customHeight="1">
      <c r="A100" s="4"/>
    </row>
    <row r="101" spans="1:9" ht="15.75" customHeight="1">
      <c r="B101" s="206" t="s">
        <v>12</v>
      </c>
      <c r="C101" s="247" t="s">
        <v>141</v>
      </c>
      <c r="D101" s="247"/>
      <c r="E101" s="247"/>
      <c r="F101" s="251"/>
      <c r="I101" s="205"/>
    </row>
    <row r="102" spans="1:9" ht="15.75" customHeight="1">
      <c r="A102" s="203"/>
      <c r="C102" s="219" t="s">
        <v>13</v>
      </c>
      <c r="D102" s="219"/>
      <c r="E102" s="219"/>
      <c r="F102" s="36"/>
      <c r="I102" s="204" t="s">
        <v>14</v>
      </c>
    </row>
    <row r="103" spans="1:9" ht="15.75" customHeight="1">
      <c r="A103" s="37"/>
      <c r="C103" s="13"/>
      <c r="D103" s="13"/>
      <c r="G103" s="13"/>
      <c r="H103" s="13"/>
    </row>
    <row r="104" spans="1:9" ht="15.75" customHeight="1">
      <c r="B104" s="206" t="s">
        <v>15</v>
      </c>
      <c r="C104" s="220"/>
      <c r="D104" s="220"/>
      <c r="E104" s="220"/>
      <c r="F104" s="252"/>
      <c r="I104" s="205"/>
    </row>
    <row r="105" spans="1:9" ht="15.75" customHeight="1">
      <c r="A105" s="203"/>
      <c r="C105" s="221" t="s">
        <v>13</v>
      </c>
      <c r="D105" s="221"/>
      <c r="E105" s="221"/>
      <c r="F105" s="203"/>
      <c r="I105" s="204" t="s">
        <v>14</v>
      </c>
    </row>
    <row r="106" spans="1:9" ht="15.75" customHeight="1">
      <c r="A106" s="4" t="s">
        <v>16</v>
      </c>
    </row>
    <row r="107" spans="1:9" ht="15.75" customHeight="1">
      <c r="A107" s="239" t="s">
        <v>17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45" customHeight="1">
      <c r="A108" s="213" t="s">
        <v>18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19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30" customHeight="1">
      <c r="A110" s="213" t="s">
        <v>24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15" customHeight="1">
      <c r="A111" s="213" t="s">
        <v>23</v>
      </c>
      <c r="B111" s="213"/>
      <c r="C111" s="213"/>
      <c r="D111" s="213"/>
      <c r="E111" s="213"/>
      <c r="F111" s="213"/>
      <c r="G111" s="213"/>
      <c r="H111" s="213"/>
      <c r="I111" s="213"/>
    </row>
  </sheetData>
  <autoFilter ref="I12:I62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306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83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42613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hidden="1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5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6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7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8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9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customHeight="1">
      <c r="A34" s="46">
        <v>10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hidden="1" customHeight="1">
      <c r="A46" s="46"/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v>0</v>
      </c>
      <c r="J46" s="32"/>
      <c r="L46" s="25"/>
      <c r="M46" s="26"/>
      <c r="N46" s="27"/>
    </row>
    <row r="47" spans="1:14" ht="15.75" hidden="1" customHeight="1">
      <c r="A47" s="46"/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v>0</v>
      </c>
      <c r="J47" s="32"/>
      <c r="L47" s="25"/>
      <c r="M47" s="26"/>
      <c r="N47" s="27"/>
    </row>
    <row r="48" spans="1:14" ht="15.75" hidden="1" customHeight="1">
      <c r="A48" s="46"/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v>0</v>
      </c>
      <c r="J50" s="32"/>
      <c r="L50" s="25"/>
      <c r="M50" s="26"/>
      <c r="N50" s="27"/>
    </row>
    <row r="51" spans="1:22" ht="15.75" hidden="1" customHeight="1">
      <c r="A51" s="46">
        <v>14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customHeight="1">
      <c r="A55" s="46">
        <v>11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12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hidden="1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5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5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5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5"/>
        <v>4.2603630300000006</v>
      </c>
      <c r="I68" s="16">
        <f t="shared" ref="I68:I72" si="6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5"/>
        <v>60.545394000000009</v>
      </c>
      <c r="I69" s="16">
        <f t="shared" si="6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5"/>
        <v>0.98141000000000012</v>
      </c>
      <c r="I70" s="16">
        <f t="shared" si="6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5"/>
        <v>0.91563000000000005</v>
      </c>
      <c r="I71" s="16">
        <f t="shared" si="6"/>
        <v>915.63000000000011</v>
      </c>
    </row>
    <row r="72" spans="1:21" ht="15.75" hidden="1" customHeight="1">
      <c r="A72" s="46"/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5"/>
        <v>0.53320000000000001</v>
      </c>
      <c r="I72" s="16">
        <f t="shared" si="6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5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5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13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14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SUM(I16+I17+I18+I20+I26+I27+I30+I31+I33+I34+I55+I61+I82+I83)</f>
        <v>84464.258136199991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31.5" customHeight="1">
      <c r="A86" s="46">
        <v>15</v>
      </c>
      <c r="B86" s="139" t="s">
        <v>274</v>
      </c>
      <c r="C86" s="202" t="s">
        <v>49</v>
      </c>
      <c r="D86" s="82"/>
      <c r="E86" s="16"/>
      <c r="F86" s="16">
        <f>4/100</f>
        <v>0.04</v>
      </c>
      <c r="G86" s="16">
        <v>3397.65</v>
      </c>
      <c r="H86" s="272">
        <f t="shared" ref="H86:H87" si="7">G86*F86/1000</f>
        <v>0.135906</v>
      </c>
      <c r="I86" s="16">
        <f>G86*0.01</f>
        <v>33.976500000000001</v>
      </c>
    </row>
    <row r="87" spans="1:9" ht="15.75" customHeight="1">
      <c r="A87" s="46">
        <v>16</v>
      </c>
      <c r="B87" s="210" t="s">
        <v>144</v>
      </c>
      <c r="C87" s="211" t="s">
        <v>145</v>
      </c>
      <c r="D87" s="82"/>
      <c r="E87" s="16"/>
      <c r="F87" s="16">
        <v>4</v>
      </c>
      <c r="G87" s="16">
        <v>1063.47</v>
      </c>
      <c r="H87" s="272">
        <f t="shared" si="7"/>
        <v>4.2538800000000005</v>
      </c>
      <c r="I87" s="16">
        <f>G87</f>
        <v>1063.47</v>
      </c>
    </row>
    <row r="88" spans="1:9" ht="15.75" customHeight="1">
      <c r="A88" s="46"/>
      <c r="B88" s="76" t="s">
        <v>66</v>
      </c>
      <c r="C88" s="72"/>
      <c r="D88" s="125"/>
      <c r="E88" s="72">
        <v>1</v>
      </c>
      <c r="F88" s="72"/>
      <c r="G88" s="72"/>
      <c r="H88" s="72"/>
      <c r="I88" s="54">
        <f>SUM(I86:I87)</f>
        <v>1097.4465</v>
      </c>
    </row>
    <row r="89" spans="1:9" ht="15.75" customHeight="1">
      <c r="A89" s="46"/>
      <c r="B89" s="82" t="s">
        <v>103</v>
      </c>
      <c r="C89" s="19"/>
      <c r="D89" s="19"/>
      <c r="E89" s="73"/>
      <c r="F89" s="73"/>
      <c r="G89" s="74"/>
      <c r="H89" s="74"/>
      <c r="I89" s="22">
        <v>0</v>
      </c>
    </row>
    <row r="90" spans="1:9" ht="15.75" customHeight="1">
      <c r="A90" s="126"/>
      <c r="B90" s="77" t="s">
        <v>67</v>
      </c>
      <c r="C90" s="60"/>
      <c r="D90" s="60"/>
      <c r="E90" s="60"/>
      <c r="F90" s="60"/>
      <c r="G90" s="60"/>
      <c r="H90" s="60"/>
      <c r="I90" s="75">
        <f>I84+I88</f>
        <v>85561.704636199996</v>
      </c>
    </row>
    <row r="91" spans="1:9" ht="15.75" customHeight="1">
      <c r="A91" s="234" t="s">
        <v>307</v>
      </c>
      <c r="B91" s="234"/>
      <c r="C91" s="234"/>
      <c r="D91" s="234"/>
      <c r="E91" s="234"/>
      <c r="F91" s="234"/>
      <c r="G91" s="234"/>
      <c r="H91" s="234"/>
      <c r="I91" s="234"/>
    </row>
    <row r="92" spans="1:9" ht="15.75" customHeight="1">
      <c r="A92" s="209"/>
      <c r="B92" s="235" t="s">
        <v>308</v>
      </c>
      <c r="C92" s="235"/>
      <c r="D92" s="235"/>
      <c r="E92" s="235"/>
      <c r="F92" s="235"/>
      <c r="G92" s="235"/>
      <c r="H92" s="253"/>
      <c r="I92" s="3"/>
    </row>
    <row r="93" spans="1:9" ht="15.75" customHeight="1">
      <c r="A93" s="203"/>
      <c r="B93" s="219" t="s">
        <v>7</v>
      </c>
      <c r="C93" s="219"/>
      <c r="D93" s="219"/>
      <c r="E93" s="219"/>
      <c r="F93" s="219"/>
      <c r="G93" s="219"/>
      <c r="H93" s="36"/>
      <c r="I93" s="5"/>
    </row>
    <row r="94" spans="1:9" ht="15.7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 customHeight="1">
      <c r="A95" s="236" t="s">
        <v>8</v>
      </c>
      <c r="B95" s="236"/>
      <c r="C95" s="236"/>
      <c r="D95" s="236"/>
      <c r="E95" s="236"/>
      <c r="F95" s="236"/>
      <c r="G95" s="236"/>
      <c r="H95" s="236"/>
      <c r="I95" s="236"/>
    </row>
    <row r="96" spans="1:9" ht="15.75" customHeight="1">
      <c r="A96" s="236" t="s">
        <v>9</v>
      </c>
      <c r="B96" s="236"/>
      <c r="C96" s="236"/>
      <c r="D96" s="236"/>
      <c r="E96" s="236"/>
      <c r="F96" s="236"/>
      <c r="G96" s="236"/>
      <c r="H96" s="236"/>
      <c r="I96" s="236"/>
    </row>
    <row r="97" spans="1:9" ht="15.75" customHeight="1">
      <c r="A97" s="237" t="s">
        <v>82</v>
      </c>
      <c r="B97" s="237"/>
      <c r="C97" s="237"/>
      <c r="D97" s="237"/>
      <c r="E97" s="237"/>
      <c r="F97" s="237"/>
      <c r="G97" s="237"/>
      <c r="H97" s="237"/>
      <c r="I97" s="237"/>
    </row>
    <row r="98" spans="1:9" ht="15.75" customHeight="1">
      <c r="A98" s="12"/>
    </row>
    <row r="99" spans="1:9" ht="15.75" customHeight="1">
      <c r="A99" s="238" t="s">
        <v>11</v>
      </c>
      <c r="B99" s="238"/>
      <c r="C99" s="238"/>
      <c r="D99" s="238"/>
      <c r="E99" s="238"/>
      <c r="F99" s="238"/>
      <c r="G99" s="238"/>
      <c r="H99" s="238"/>
      <c r="I99" s="238"/>
    </row>
    <row r="100" spans="1:9" ht="15.75" customHeight="1">
      <c r="A100" s="4"/>
    </row>
    <row r="101" spans="1:9" ht="15.75" customHeight="1">
      <c r="B101" s="206" t="s">
        <v>12</v>
      </c>
      <c r="C101" s="247" t="s">
        <v>141</v>
      </c>
      <c r="D101" s="247"/>
      <c r="E101" s="247"/>
      <c r="F101" s="251"/>
      <c r="I101" s="205"/>
    </row>
    <row r="102" spans="1:9" ht="15.75" customHeight="1">
      <c r="A102" s="203"/>
      <c r="C102" s="219" t="s">
        <v>13</v>
      </c>
      <c r="D102" s="219"/>
      <c r="E102" s="219"/>
      <c r="F102" s="36"/>
      <c r="I102" s="204" t="s">
        <v>14</v>
      </c>
    </row>
    <row r="103" spans="1:9" ht="15.75" customHeight="1">
      <c r="A103" s="37"/>
      <c r="C103" s="13"/>
      <c r="D103" s="13"/>
      <c r="G103" s="13"/>
      <c r="H103" s="13"/>
    </row>
    <row r="104" spans="1:9" ht="15.75" customHeight="1">
      <c r="B104" s="206" t="s">
        <v>15</v>
      </c>
      <c r="C104" s="220"/>
      <c r="D104" s="220"/>
      <c r="E104" s="220"/>
      <c r="F104" s="252"/>
      <c r="I104" s="205"/>
    </row>
    <row r="105" spans="1:9" ht="15.75" customHeight="1">
      <c r="A105" s="203"/>
      <c r="C105" s="221" t="s">
        <v>13</v>
      </c>
      <c r="D105" s="221"/>
      <c r="E105" s="221"/>
      <c r="F105" s="203"/>
      <c r="I105" s="204" t="s">
        <v>14</v>
      </c>
    </row>
    <row r="106" spans="1:9" ht="15.75" customHeight="1">
      <c r="A106" s="4" t="s">
        <v>16</v>
      </c>
    </row>
    <row r="107" spans="1:9" ht="15.75" customHeight="1">
      <c r="A107" s="239" t="s">
        <v>17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45" customHeight="1">
      <c r="A108" s="213" t="s">
        <v>18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19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30" customHeight="1">
      <c r="A110" s="213" t="s">
        <v>24</v>
      </c>
      <c r="B110" s="213"/>
      <c r="C110" s="213"/>
      <c r="D110" s="213"/>
      <c r="E110" s="213"/>
      <c r="F110" s="213"/>
      <c r="G110" s="213"/>
      <c r="H110" s="213"/>
      <c r="I110" s="213"/>
    </row>
    <row r="111" spans="1:9" ht="15" customHeight="1">
      <c r="A111" s="213" t="s">
        <v>23</v>
      </c>
      <c r="B111" s="213"/>
      <c r="C111" s="213"/>
      <c r="D111" s="213"/>
      <c r="E111" s="213"/>
      <c r="F111" s="213"/>
      <c r="G111" s="213"/>
      <c r="H111" s="213"/>
      <c r="I111" s="213"/>
    </row>
  </sheetData>
  <autoFilter ref="I12:I62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127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31" t="s">
        <v>309</v>
      </c>
      <c r="B3" s="231"/>
      <c r="C3" s="231"/>
      <c r="D3" s="231"/>
      <c r="E3" s="231"/>
      <c r="F3" s="231"/>
      <c r="G3" s="231"/>
      <c r="H3" s="231"/>
      <c r="I3" s="231"/>
      <c r="J3" s="3"/>
      <c r="K3" s="3"/>
      <c r="L3" s="3"/>
    </row>
    <row r="4" spans="1:13" ht="31.5" customHeight="1">
      <c r="A4" s="232" t="s">
        <v>230</v>
      </c>
      <c r="B4" s="232"/>
      <c r="C4" s="232"/>
      <c r="D4" s="232"/>
      <c r="E4" s="232"/>
      <c r="F4" s="232"/>
      <c r="G4" s="232"/>
      <c r="H4" s="232"/>
      <c r="I4" s="232"/>
    </row>
    <row r="5" spans="1:13" ht="15.75" customHeight="1">
      <c r="A5" s="231" t="s">
        <v>115</v>
      </c>
      <c r="B5" s="233"/>
      <c r="C5" s="233"/>
      <c r="D5" s="233"/>
      <c r="E5" s="233"/>
      <c r="F5" s="233"/>
      <c r="G5" s="233"/>
      <c r="H5" s="233"/>
      <c r="I5" s="233"/>
      <c r="J5" s="2"/>
      <c r="K5" s="2"/>
      <c r="L5" s="2"/>
      <c r="M5" s="2"/>
    </row>
    <row r="6" spans="1:13" ht="15.75" customHeight="1">
      <c r="A6" s="2"/>
      <c r="B6" s="207"/>
      <c r="C6" s="207"/>
      <c r="D6" s="207"/>
      <c r="E6" s="207"/>
      <c r="F6" s="207"/>
      <c r="G6" s="207"/>
      <c r="H6" s="207"/>
      <c r="I6" s="51">
        <v>42643</v>
      </c>
      <c r="J6" s="2"/>
      <c r="K6" s="2"/>
      <c r="L6" s="2"/>
      <c r="M6" s="2"/>
    </row>
    <row r="7" spans="1:13" ht="15.75" customHeight="1">
      <c r="B7" s="206"/>
      <c r="C7" s="206"/>
      <c r="D7" s="20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8" t="s">
        <v>247</v>
      </c>
      <c r="B8" s="228"/>
      <c r="C8" s="228"/>
      <c r="D8" s="228"/>
      <c r="E8" s="228"/>
      <c r="F8" s="228"/>
      <c r="G8" s="228"/>
      <c r="H8" s="228"/>
      <c r="I8" s="22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9" t="s">
        <v>246</v>
      </c>
      <c r="B10" s="229"/>
      <c r="C10" s="229"/>
      <c r="D10" s="229"/>
      <c r="E10" s="229"/>
      <c r="F10" s="229"/>
      <c r="G10" s="229"/>
      <c r="H10" s="229"/>
      <c r="I10" s="22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0" t="s">
        <v>79</v>
      </c>
      <c r="B14" s="230"/>
      <c r="C14" s="230"/>
      <c r="D14" s="230"/>
      <c r="E14" s="230"/>
      <c r="F14" s="230"/>
      <c r="G14" s="230"/>
      <c r="H14" s="230"/>
      <c r="I14" s="230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46">
        <v>1</v>
      </c>
      <c r="B16" s="255" t="s">
        <v>129</v>
      </c>
      <c r="C16" s="256" t="s">
        <v>196</v>
      </c>
      <c r="D16" s="255" t="s">
        <v>197</v>
      </c>
      <c r="E16" s="192">
        <v>127.9</v>
      </c>
      <c r="F16" s="257">
        <f>SUM(E16*156/100)</f>
        <v>199.524</v>
      </c>
      <c r="G16" s="257">
        <v>187.48</v>
      </c>
      <c r="H16" s="258">
        <f t="shared" ref="H16:H25" si="0">SUM(F16*G16/1000)</f>
        <v>37.406759520000001</v>
      </c>
      <c r="I16" s="16">
        <f>F16/12*G16</f>
        <v>3117.2299599999997</v>
      </c>
      <c r="J16" s="8"/>
      <c r="K16" s="8"/>
      <c r="L16" s="8"/>
      <c r="M16" s="8"/>
    </row>
    <row r="17" spans="1:13" ht="15.75" customHeight="1">
      <c r="A17" s="46">
        <v>2</v>
      </c>
      <c r="B17" s="255" t="s">
        <v>150</v>
      </c>
      <c r="C17" s="256" t="s">
        <v>196</v>
      </c>
      <c r="D17" s="255" t="s">
        <v>280</v>
      </c>
      <c r="E17" s="192">
        <v>511.6</v>
      </c>
      <c r="F17" s="257">
        <f>SUM(E17*104/100)</f>
        <v>532.06399999999996</v>
      </c>
      <c r="G17" s="257">
        <v>185.48</v>
      </c>
      <c r="H17" s="258">
        <f t="shared" si="0"/>
        <v>98.687230719999988</v>
      </c>
      <c r="I17" s="16">
        <f>F17/12*G17</f>
        <v>8223.9358933333315</v>
      </c>
      <c r="J17" s="31"/>
      <c r="K17" s="8"/>
      <c r="L17" s="8"/>
      <c r="M17" s="8"/>
    </row>
    <row r="18" spans="1:13" ht="15.75" customHeight="1">
      <c r="A18" s="46">
        <v>3</v>
      </c>
      <c r="B18" s="255" t="s">
        <v>151</v>
      </c>
      <c r="C18" s="256" t="s">
        <v>196</v>
      </c>
      <c r="D18" s="255" t="s">
        <v>198</v>
      </c>
      <c r="E18" s="192">
        <f>SUM(E16+E17)</f>
        <v>639.5</v>
      </c>
      <c r="F18" s="257">
        <f>SUM(E18*24/100)</f>
        <v>153.47999999999999</v>
      </c>
      <c r="G18" s="257">
        <v>539.30999999999995</v>
      </c>
      <c r="H18" s="258">
        <f t="shared" si="0"/>
        <v>82.773298799999992</v>
      </c>
      <c r="I18" s="16">
        <f>F18/12*G18</f>
        <v>6897.7748999999985</v>
      </c>
      <c r="J18" s="31"/>
      <c r="K18" s="8"/>
      <c r="L18" s="8"/>
      <c r="M18" s="8"/>
    </row>
    <row r="19" spans="1:13" ht="15.75" hidden="1" customHeight="1">
      <c r="A19" s="46"/>
      <c r="B19" s="255" t="s">
        <v>199</v>
      </c>
      <c r="C19" s="256" t="s">
        <v>200</v>
      </c>
      <c r="D19" s="255" t="s">
        <v>201</v>
      </c>
      <c r="E19" s="192">
        <v>38.4</v>
      </c>
      <c r="F19" s="257">
        <f>SUM(E19/10)</f>
        <v>3.84</v>
      </c>
      <c r="G19" s="257">
        <v>181.91</v>
      </c>
      <c r="H19" s="258">
        <f t="shared" si="0"/>
        <v>0.6985344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55" t="s">
        <v>163</v>
      </c>
      <c r="C20" s="256" t="s">
        <v>196</v>
      </c>
      <c r="D20" s="255" t="s">
        <v>36</v>
      </c>
      <c r="E20" s="192">
        <v>58.4</v>
      </c>
      <c r="F20" s="257">
        <f>SUM(E20*12/100)</f>
        <v>7.0079999999999991</v>
      </c>
      <c r="G20" s="257">
        <v>232.92</v>
      </c>
      <c r="H20" s="258">
        <f t="shared" si="0"/>
        <v>1.6323033599999996</v>
      </c>
      <c r="I20" s="16">
        <f>F20/12*G20</f>
        <v>136.02527999999998</v>
      </c>
      <c r="J20" s="31"/>
      <c r="K20" s="8"/>
      <c r="L20" s="8"/>
      <c r="M20" s="8"/>
    </row>
    <row r="21" spans="1:13" ht="15.75" customHeight="1">
      <c r="A21" s="46">
        <v>5</v>
      </c>
      <c r="B21" s="255" t="s">
        <v>164</v>
      </c>
      <c r="C21" s="256" t="s">
        <v>196</v>
      </c>
      <c r="D21" s="255" t="s">
        <v>185</v>
      </c>
      <c r="E21" s="192">
        <v>9.08</v>
      </c>
      <c r="F21" s="257">
        <f>SUM(E21*6/100)</f>
        <v>0.54480000000000006</v>
      </c>
      <c r="G21" s="257">
        <v>231.03</v>
      </c>
      <c r="H21" s="258">
        <f t="shared" si="0"/>
        <v>0.12586514400000001</v>
      </c>
      <c r="I21" s="16">
        <f>F21/6*G21</f>
        <v>20.977524000000003</v>
      </c>
      <c r="J21" s="31"/>
      <c r="K21" s="8"/>
      <c r="L21" s="8"/>
      <c r="M21" s="8"/>
    </row>
    <row r="22" spans="1:13" ht="15.75" hidden="1" customHeight="1">
      <c r="A22" s="46"/>
      <c r="B22" s="255" t="s">
        <v>202</v>
      </c>
      <c r="C22" s="256" t="s">
        <v>68</v>
      </c>
      <c r="D22" s="255" t="s">
        <v>201</v>
      </c>
      <c r="E22" s="192">
        <v>714</v>
      </c>
      <c r="F22" s="257">
        <f>SUM(E22/100)</f>
        <v>7.14</v>
      </c>
      <c r="G22" s="257">
        <v>287.83999999999997</v>
      </c>
      <c r="H22" s="258">
        <f t="shared" si="0"/>
        <v>2.0551775999999995</v>
      </c>
      <c r="I22" s="16">
        <v>0</v>
      </c>
      <c r="J22" s="31"/>
      <c r="K22" s="8"/>
      <c r="L22" s="8"/>
      <c r="M22" s="8"/>
    </row>
    <row r="23" spans="1:13" ht="15.75" hidden="1" customHeight="1">
      <c r="A23" s="46"/>
      <c r="B23" s="255" t="s">
        <v>203</v>
      </c>
      <c r="C23" s="256" t="s">
        <v>68</v>
      </c>
      <c r="D23" s="255" t="s">
        <v>201</v>
      </c>
      <c r="E23" s="250">
        <v>96.6</v>
      </c>
      <c r="F23" s="257">
        <f>SUM(E23/100)</f>
        <v>0.96599999999999997</v>
      </c>
      <c r="G23" s="257">
        <v>47.34</v>
      </c>
      <c r="H23" s="258">
        <f t="shared" si="0"/>
        <v>4.5730440000000004E-2</v>
      </c>
      <c r="I23" s="16">
        <v>0</v>
      </c>
      <c r="J23" s="31"/>
      <c r="K23" s="8"/>
      <c r="L23" s="8"/>
      <c r="M23" s="8"/>
    </row>
    <row r="24" spans="1:13" ht="15.75" hidden="1" customHeight="1">
      <c r="A24" s="46"/>
      <c r="B24" s="255" t="s">
        <v>175</v>
      </c>
      <c r="C24" s="256" t="s">
        <v>68</v>
      </c>
      <c r="D24" s="255" t="s">
        <v>201</v>
      </c>
      <c r="E24" s="23">
        <v>40</v>
      </c>
      <c r="F24" s="259">
        <v>4.8</v>
      </c>
      <c r="G24" s="257">
        <v>416.62</v>
      </c>
      <c r="H24" s="258">
        <f>F24*G24/1000</f>
        <v>1.9997759999999998</v>
      </c>
      <c r="I24" s="16">
        <v>0</v>
      </c>
      <c r="J24" s="31"/>
      <c r="K24" s="8"/>
      <c r="L24" s="8"/>
      <c r="M24" s="8"/>
    </row>
    <row r="25" spans="1:13" ht="15.75" hidden="1" customHeight="1">
      <c r="A25" s="46"/>
      <c r="B25" s="255" t="s">
        <v>176</v>
      </c>
      <c r="C25" s="256" t="s">
        <v>68</v>
      </c>
      <c r="D25" s="255" t="s">
        <v>201</v>
      </c>
      <c r="E25" s="192">
        <v>17</v>
      </c>
      <c r="F25" s="257">
        <f>SUM(E25/100)</f>
        <v>0.17</v>
      </c>
      <c r="G25" s="257">
        <v>556.74</v>
      </c>
      <c r="H25" s="258">
        <f t="shared" si="0"/>
        <v>9.4645800000000002E-2</v>
      </c>
      <c r="I25" s="16">
        <v>0</v>
      </c>
      <c r="J25" s="31"/>
      <c r="K25" s="8"/>
      <c r="L25" s="8"/>
      <c r="M25" s="8"/>
    </row>
    <row r="26" spans="1:13" ht="15.75" customHeight="1">
      <c r="A26" s="46">
        <v>6</v>
      </c>
      <c r="B26" s="255" t="s">
        <v>87</v>
      </c>
      <c r="C26" s="256" t="s">
        <v>40</v>
      </c>
      <c r="D26" s="255" t="s">
        <v>250</v>
      </c>
      <c r="E26" s="192">
        <v>0.1</v>
      </c>
      <c r="F26" s="257">
        <f>SUM(E26*365)</f>
        <v>36.5</v>
      </c>
      <c r="G26" s="257">
        <v>157.18</v>
      </c>
      <c r="H26" s="258">
        <f>SUM(F26*G26/1000)</f>
        <v>5.737070000000001</v>
      </c>
      <c r="I26" s="16">
        <f>F26/12*G26</f>
        <v>478.08916666666664</v>
      </c>
      <c r="J26" s="32"/>
    </row>
    <row r="27" spans="1:13" ht="15.75" customHeight="1">
      <c r="A27" s="46">
        <v>7</v>
      </c>
      <c r="B27" s="263" t="s">
        <v>26</v>
      </c>
      <c r="C27" s="256" t="s">
        <v>27</v>
      </c>
      <c r="D27" s="263" t="s">
        <v>250</v>
      </c>
      <c r="E27" s="192">
        <v>4591.2</v>
      </c>
      <c r="F27" s="257">
        <f>SUM(E27*12)</f>
        <v>55094.399999999994</v>
      </c>
      <c r="G27" s="257">
        <v>5.85</v>
      </c>
      <c r="H27" s="258">
        <f>SUM(F27*G27/1000)</f>
        <v>322.30223999999993</v>
      </c>
      <c r="I27" s="16">
        <f>F27/12*G27</f>
        <v>26858.519999999997</v>
      </c>
      <c r="J27" s="32"/>
    </row>
    <row r="28" spans="1:13" ht="15.75" customHeight="1">
      <c r="A28" s="240" t="s">
        <v>121</v>
      </c>
      <c r="B28" s="240"/>
      <c r="C28" s="240"/>
      <c r="D28" s="240"/>
      <c r="E28" s="240"/>
      <c r="F28" s="240"/>
      <c r="G28" s="240"/>
      <c r="H28" s="240"/>
      <c r="I28" s="240"/>
      <c r="J28" s="31"/>
      <c r="K28" s="8"/>
      <c r="L28" s="8"/>
      <c r="M28" s="8"/>
    </row>
    <row r="29" spans="1:13" ht="15.75" customHeight="1">
      <c r="A29" s="46"/>
      <c r="B29" s="279" t="s">
        <v>34</v>
      </c>
      <c r="C29" s="256"/>
      <c r="D29" s="255"/>
      <c r="E29" s="192"/>
      <c r="F29" s="257"/>
      <c r="G29" s="257"/>
      <c r="H29" s="258"/>
      <c r="I29" s="16"/>
      <c r="J29" s="31"/>
      <c r="K29" s="8"/>
      <c r="L29" s="8"/>
      <c r="M29" s="8"/>
    </row>
    <row r="30" spans="1:13" ht="15.75" customHeight="1">
      <c r="A30" s="46">
        <v>8</v>
      </c>
      <c r="B30" s="255" t="s">
        <v>204</v>
      </c>
      <c r="C30" s="256" t="s">
        <v>205</v>
      </c>
      <c r="D30" s="255" t="s">
        <v>206</v>
      </c>
      <c r="E30" s="257">
        <v>844.95</v>
      </c>
      <c r="F30" s="257">
        <f>SUM(E30*52/1000)</f>
        <v>43.937400000000004</v>
      </c>
      <c r="G30" s="257">
        <v>166.65</v>
      </c>
      <c r="H30" s="258">
        <f>SUM(F30*G30/1000)</f>
        <v>7.3221677100000004</v>
      </c>
      <c r="I30" s="16">
        <f>F30/6*G30</f>
        <v>1220.3612850000002</v>
      </c>
      <c r="J30" s="31"/>
      <c r="K30" s="8"/>
      <c r="L30" s="8"/>
      <c r="M30" s="8"/>
    </row>
    <row r="31" spans="1:13" ht="31.5" customHeight="1">
      <c r="A31" s="46">
        <v>9</v>
      </c>
      <c r="B31" s="255" t="s">
        <v>281</v>
      </c>
      <c r="C31" s="256" t="s">
        <v>205</v>
      </c>
      <c r="D31" s="255" t="s">
        <v>208</v>
      </c>
      <c r="E31" s="257">
        <v>260.13</v>
      </c>
      <c r="F31" s="257">
        <f>SUM(E31*78/1000)</f>
        <v>20.290140000000001</v>
      </c>
      <c r="G31" s="257">
        <v>276.48</v>
      </c>
      <c r="H31" s="258">
        <f t="shared" ref="H31:H36" si="1">SUM(F31*G31/1000)</f>
        <v>5.6098179072000001</v>
      </c>
      <c r="I31" s="16">
        <f t="shared" ref="I31:I34" si="2">F31/6*G31</f>
        <v>934.96965120000016</v>
      </c>
      <c r="J31" s="31"/>
      <c r="K31" s="8"/>
      <c r="L31" s="8"/>
      <c r="M31" s="8"/>
    </row>
    <row r="32" spans="1:13" ht="15.75" hidden="1" customHeight="1">
      <c r="A32" s="46"/>
      <c r="B32" s="255" t="s">
        <v>33</v>
      </c>
      <c r="C32" s="256" t="s">
        <v>205</v>
      </c>
      <c r="D32" s="255" t="s">
        <v>69</v>
      </c>
      <c r="E32" s="257">
        <v>844.95</v>
      </c>
      <c r="F32" s="257">
        <f>SUM(E32/1000)</f>
        <v>0.84495000000000009</v>
      </c>
      <c r="G32" s="257">
        <v>3228.73</v>
      </c>
      <c r="H32" s="258">
        <f t="shared" si="1"/>
        <v>2.7281154135000003</v>
      </c>
      <c r="I32" s="16">
        <f>F32*G32</f>
        <v>2728.1154135000002</v>
      </c>
      <c r="J32" s="31"/>
      <c r="K32" s="8"/>
      <c r="L32" s="8"/>
      <c r="M32" s="8"/>
    </row>
    <row r="33" spans="1:14" ht="15.75" customHeight="1">
      <c r="A33" s="46">
        <v>10</v>
      </c>
      <c r="B33" s="255" t="s">
        <v>249</v>
      </c>
      <c r="C33" s="256" t="s">
        <v>51</v>
      </c>
      <c r="D33" s="255" t="s">
        <v>86</v>
      </c>
      <c r="E33" s="257">
        <v>8</v>
      </c>
      <c r="F33" s="257">
        <v>12.4</v>
      </c>
      <c r="G33" s="257">
        <v>1391.86</v>
      </c>
      <c r="H33" s="258">
        <v>17.259</v>
      </c>
      <c r="I33" s="16">
        <f t="shared" si="2"/>
        <v>2876.5106666666666</v>
      </c>
      <c r="J33" s="31"/>
      <c r="K33" s="8"/>
      <c r="L33" s="8"/>
      <c r="M33" s="8"/>
    </row>
    <row r="34" spans="1:14" ht="15.75" customHeight="1">
      <c r="A34" s="46">
        <v>11</v>
      </c>
      <c r="B34" s="255" t="s">
        <v>210</v>
      </c>
      <c r="C34" s="256" t="s">
        <v>37</v>
      </c>
      <c r="D34" s="255" t="s">
        <v>86</v>
      </c>
      <c r="E34" s="262">
        <v>0.33333333333333331</v>
      </c>
      <c r="F34" s="257">
        <f>155/3</f>
        <v>51.666666666666664</v>
      </c>
      <c r="G34" s="257">
        <v>60.6</v>
      </c>
      <c r="H34" s="258">
        <f>SUM(G34*155/3/1000)</f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46"/>
      <c r="B35" s="255" t="s">
        <v>88</v>
      </c>
      <c r="C35" s="256" t="s">
        <v>40</v>
      </c>
      <c r="D35" s="255" t="s">
        <v>90</v>
      </c>
      <c r="E35" s="192"/>
      <c r="F35" s="257">
        <v>3</v>
      </c>
      <c r="G35" s="257">
        <v>204.32</v>
      </c>
      <c r="H35" s="258">
        <f t="shared" si="1"/>
        <v>0.61296000000000006</v>
      </c>
      <c r="I35" s="16">
        <v>0</v>
      </c>
      <c r="J35" s="32"/>
    </row>
    <row r="36" spans="1:14" ht="15.75" hidden="1" customHeight="1">
      <c r="A36" s="46"/>
      <c r="B36" s="255" t="s">
        <v>89</v>
      </c>
      <c r="C36" s="256" t="s">
        <v>39</v>
      </c>
      <c r="D36" s="255" t="s">
        <v>90</v>
      </c>
      <c r="E36" s="192"/>
      <c r="F36" s="257">
        <v>2</v>
      </c>
      <c r="G36" s="257">
        <v>1214.73</v>
      </c>
      <c r="H36" s="258">
        <f t="shared" si="1"/>
        <v>2.4294600000000002</v>
      </c>
      <c r="I36" s="16">
        <v>0</v>
      </c>
      <c r="J36" s="32"/>
    </row>
    <row r="37" spans="1:14" ht="15.75" hidden="1" customHeight="1">
      <c r="A37" s="46"/>
      <c r="B37" s="279" t="s">
        <v>5</v>
      </c>
      <c r="C37" s="256"/>
      <c r="D37" s="255"/>
      <c r="E37" s="192"/>
      <c r="F37" s="257"/>
      <c r="G37" s="257"/>
      <c r="H37" s="258" t="s">
        <v>227</v>
      </c>
      <c r="I37" s="16"/>
      <c r="J37" s="32"/>
    </row>
    <row r="38" spans="1:14" ht="15.75" hidden="1" customHeight="1">
      <c r="A38" s="46">
        <v>8</v>
      </c>
      <c r="B38" s="255" t="s">
        <v>31</v>
      </c>
      <c r="C38" s="256" t="s">
        <v>39</v>
      </c>
      <c r="D38" s="255"/>
      <c r="E38" s="192"/>
      <c r="F38" s="257">
        <v>10</v>
      </c>
      <c r="G38" s="257">
        <v>1632.6</v>
      </c>
      <c r="H38" s="258">
        <f t="shared" ref="H38:H44" si="3">SUM(F38*G38/1000)</f>
        <v>16.326000000000001</v>
      </c>
      <c r="I38" s="16">
        <f>F38/6*G38</f>
        <v>2721</v>
      </c>
      <c r="J38" s="32"/>
    </row>
    <row r="39" spans="1:14" ht="15.75" hidden="1" customHeight="1">
      <c r="A39" s="46">
        <v>9</v>
      </c>
      <c r="B39" s="255" t="s">
        <v>251</v>
      </c>
      <c r="C39" s="256" t="s">
        <v>35</v>
      </c>
      <c r="D39" s="255" t="s">
        <v>211</v>
      </c>
      <c r="E39" s="257">
        <v>254.8</v>
      </c>
      <c r="F39" s="257">
        <f>SUM(E39*30/1000)</f>
        <v>7.6440000000000001</v>
      </c>
      <c r="G39" s="257">
        <v>2247.8000000000002</v>
      </c>
      <c r="H39" s="258">
        <f t="shared" si="3"/>
        <v>17.182183200000004</v>
      </c>
      <c r="I39" s="16">
        <f>F39/6*G39</f>
        <v>2863.6972000000001</v>
      </c>
      <c r="J39" s="32"/>
      <c r="L39" s="25"/>
      <c r="M39" s="26"/>
      <c r="N39" s="27"/>
    </row>
    <row r="40" spans="1:14" ht="15.75" hidden="1" customHeight="1">
      <c r="A40" s="46"/>
      <c r="B40" s="255" t="s">
        <v>155</v>
      </c>
      <c r="C40" s="256" t="s">
        <v>212</v>
      </c>
      <c r="D40" s="255" t="s">
        <v>90</v>
      </c>
      <c r="E40" s="192"/>
      <c r="F40" s="257">
        <v>40</v>
      </c>
      <c r="G40" s="257">
        <v>213.2</v>
      </c>
      <c r="H40" s="258">
        <f t="shared" si="3"/>
        <v>8.5280000000000005</v>
      </c>
      <c r="I40" s="16">
        <v>0</v>
      </c>
      <c r="J40" s="32"/>
      <c r="L40" s="25"/>
      <c r="M40" s="26"/>
      <c r="N40" s="27"/>
    </row>
    <row r="41" spans="1:14" ht="15.75" hidden="1" customHeight="1">
      <c r="A41" s="46">
        <v>10</v>
      </c>
      <c r="B41" s="255" t="s">
        <v>92</v>
      </c>
      <c r="C41" s="256" t="s">
        <v>35</v>
      </c>
      <c r="D41" s="255" t="s">
        <v>213</v>
      </c>
      <c r="E41" s="257">
        <v>260.13</v>
      </c>
      <c r="F41" s="257">
        <f>SUM(E41*155/1000)</f>
        <v>40.320149999999998</v>
      </c>
      <c r="G41" s="257">
        <v>374.95</v>
      </c>
      <c r="H41" s="258">
        <f t="shared" si="3"/>
        <v>15.118040242499999</v>
      </c>
      <c r="I41" s="16">
        <f>F41/6*G41</f>
        <v>2519.6733737499999</v>
      </c>
      <c r="J41" s="32"/>
      <c r="L41" s="25"/>
      <c r="M41" s="26"/>
      <c r="N41" s="27"/>
    </row>
    <row r="42" spans="1:14" ht="47.25" hidden="1" customHeight="1">
      <c r="A42" s="46">
        <v>11</v>
      </c>
      <c r="B42" s="255" t="s">
        <v>117</v>
      </c>
      <c r="C42" s="256" t="s">
        <v>205</v>
      </c>
      <c r="D42" s="255" t="s">
        <v>214</v>
      </c>
      <c r="E42" s="257">
        <v>132.72999999999999</v>
      </c>
      <c r="F42" s="257">
        <f>SUM(E42*35/1000)</f>
        <v>4.6455499999999992</v>
      </c>
      <c r="G42" s="257">
        <v>6203.7</v>
      </c>
      <c r="H42" s="258">
        <f t="shared" si="3"/>
        <v>28.819598534999994</v>
      </c>
      <c r="I42" s="16">
        <f>F42/6*G42</f>
        <v>4803.266422499999</v>
      </c>
      <c r="J42" s="32"/>
      <c r="L42" s="25"/>
      <c r="M42" s="26"/>
      <c r="N42" s="27"/>
    </row>
    <row r="43" spans="1:14" ht="15.75" hidden="1" customHeight="1">
      <c r="A43" s="46">
        <v>12</v>
      </c>
      <c r="B43" s="255" t="s">
        <v>215</v>
      </c>
      <c r="C43" s="256" t="s">
        <v>205</v>
      </c>
      <c r="D43" s="255" t="s">
        <v>93</v>
      </c>
      <c r="E43" s="257">
        <v>254.8</v>
      </c>
      <c r="F43" s="257">
        <f>SUM(E43*45/1000)</f>
        <v>11.465999999999999</v>
      </c>
      <c r="G43" s="257">
        <v>458.28</v>
      </c>
      <c r="H43" s="258">
        <f t="shared" si="3"/>
        <v>5.2546384799999997</v>
      </c>
      <c r="I43" s="16">
        <f>F43/6*G43</f>
        <v>875.77307999999982</v>
      </c>
      <c r="J43" s="32"/>
      <c r="L43" s="25"/>
      <c r="M43" s="26"/>
      <c r="N43" s="27"/>
    </row>
    <row r="44" spans="1:14" ht="15.75" hidden="1" customHeight="1">
      <c r="A44" s="46">
        <v>13</v>
      </c>
      <c r="B44" s="255" t="s">
        <v>94</v>
      </c>
      <c r="C44" s="256" t="s">
        <v>40</v>
      </c>
      <c r="D44" s="255"/>
      <c r="E44" s="192"/>
      <c r="F44" s="257">
        <v>0.9</v>
      </c>
      <c r="G44" s="257">
        <v>853.06</v>
      </c>
      <c r="H44" s="258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241" t="s">
        <v>242</v>
      </c>
      <c r="B45" s="242"/>
      <c r="C45" s="242"/>
      <c r="D45" s="242"/>
      <c r="E45" s="242"/>
      <c r="F45" s="242"/>
      <c r="G45" s="242"/>
      <c r="H45" s="242"/>
      <c r="I45" s="243"/>
      <c r="J45" s="32"/>
      <c r="L45" s="25"/>
      <c r="M45" s="26"/>
      <c r="N45" s="27"/>
    </row>
    <row r="46" spans="1:14" ht="15.75" customHeight="1">
      <c r="A46" s="46">
        <v>12</v>
      </c>
      <c r="B46" s="255" t="s">
        <v>234</v>
      </c>
      <c r="C46" s="256" t="s">
        <v>205</v>
      </c>
      <c r="D46" s="255" t="s">
        <v>55</v>
      </c>
      <c r="E46" s="192">
        <v>1795.9</v>
      </c>
      <c r="F46" s="257">
        <f>SUM(E46*2/1000)</f>
        <v>3.5918000000000001</v>
      </c>
      <c r="G46" s="16">
        <v>865.61</v>
      </c>
      <c r="H46" s="258">
        <f t="shared" ref="H46:H55" si="4">SUM(F46*G46/1000)</f>
        <v>3.1090979980000002</v>
      </c>
      <c r="I46" s="16">
        <f t="shared" ref="I46:I49" si="5">F46/2*G46</f>
        <v>1554.5489990000001</v>
      </c>
      <c r="J46" s="32"/>
      <c r="L46" s="25"/>
      <c r="M46" s="26"/>
      <c r="N46" s="27"/>
    </row>
    <row r="47" spans="1:14" ht="15.75" customHeight="1">
      <c r="A47" s="46">
        <v>13</v>
      </c>
      <c r="B47" s="255" t="s">
        <v>44</v>
      </c>
      <c r="C47" s="256" t="s">
        <v>205</v>
      </c>
      <c r="D47" s="255" t="s">
        <v>55</v>
      </c>
      <c r="E47" s="192">
        <v>104</v>
      </c>
      <c r="F47" s="257">
        <f>SUM(E47*2/1000)</f>
        <v>0.20799999999999999</v>
      </c>
      <c r="G47" s="16">
        <v>619.46</v>
      </c>
      <c r="H47" s="258">
        <f t="shared" si="4"/>
        <v>0.12884767999999999</v>
      </c>
      <c r="I47" s="16">
        <f t="shared" si="5"/>
        <v>64.423839999999998</v>
      </c>
      <c r="J47" s="32"/>
      <c r="L47" s="25"/>
      <c r="M47" s="26"/>
      <c r="N47" s="27"/>
    </row>
    <row r="48" spans="1:14" ht="15.75" customHeight="1">
      <c r="A48" s="46">
        <v>14</v>
      </c>
      <c r="B48" s="255" t="s">
        <v>45</v>
      </c>
      <c r="C48" s="256" t="s">
        <v>205</v>
      </c>
      <c r="D48" s="255" t="s">
        <v>55</v>
      </c>
      <c r="E48" s="192">
        <v>1996.87</v>
      </c>
      <c r="F48" s="257">
        <f>SUM(E48*2/1000)</f>
        <v>3.9937399999999998</v>
      </c>
      <c r="G48" s="16">
        <v>619.46</v>
      </c>
      <c r="H48" s="258">
        <f t="shared" si="4"/>
        <v>2.4739621804</v>
      </c>
      <c r="I48" s="16">
        <f t="shared" si="5"/>
        <v>1236.9810901999999</v>
      </c>
      <c r="J48" s="32"/>
      <c r="L48" s="25"/>
      <c r="M48" s="26"/>
      <c r="N48" s="27"/>
    </row>
    <row r="49" spans="1:22" ht="15.75" customHeight="1">
      <c r="A49" s="46">
        <v>15</v>
      </c>
      <c r="B49" s="255" t="s">
        <v>46</v>
      </c>
      <c r="C49" s="256" t="s">
        <v>205</v>
      </c>
      <c r="D49" s="255" t="s">
        <v>55</v>
      </c>
      <c r="E49" s="192">
        <v>2630.35</v>
      </c>
      <c r="F49" s="257">
        <f>SUM(E49*2/1000)</f>
        <v>5.2606999999999999</v>
      </c>
      <c r="G49" s="16">
        <v>648.64</v>
      </c>
      <c r="H49" s="258">
        <f t="shared" si="4"/>
        <v>3.4123004479999999</v>
      </c>
      <c r="I49" s="16">
        <f t="shared" si="5"/>
        <v>1706.150224</v>
      </c>
      <c r="J49" s="32"/>
      <c r="L49" s="25"/>
      <c r="M49" s="26"/>
      <c r="N49" s="27"/>
    </row>
    <row r="50" spans="1:22" ht="15.75" customHeight="1">
      <c r="A50" s="46">
        <v>16</v>
      </c>
      <c r="B50" s="255" t="s">
        <v>42</v>
      </c>
      <c r="C50" s="256" t="s">
        <v>43</v>
      </c>
      <c r="D50" s="255" t="s">
        <v>55</v>
      </c>
      <c r="E50" s="192">
        <v>131.47</v>
      </c>
      <c r="F50" s="257">
        <f>SUM(E50*2/100)</f>
        <v>2.6294</v>
      </c>
      <c r="G50" s="16">
        <v>77.84</v>
      </c>
      <c r="H50" s="258">
        <f t="shared" si="4"/>
        <v>0.20467249599999998</v>
      </c>
      <c r="I50" s="16">
        <f>F50/2*G50</f>
        <v>102.336248</v>
      </c>
      <c r="J50" s="32"/>
      <c r="L50" s="25"/>
      <c r="M50" s="26"/>
      <c r="N50" s="27"/>
    </row>
    <row r="51" spans="1:22" ht="15.75" customHeight="1">
      <c r="A51" s="46">
        <v>17</v>
      </c>
      <c r="B51" s="255" t="s">
        <v>76</v>
      </c>
      <c r="C51" s="256" t="s">
        <v>205</v>
      </c>
      <c r="D51" s="255" t="s">
        <v>282</v>
      </c>
      <c r="E51" s="192">
        <v>2872.4</v>
      </c>
      <c r="F51" s="257">
        <f>SUM(E51*5/1000)</f>
        <v>14.362</v>
      </c>
      <c r="G51" s="16">
        <v>1297.28</v>
      </c>
      <c r="H51" s="258">
        <f t="shared" si="4"/>
        <v>18.631535359999997</v>
      </c>
      <c r="I51" s="16">
        <f>F51/5*G51</f>
        <v>3726.3070719999996</v>
      </c>
      <c r="J51" s="32"/>
      <c r="L51" s="25"/>
      <c r="M51" s="26"/>
      <c r="N51" s="27"/>
    </row>
    <row r="52" spans="1:22" ht="31.5" hidden="1" customHeight="1">
      <c r="A52" s="46"/>
      <c r="B52" s="255" t="s">
        <v>217</v>
      </c>
      <c r="C52" s="256" t="s">
        <v>205</v>
      </c>
      <c r="D52" s="255" t="s">
        <v>55</v>
      </c>
      <c r="E52" s="192">
        <v>2872.4</v>
      </c>
      <c r="F52" s="257">
        <f>SUM(E52*2/1000)</f>
        <v>5.7448000000000006</v>
      </c>
      <c r="G52" s="16">
        <v>1297.28</v>
      </c>
      <c r="H52" s="258">
        <f t="shared" si="4"/>
        <v>7.4526141440000009</v>
      </c>
      <c r="I52" s="16">
        <v>0</v>
      </c>
      <c r="J52" s="32"/>
      <c r="L52" s="25"/>
      <c r="M52" s="26"/>
      <c r="N52" s="27"/>
    </row>
    <row r="53" spans="1:22" ht="31.5" hidden="1" customHeight="1">
      <c r="A53" s="46"/>
      <c r="B53" s="255" t="s">
        <v>218</v>
      </c>
      <c r="C53" s="256" t="s">
        <v>49</v>
      </c>
      <c r="D53" s="255" t="s">
        <v>55</v>
      </c>
      <c r="E53" s="192">
        <v>40</v>
      </c>
      <c r="F53" s="257">
        <f>SUM(E53*2/100)</f>
        <v>0.8</v>
      </c>
      <c r="G53" s="16">
        <v>2918.89</v>
      </c>
      <c r="H53" s="258">
        <f t="shared" si="4"/>
        <v>2.3351120000000001</v>
      </c>
      <c r="I53" s="16">
        <v>0</v>
      </c>
      <c r="J53" s="32"/>
      <c r="L53" s="25"/>
      <c r="M53" s="26"/>
      <c r="N53" s="27"/>
    </row>
    <row r="54" spans="1:22" ht="15.75" hidden="1" customHeight="1">
      <c r="A54" s="46"/>
      <c r="B54" s="255" t="s">
        <v>50</v>
      </c>
      <c r="C54" s="256" t="s">
        <v>51</v>
      </c>
      <c r="D54" s="255" t="s">
        <v>55</v>
      </c>
      <c r="E54" s="192">
        <v>1</v>
      </c>
      <c r="F54" s="257">
        <v>0.02</v>
      </c>
      <c r="G54" s="16">
        <v>6042.12</v>
      </c>
      <c r="H54" s="258">
        <f t="shared" si="4"/>
        <v>0.1208424</v>
      </c>
      <c r="I54" s="16">
        <v>0</v>
      </c>
      <c r="J54" s="32"/>
      <c r="L54" s="25"/>
      <c r="M54" s="26"/>
      <c r="N54" s="27"/>
    </row>
    <row r="55" spans="1:22" ht="15.75" hidden="1" customHeight="1">
      <c r="A55" s="46">
        <v>15</v>
      </c>
      <c r="B55" s="255" t="s">
        <v>54</v>
      </c>
      <c r="C55" s="256" t="s">
        <v>37</v>
      </c>
      <c r="D55" s="255" t="s">
        <v>95</v>
      </c>
      <c r="E55" s="192">
        <v>160</v>
      </c>
      <c r="F55" s="257">
        <f>SUM(E55)*3</f>
        <v>480</v>
      </c>
      <c r="G55" s="16">
        <v>70.209999999999994</v>
      </c>
      <c r="H55" s="258">
        <f t="shared" si="4"/>
        <v>33.700799999999994</v>
      </c>
      <c r="I55" s="16">
        <f>E55*G55</f>
        <v>11233.599999999999</v>
      </c>
      <c r="J55" s="32"/>
      <c r="L55" s="25"/>
      <c r="M55" s="26"/>
      <c r="N55" s="27"/>
    </row>
    <row r="56" spans="1:22" ht="15.75" customHeight="1">
      <c r="A56" s="241" t="s">
        <v>243</v>
      </c>
      <c r="B56" s="242"/>
      <c r="C56" s="242"/>
      <c r="D56" s="242"/>
      <c r="E56" s="242"/>
      <c r="F56" s="242"/>
      <c r="G56" s="242"/>
      <c r="H56" s="242"/>
      <c r="I56" s="243"/>
      <c r="J56" s="32"/>
      <c r="L56" s="25"/>
      <c r="M56" s="26"/>
      <c r="N56" s="27"/>
    </row>
    <row r="57" spans="1:22" ht="15.75" hidden="1" customHeight="1">
      <c r="A57" s="46"/>
      <c r="B57" s="279" t="s">
        <v>56</v>
      </c>
      <c r="C57" s="256"/>
      <c r="D57" s="255"/>
      <c r="E57" s="192"/>
      <c r="F57" s="257"/>
      <c r="G57" s="257"/>
      <c r="H57" s="258"/>
      <c r="I57" s="16"/>
      <c r="J57" s="32"/>
      <c r="L57" s="25"/>
      <c r="M57" s="26"/>
      <c r="N57" s="27"/>
    </row>
    <row r="58" spans="1:22" ht="31.5" hidden="1" customHeight="1">
      <c r="A58" s="46">
        <v>16</v>
      </c>
      <c r="B58" s="255" t="s">
        <v>220</v>
      </c>
      <c r="C58" s="256" t="s">
        <v>196</v>
      </c>
      <c r="D58" s="255" t="s">
        <v>96</v>
      </c>
      <c r="E58" s="192">
        <v>239.59</v>
      </c>
      <c r="F58" s="257">
        <f>E58*6/100</f>
        <v>14.375399999999999</v>
      </c>
      <c r="G58" s="264">
        <v>1654.04</v>
      </c>
      <c r="H58" s="258">
        <f>F58*G58/1000</f>
        <v>23.777486615999997</v>
      </c>
      <c r="I58" s="16">
        <f>F58/6*G58</f>
        <v>3962.9144359999996</v>
      </c>
      <c r="J58" s="32"/>
      <c r="L58" s="25"/>
      <c r="M58" s="26"/>
      <c r="N58" s="27"/>
    </row>
    <row r="59" spans="1:22" ht="15.75" customHeight="1">
      <c r="A59" s="46"/>
      <c r="B59" s="280" t="s">
        <v>57</v>
      </c>
      <c r="C59" s="265"/>
      <c r="D59" s="266"/>
      <c r="E59" s="267"/>
      <c r="F59" s="269"/>
      <c r="G59" s="16"/>
      <c r="H59" s="271"/>
      <c r="I59" s="16"/>
      <c r="J59" s="32"/>
      <c r="L59" s="25"/>
      <c r="M59" s="26"/>
      <c r="N59" s="27"/>
    </row>
    <row r="60" spans="1:22" ht="15.75" hidden="1" customHeight="1">
      <c r="A60" s="46"/>
      <c r="B60" s="266" t="s">
        <v>58</v>
      </c>
      <c r="C60" s="265" t="s">
        <v>68</v>
      </c>
      <c r="D60" s="266" t="s">
        <v>69</v>
      </c>
      <c r="E60" s="267">
        <v>2686</v>
      </c>
      <c r="F60" s="269">
        <f>E60/100</f>
        <v>26.86</v>
      </c>
      <c r="G60" s="16">
        <v>848.37</v>
      </c>
      <c r="H60" s="271">
        <f>G60*F60/1000</f>
        <v>22.787218199999998</v>
      </c>
      <c r="I60" s="16">
        <v>0</v>
      </c>
      <c r="J60" s="32"/>
      <c r="L60" s="25"/>
    </row>
    <row r="61" spans="1:22" ht="15.75" customHeight="1">
      <c r="A61" s="46">
        <v>18</v>
      </c>
      <c r="B61" s="266" t="s">
        <v>158</v>
      </c>
      <c r="C61" s="265" t="s">
        <v>29</v>
      </c>
      <c r="D61" s="266" t="s">
        <v>36</v>
      </c>
      <c r="E61" s="267">
        <v>343</v>
      </c>
      <c r="F61" s="269">
        <v>4116</v>
      </c>
      <c r="G61" s="16">
        <v>2.6</v>
      </c>
      <c r="H61" s="271">
        <f>F61*G61</f>
        <v>10701.6</v>
      </c>
      <c r="I61" s="16">
        <f>F61/12*G61</f>
        <v>891.80000000000007</v>
      </c>
    </row>
    <row r="62" spans="1:22" ht="15.75" hidden="1" customHeight="1">
      <c r="A62" s="46"/>
      <c r="B62" s="280" t="s">
        <v>235</v>
      </c>
      <c r="C62" s="265"/>
      <c r="D62" s="266"/>
      <c r="E62" s="267"/>
      <c r="F62" s="269"/>
      <c r="G62" s="16"/>
      <c r="H62" s="271"/>
      <c r="I62" s="16"/>
    </row>
    <row r="63" spans="1:22" ht="15.75" hidden="1" customHeight="1">
      <c r="A63" s="46"/>
      <c r="B63" s="266" t="s">
        <v>236</v>
      </c>
      <c r="C63" s="265" t="s">
        <v>37</v>
      </c>
      <c r="D63" s="266" t="s">
        <v>90</v>
      </c>
      <c r="E63" s="267">
        <v>3</v>
      </c>
      <c r="F63" s="268">
        <v>3</v>
      </c>
      <c r="G63" s="270">
        <v>254.16</v>
      </c>
      <c r="H63" s="269">
        <v>0.76200000000000001</v>
      </c>
      <c r="I63" s="16">
        <v>0</v>
      </c>
    </row>
    <row r="64" spans="1:22" ht="15.75" customHeight="1">
      <c r="A64" s="46"/>
      <c r="B64" s="280" t="s">
        <v>59</v>
      </c>
      <c r="C64" s="265"/>
      <c r="D64" s="266"/>
      <c r="E64" s="267"/>
      <c r="F64" s="268"/>
      <c r="G64" s="268"/>
      <c r="H64" s="269" t="s">
        <v>227</v>
      </c>
      <c r="I64" s="1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hidden="1" customHeight="1">
      <c r="A65" s="46"/>
      <c r="B65" s="18" t="s">
        <v>60</v>
      </c>
      <c r="C65" s="20" t="s">
        <v>219</v>
      </c>
      <c r="D65" s="266" t="s">
        <v>90</v>
      </c>
      <c r="E65" s="23">
        <v>15</v>
      </c>
      <c r="F65" s="257">
        <v>15</v>
      </c>
      <c r="G65" s="16">
        <v>237.74</v>
      </c>
      <c r="H65" s="272">
        <f t="shared" ref="H65:H78" si="6">SUM(F65*G65/1000)</f>
        <v>3.5661000000000005</v>
      </c>
      <c r="I65" s="16">
        <v>0</v>
      </c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/>
      <c r="B66" s="18" t="s">
        <v>61</v>
      </c>
      <c r="C66" s="20" t="s">
        <v>219</v>
      </c>
      <c r="D66" s="266" t="s">
        <v>90</v>
      </c>
      <c r="E66" s="23">
        <v>5</v>
      </c>
      <c r="F66" s="257">
        <v>5</v>
      </c>
      <c r="G66" s="16">
        <v>81.510000000000005</v>
      </c>
      <c r="H66" s="272">
        <f t="shared" si="6"/>
        <v>0.40755000000000002</v>
      </c>
      <c r="I66" s="16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62</v>
      </c>
      <c r="C67" s="20" t="s">
        <v>221</v>
      </c>
      <c r="D67" s="18" t="s">
        <v>69</v>
      </c>
      <c r="E67" s="192">
        <v>24123</v>
      </c>
      <c r="F67" s="16">
        <f>SUM(E67/100)</f>
        <v>241.23</v>
      </c>
      <c r="G67" s="16">
        <v>226.79</v>
      </c>
      <c r="H67" s="272">
        <f t="shared" si="6"/>
        <v>54.708551699999994</v>
      </c>
      <c r="I67" s="16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221"/>
      <c r="S67" s="221"/>
      <c r="T67" s="221"/>
      <c r="U67" s="221"/>
    </row>
    <row r="68" spans="1:21" ht="15.75" hidden="1" customHeight="1">
      <c r="A68" s="46"/>
      <c r="B68" s="18" t="s">
        <v>63</v>
      </c>
      <c r="C68" s="20" t="s">
        <v>222</v>
      </c>
      <c r="D68" s="18"/>
      <c r="E68" s="192">
        <v>24123</v>
      </c>
      <c r="F68" s="16">
        <f>SUM(E68/1000)</f>
        <v>24.123000000000001</v>
      </c>
      <c r="G68" s="16">
        <v>176.61</v>
      </c>
      <c r="H68" s="272">
        <f t="shared" si="6"/>
        <v>4.2603630300000006</v>
      </c>
      <c r="I68" s="16">
        <f t="shared" ref="I68:I72" si="7">F68*G68</f>
        <v>4260.3630300000004</v>
      </c>
    </row>
    <row r="69" spans="1:21" ht="15.75" hidden="1" customHeight="1">
      <c r="A69" s="46"/>
      <c r="B69" s="18" t="s">
        <v>64</v>
      </c>
      <c r="C69" s="20" t="s">
        <v>101</v>
      </c>
      <c r="D69" s="18" t="s">
        <v>69</v>
      </c>
      <c r="E69" s="192">
        <v>2730</v>
      </c>
      <c r="F69" s="16">
        <f>SUM(E69/100)</f>
        <v>27.3</v>
      </c>
      <c r="G69" s="16">
        <v>2217.7800000000002</v>
      </c>
      <c r="H69" s="272">
        <f t="shared" si="6"/>
        <v>60.545394000000009</v>
      </c>
      <c r="I69" s="16">
        <f t="shared" si="7"/>
        <v>60545.394000000008</v>
      </c>
    </row>
    <row r="70" spans="1:21" ht="15.75" hidden="1" customHeight="1">
      <c r="A70" s="46"/>
      <c r="B70" s="273" t="s">
        <v>223</v>
      </c>
      <c r="C70" s="20" t="s">
        <v>40</v>
      </c>
      <c r="D70" s="18"/>
      <c r="E70" s="192">
        <v>23</v>
      </c>
      <c r="F70" s="16">
        <f>SUM(E70)</f>
        <v>23</v>
      </c>
      <c r="G70" s="16">
        <v>42.67</v>
      </c>
      <c r="H70" s="272">
        <f t="shared" si="6"/>
        <v>0.98141000000000012</v>
      </c>
      <c r="I70" s="16">
        <f t="shared" si="7"/>
        <v>981.41000000000008</v>
      </c>
    </row>
    <row r="71" spans="1:21" ht="15.75" hidden="1" customHeight="1">
      <c r="A71" s="46"/>
      <c r="B71" s="273" t="s">
        <v>224</v>
      </c>
      <c r="C71" s="20" t="s">
        <v>40</v>
      </c>
      <c r="D71" s="18"/>
      <c r="E71" s="192">
        <v>23</v>
      </c>
      <c r="F71" s="16">
        <f>SUM(E71)</f>
        <v>23</v>
      </c>
      <c r="G71" s="16">
        <v>39.81</v>
      </c>
      <c r="H71" s="272">
        <f t="shared" si="6"/>
        <v>0.91563000000000005</v>
      </c>
      <c r="I71" s="16">
        <f t="shared" si="7"/>
        <v>915.63000000000011</v>
      </c>
    </row>
    <row r="72" spans="1:21" ht="15.75" customHeight="1">
      <c r="A72" s="46">
        <v>19</v>
      </c>
      <c r="B72" s="18" t="s">
        <v>77</v>
      </c>
      <c r="C72" s="20" t="s">
        <v>78</v>
      </c>
      <c r="D72" s="18" t="s">
        <v>69</v>
      </c>
      <c r="E72" s="23">
        <v>10</v>
      </c>
      <c r="F72" s="257">
        <f>SUM(E72)</f>
        <v>10</v>
      </c>
      <c r="G72" s="16">
        <v>53.32</v>
      </c>
      <c r="H72" s="272">
        <f t="shared" si="6"/>
        <v>0.53320000000000001</v>
      </c>
      <c r="I72" s="16">
        <f t="shared" si="7"/>
        <v>533.20000000000005</v>
      </c>
    </row>
    <row r="73" spans="1:21" ht="15.75" hidden="1" customHeight="1">
      <c r="A73" s="46"/>
      <c r="B73" s="208" t="s">
        <v>97</v>
      </c>
      <c r="C73" s="20"/>
      <c r="D73" s="18"/>
      <c r="E73" s="23"/>
      <c r="F73" s="16"/>
      <c r="G73" s="16"/>
      <c r="H73" s="272" t="s">
        <v>227</v>
      </c>
      <c r="I73" s="16"/>
    </row>
    <row r="74" spans="1:21" ht="15.75" hidden="1" customHeight="1">
      <c r="A74" s="46"/>
      <c r="B74" s="18" t="s">
        <v>98</v>
      </c>
      <c r="C74" s="20" t="s">
        <v>38</v>
      </c>
      <c r="D74" s="18"/>
      <c r="E74" s="23">
        <v>2</v>
      </c>
      <c r="F74" s="248">
        <v>0.2</v>
      </c>
      <c r="G74" s="16">
        <v>536.23</v>
      </c>
      <c r="H74" s="272">
        <v>0.251</v>
      </c>
      <c r="I74" s="16">
        <v>0</v>
      </c>
    </row>
    <row r="75" spans="1:21" ht="15.75" hidden="1" customHeight="1">
      <c r="A75" s="46"/>
      <c r="B75" s="18" t="s">
        <v>135</v>
      </c>
      <c r="C75" s="20" t="s">
        <v>37</v>
      </c>
      <c r="D75" s="18"/>
      <c r="E75" s="23">
        <v>1</v>
      </c>
      <c r="F75" s="257">
        <f>SUM(E75)</f>
        <v>1</v>
      </c>
      <c r="G75" s="16">
        <v>383.25</v>
      </c>
      <c r="H75" s="272">
        <f t="shared" si="6"/>
        <v>0.38324999999999998</v>
      </c>
      <c r="I75" s="16">
        <v>0</v>
      </c>
    </row>
    <row r="76" spans="1:21" ht="15.75" hidden="1" customHeight="1">
      <c r="A76" s="46"/>
      <c r="B76" s="18" t="s">
        <v>99</v>
      </c>
      <c r="C76" s="20" t="s">
        <v>37</v>
      </c>
      <c r="D76" s="18"/>
      <c r="E76" s="23">
        <v>2</v>
      </c>
      <c r="F76" s="16">
        <v>2</v>
      </c>
      <c r="G76" s="16">
        <v>911.85</v>
      </c>
      <c r="H76" s="272">
        <f>F76*G76/1000</f>
        <v>1.8237000000000001</v>
      </c>
      <c r="I76" s="16">
        <v>0</v>
      </c>
    </row>
    <row r="77" spans="1:21" ht="15.75" hidden="1" customHeight="1">
      <c r="A77" s="46"/>
      <c r="B77" s="274" t="s">
        <v>100</v>
      </c>
      <c r="C77" s="20"/>
      <c r="D77" s="18"/>
      <c r="E77" s="23"/>
      <c r="F77" s="16"/>
      <c r="G77" s="16" t="s">
        <v>227</v>
      </c>
      <c r="H77" s="272" t="s">
        <v>227</v>
      </c>
      <c r="I77" s="16"/>
    </row>
    <row r="78" spans="1:21" ht="15.75" hidden="1" customHeight="1">
      <c r="A78" s="46"/>
      <c r="B78" s="82" t="s">
        <v>228</v>
      </c>
      <c r="C78" s="20" t="s">
        <v>101</v>
      </c>
      <c r="D78" s="18"/>
      <c r="E78" s="23"/>
      <c r="F78" s="16">
        <v>1.35</v>
      </c>
      <c r="G78" s="16">
        <v>2949.85</v>
      </c>
      <c r="H78" s="272">
        <f t="shared" si="6"/>
        <v>3.9822975</v>
      </c>
      <c r="I78" s="16">
        <v>0</v>
      </c>
    </row>
    <row r="79" spans="1:21" ht="15.75" hidden="1" customHeight="1">
      <c r="A79" s="46"/>
      <c r="B79" s="260" t="s">
        <v>225</v>
      </c>
      <c r="C79" s="274"/>
      <c r="D79" s="52"/>
      <c r="E79" s="54"/>
      <c r="F79" s="261"/>
      <c r="G79" s="261"/>
      <c r="H79" s="275">
        <f>SUM(H58:H78)</f>
        <v>10881.285151046004</v>
      </c>
      <c r="I79" s="261"/>
    </row>
    <row r="80" spans="1:21" ht="15.75" hidden="1" customHeight="1">
      <c r="A80" s="46"/>
      <c r="B80" s="255" t="s">
        <v>226</v>
      </c>
      <c r="C80" s="20"/>
      <c r="D80" s="18"/>
      <c r="E80" s="249"/>
      <c r="F80" s="16">
        <v>1</v>
      </c>
      <c r="G80" s="16">
        <v>19342.2</v>
      </c>
      <c r="H80" s="272">
        <f>G80*F80/1000</f>
        <v>19.342200000000002</v>
      </c>
      <c r="I80" s="16">
        <v>0</v>
      </c>
    </row>
    <row r="81" spans="1:9" ht="15.75" customHeight="1">
      <c r="A81" s="244" t="s">
        <v>244</v>
      </c>
      <c r="B81" s="245"/>
      <c r="C81" s="245"/>
      <c r="D81" s="245"/>
      <c r="E81" s="245"/>
      <c r="F81" s="245"/>
      <c r="G81" s="245"/>
      <c r="H81" s="245"/>
      <c r="I81" s="246"/>
    </row>
    <row r="82" spans="1:9" ht="15.75" customHeight="1">
      <c r="A82" s="46">
        <v>20</v>
      </c>
      <c r="B82" s="255" t="s">
        <v>229</v>
      </c>
      <c r="C82" s="20" t="s">
        <v>73</v>
      </c>
      <c r="D82" s="276" t="s">
        <v>74</v>
      </c>
      <c r="E82" s="16">
        <v>4591.2</v>
      </c>
      <c r="F82" s="16">
        <f>SUM(E82*12)</f>
        <v>55094.399999999994</v>
      </c>
      <c r="G82" s="16">
        <v>2.54</v>
      </c>
      <c r="H82" s="272">
        <f>SUM(F82*G82/1000)</f>
        <v>139.93977599999999</v>
      </c>
      <c r="I82" s="16">
        <f>F82/12*G82</f>
        <v>11661.647999999999</v>
      </c>
    </row>
    <row r="83" spans="1:9" ht="31.5" customHeight="1">
      <c r="A83" s="46">
        <v>21</v>
      </c>
      <c r="B83" s="18" t="s">
        <v>102</v>
      </c>
      <c r="C83" s="20"/>
      <c r="D83" s="276" t="s">
        <v>74</v>
      </c>
      <c r="E83" s="192">
        <f>E82</f>
        <v>4591.2</v>
      </c>
      <c r="F83" s="16">
        <f>E83*12</f>
        <v>55094.399999999994</v>
      </c>
      <c r="G83" s="16">
        <v>2.0499999999999998</v>
      </c>
      <c r="H83" s="272">
        <f>F83*G83/1000</f>
        <v>112.94351999999998</v>
      </c>
      <c r="I83" s="16">
        <f>F83/12*G83</f>
        <v>9411.9599999999991</v>
      </c>
    </row>
    <row r="84" spans="1:9" ht="15.75" customHeight="1">
      <c r="A84" s="123"/>
      <c r="B84" s="69" t="s">
        <v>107</v>
      </c>
      <c r="C84" s="71"/>
      <c r="D84" s="19"/>
      <c r="E84" s="19"/>
      <c r="F84" s="19"/>
      <c r="G84" s="23"/>
      <c r="H84" s="23"/>
      <c r="I84" s="54">
        <f>SUM(I16+I17+I18+I20+I21+I26+I27+I30+I31+I33+I34+I46+I47+I48+I49+I50+I51+I61+I72+I82+I83)</f>
        <v>82175.58313340001</v>
      </c>
    </row>
    <row r="85" spans="1:9" ht="15.75" customHeight="1">
      <c r="A85" s="123"/>
      <c r="B85" s="189" t="s">
        <v>80</v>
      </c>
      <c r="C85" s="189"/>
      <c r="D85" s="189"/>
      <c r="E85" s="189"/>
      <c r="F85" s="189"/>
      <c r="G85" s="189"/>
      <c r="H85" s="189"/>
      <c r="I85" s="189"/>
    </row>
    <row r="86" spans="1:9" ht="15.75" customHeight="1">
      <c r="A86" s="46">
        <v>22</v>
      </c>
      <c r="B86" s="277" t="s">
        <v>264</v>
      </c>
      <c r="C86" s="278" t="s">
        <v>265</v>
      </c>
      <c r="D86" s="82"/>
      <c r="E86" s="16"/>
      <c r="F86" s="16">
        <f>2/10</f>
        <v>0.2</v>
      </c>
      <c r="G86" s="16">
        <v>16494.61</v>
      </c>
      <c r="H86" s="272">
        <f t="shared" ref="H86" si="8">G86*F86/1000</f>
        <v>3.2989220000000006</v>
      </c>
      <c r="I86" s="16">
        <f>G86*0.1</f>
        <v>1649.4610000000002</v>
      </c>
    </row>
    <row r="87" spans="1:9" ht="15.75" customHeight="1">
      <c r="A87" s="46"/>
      <c r="B87" s="76" t="s">
        <v>66</v>
      </c>
      <c r="C87" s="72"/>
      <c r="D87" s="125"/>
      <c r="E87" s="72">
        <v>1</v>
      </c>
      <c r="F87" s="72"/>
      <c r="G87" s="72"/>
      <c r="H87" s="72"/>
      <c r="I87" s="54">
        <f>SUM(I86:I86)</f>
        <v>1649.4610000000002</v>
      </c>
    </row>
    <row r="88" spans="1:9" ht="15.75" customHeight="1">
      <c r="A88" s="46"/>
      <c r="B88" s="82" t="s">
        <v>103</v>
      </c>
      <c r="C88" s="19"/>
      <c r="D88" s="19"/>
      <c r="E88" s="73"/>
      <c r="F88" s="73"/>
      <c r="G88" s="74"/>
      <c r="H88" s="74"/>
      <c r="I88" s="22">
        <v>0</v>
      </c>
    </row>
    <row r="89" spans="1:9" ht="15.75" customHeight="1">
      <c r="A89" s="126"/>
      <c r="B89" s="77" t="s">
        <v>67</v>
      </c>
      <c r="C89" s="60"/>
      <c r="D89" s="60"/>
      <c r="E89" s="60"/>
      <c r="F89" s="60"/>
      <c r="G89" s="60"/>
      <c r="H89" s="60"/>
      <c r="I89" s="75">
        <f>I84+I87</f>
        <v>83825.044133400006</v>
      </c>
    </row>
    <row r="90" spans="1:9" ht="15.75" customHeight="1">
      <c r="A90" s="234" t="s">
        <v>310</v>
      </c>
      <c r="B90" s="234"/>
      <c r="C90" s="234"/>
      <c r="D90" s="234"/>
      <c r="E90" s="234"/>
      <c r="F90" s="234"/>
      <c r="G90" s="234"/>
      <c r="H90" s="234"/>
      <c r="I90" s="234"/>
    </row>
    <row r="91" spans="1:9" ht="15.75" customHeight="1">
      <c r="A91" s="209"/>
      <c r="B91" s="235" t="s">
        <v>311</v>
      </c>
      <c r="C91" s="235"/>
      <c r="D91" s="235"/>
      <c r="E91" s="235"/>
      <c r="F91" s="235"/>
      <c r="G91" s="235"/>
      <c r="H91" s="253"/>
      <c r="I91" s="3"/>
    </row>
    <row r="92" spans="1:9" ht="15.75" customHeight="1">
      <c r="A92" s="203"/>
      <c r="B92" s="219" t="s">
        <v>7</v>
      </c>
      <c r="C92" s="219"/>
      <c r="D92" s="219"/>
      <c r="E92" s="219"/>
      <c r="F92" s="219"/>
      <c r="G92" s="219"/>
      <c r="H92" s="36"/>
      <c r="I92" s="5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236" t="s">
        <v>8</v>
      </c>
      <c r="B94" s="236"/>
      <c r="C94" s="236"/>
      <c r="D94" s="236"/>
      <c r="E94" s="236"/>
      <c r="F94" s="236"/>
      <c r="G94" s="236"/>
      <c r="H94" s="236"/>
      <c r="I94" s="236"/>
    </row>
    <row r="95" spans="1:9" ht="15.75" customHeight="1">
      <c r="A95" s="236" t="s">
        <v>9</v>
      </c>
      <c r="B95" s="236"/>
      <c r="C95" s="236"/>
      <c r="D95" s="236"/>
      <c r="E95" s="236"/>
      <c r="F95" s="236"/>
      <c r="G95" s="236"/>
      <c r="H95" s="236"/>
      <c r="I95" s="236"/>
    </row>
    <row r="96" spans="1:9" ht="15.75" customHeight="1">
      <c r="A96" s="237" t="s">
        <v>82</v>
      </c>
      <c r="B96" s="237"/>
      <c r="C96" s="237"/>
      <c r="D96" s="237"/>
      <c r="E96" s="237"/>
      <c r="F96" s="237"/>
      <c r="G96" s="237"/>
      <c r="H96" s="237"/>
      <c r="I96" s="237"/>
    </row>
    <row r="97" spans="1:9" ht="15.75" customHeight="1">
      <c r="A97" s="12"/>
    </row>
    <row r="98" spans="1:9" ht="15.75" customHeight="1">
      <c r="A98" s="238" t="s">
        <v>11</v>
      </c>
      <c r="B98" s="238"/>
      <c r="C98" s="238"/>
      <c r="D98" s="238"/>
      <c r="E98" s="238"/>
      <c r="F98" s="238"/>
      <c r="G98" s="238"/>
      <c r="H98" s="238"/>
      <c r="I98" s="238"/>
    </row>
    <row r="99" spans="1:9" ht="15.75" customHeight="1">
      <c r="A99" s="4"/>
    </row>
    <row r="100" spans="1:9" ht="15.75" customHeight="1">
      <c r="B100" s="206" t="s">
        <v>12</v>
      </c>
      <c r="C100" s="247" t="s">
        <v>141</v>
      </c>
      <c r="D100" s="247"/>
      <c r="E100" s="247"/>
      <c r="F100" s="251"/>
      <c r="I100" s="205"/>
    </row>
    <row r="101" spans="1:9" ht="15.75" customHeight="1">
      <c r="A101" s="203"/>
      <c r="C101" s="219" t="s">
        <v>13</v>
      </c>
      <c r="D101" s="219"/>
      <c r="E101" s="219"/>
      <c r="F101" s="36"/>
      <c r="I101" s="204" t="s">
        <v>14</v>
      </c>
    </row>
    <row r="102" spans="1:9" ht="15.75" customHeight="1">
      <c r="A102" s="37"/>
      <c r="C102" s="13"/>
      <c r="D102" s="13"/>
      <c r="G102" s="13"/>
      <c r="H102" s="13"/>
    </row>
    <row r="103" spans="1:9" ht="15.75" customHeight="1">
      <c r="B103" s="206" t="s">
        <v>15</v>
      </c>
      <c r="C103" s="220"/>
      <c r="D103" s="220"/>
      <c r="E103" s="220"/>
      <c r="F103" s="252"/>
      <c r="I103" s="205"/>
    </row>
    <row r="104" spans="1:9" ht="15.75" customHeight="1">
      <c r="A104" s="203"/>
      <c r="C104" s="221" t="s">
        <v>13</v>
      </c>
      <c r="D104" s="221"/>
      <c r="E104" s="221"/>
      <c r="F104" s="203"/>
      <c r="I104" s="204" t="s">
        <v>14</v>
      </c>
    </row>
    <row r="105" spans="1:9" ht="15.75" customHeight="1">
      <c r="A105" s="4" t="s">
        <v>16</v>
      </c>
    </row>
    <row r="106" spans="1:9" ht="15.75" customHeight="1">
      <c r="A106" s="239" t="s">
        <v>17</v>
      </c>
      <c r="B106" s="239"/>
      <c r="C106" s="239"/>
      <c r="D106" s="239"/>
      <c r="E106" s="239"/>
      <c r="F106" s="239"/>
      <c r="G106" s="239"/>
      <c r="H106" s="239"/>
      <c r="I106" s="239"/>
    </row>
    <row r="107" spans="1:9" ht="45" customHeight="1">
      <c r="A107" s="213" t="s">
        <v>18</v>
      </c>
      <c r="B107" s="213"/>
      <c r="C107" s="213"/>
      <c r="D107" s="213"/>
      <c r="E107" s="213"/>
      <c r="F107" s="213"/>
      <c r="G107" s="213"/>
      <c r="H107" s="213"/>
      <c r="I107" s="213"/>
    </row>
    <row r="108" spans="1:9" ht="30" customHeight="1">
      <c r="A108" s="213" t="s">
        <v>19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30" customHeight="1">
      <c r="A109" s="213" t="s">
        <v>24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" customHeight="1">
      <c r="A110" s="213" t="s">
        <v>23</v>
      </c>
      <c r="B110" s="213"/>
      <c r="C110" s="213"/>
      <c r="D110" s="213"/>
      <c r="E110" s="213"/>
      <c r="F110" s="213"/>
      <c r="G110" s="213"/>
      <c r="H110" s="213"/>
      <c r="I110" s="213"/>
    </row>
  </sheetData>
  <autoFilter ref="I12:I6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2017-05-23T07:20:52Z</cp:lastPrinted>
  <dcterms:created xsi:type="dcterms:W3CDTF">2016-03-25T08:33:47Z</dcterms:created>
  <dcterms:modified xsi:type="dcterms:W3CDTF">2017-05-23T08:34:20Z</dcterms:modified>
</cp:coreProperties>
</file>