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10" yWindow="540" windowWidth="15390" windowHeight="11280" activeTab="11"/>
  </bookViews>
  <sheets>
    <sheet name="01.18" sheetId="17" r:id="rId1"/>
    <sheet name="02.18" sheetId="18" r:id="rId2"/>
    <sheet name="03.18" sheetId="19" r:id="rId3"/>
    <sheet name="04.18" sheetId="20" r:id="rId4"/>
    <sheet name="05.18" sheetId="21" r:id="rId5"/>
    <sheet name="06.18" sheetId="22" r:id="rId6"/>
    <sheet name="07.18" sheetId="23" r:id="rId7"/>
    <sheet name="08.18" sheetId="24" r:id="rId8"/>
    <sheet name="09.18" sheetId="25" r:id="rId9"/>
    <sheet name="10.18" sheetId="26" r:id="rId10"/>
    <sheet name="11.18" sheetId="27" r:id="rId11"/>
    <sheet name="12.18" sheetId="28" r:id="rId12"/>
  </sheets>
  <definedNames>
    <definedName name="_xlnm.Print_Titles" localSheetId="4">'05.18'!$12:$13</definedName>
    <definedName name="_xlnm.Print_Area" localSheetId="0">'01.18'!$A$1:$I$129</definedName>
    <definedName name="_xlnm.Print_Area" localSheetId="1">'02.18'!$A$1:$I$129</definedName>
    <definedName name="_xlnm.Print_Area" localSheetId="2">'03.18'!$A$1:$I$130</definedName>
    <definedName name="_xlnm.Print_Area" localSheetId="3">'04.18'!$A$1:$I$134</definedName>
    <definedName name="_xlnm.Print_Area" localSheetId="4">'05.18'!$A$1:$I$130</definedName>
    <definedName name="_xlnm.Print_Area" localSheetId="5">'06.18'!$A$1:$I$131</definedName>
    <definedName name="_xlnm.Print_Area" localSheetId="6">'07.18'!$A$1:$I$129</definedName>
    <definedName name="_xlnm.Print_Area" localSheetId="7">'08.18'!$A$1:$I$131</definedName>
    <definedName name="_xlnm.Print_Area" localSheetId="8">'09.18'!$A$1:$I$130</definedName>
    <definedName name="_xlnm.Print_Area" localSheetId="9">'10.18'!$A$1:$I$131</definedName>
    <definedName name="_xlnm.Print_Area" localSheetId="10">'11.18'!$A$1:$I$133</definedName>
    <definedName name="_xlnm.Print_Area" localSheetId="11">'12.18'!$A$1:$I$129</definedName>
  </definedNames>
  <calcPr calcId="124519"/>
</workbook>
</file>

<file path=xl/calcChain.xml><?xml version="1.0" encoding="utf-8"?>
<calcChain xmlns="http://schemas.openxmlformats.org/spreadsheetml/2006/main">
  <c r="I107" i="20"/>
  <c r="I102" i="28"/>
  <c r="I105"/>
  <c r="I104"/>
  <c r="I63"/>
  <c r="H63"/>
  <c r="I45"/>
  <c r="I110" i="27"/>
  <c r="I109"/>
  <c r="I102"/>
  <c r="I108"/>
  <c r="I107"/>
  <c r="I106"/>
  <c r="I105"/>
  <c r="I104"/>
  <c r="I86"/>
  <c r="I65"/>
  <c r="I63"/>
  <c r="H63"/>
  <c r="I45"/>
  <c r="I102" i="26"/>
  <c r="I89"/>
  <c r="I108"/>
  <c r="I107"/>
  <c r="I106"/>
  <c r="I105"/>
  <c r="I104"/>
  <c r="I86"/>
  <c r="I65"/>
  <c r="I77"/>
  <c r="I65" i="25"/>
  <c r="I107"/>
  <c r="I106"/>
  <c r="I105"/>
  <c r="I104"/>
  <c r="I103"/>
  <c r="I102"/>
  <c r="I79"/>
  <c r="I77"/>
  <c r="I86"/>
  <c r="I84"/>
  <c r="I102" i="24"/>
  <c r="I89"/>
  <c r="I108" l="1"/>
  <c r="I107"/>
  <c r="I106"/>
  <c r="I105"/>
  <c r="I104"/>
  <c r="I77"/>
  <c r="I79"/>
  <c r="I103" i="20"/>
  <c r="I111"/>
  <c r="I104" i="19"/>
  <c r="I60"/>
  <c r="I60" i="18"/>
  <c r="I104" i="23"/>
  <c r="I89"/>
  <c r="I86"/>
  <c r="I102" i="22"/>
  <c r="I110" i="20"/>
  <c r="I104" i="22" l="1"/>
  <c r="I105" i="21" l="1"/>
  <c r="I101"/>
  <c r="I106"/>
  <c r="I103"/>
  <c r="I107" s="1"/>
  <c r="I104"/>
  <c r="I63"/>
  <c r="I106" i="17"/>
  <c r="I105"/>
  <c r="I107" i="19"/>
  <c r="I106"/>
  <c r="I105"/>
  <c r="I99" i="20"/>
  <c r="I109"/>
  <c r="I108"/>
  <c r="I106"/>
  <c r="I105"/>
  <c r="I89"/>
  <c r="I87"/>
  <c r="I60"/>
  <c r="I45"/>
  <c r="I60" i="17"/>
  <c r="I45" i="19"/>
  <c r="I44"/>
  <c r="H104"/>
  <c r="I97"/>
  <c r="I86"/>
  <c r="I83"/>
  <c r="I45" i="18"/>
  <c r="I44"/>
  <c r="I45" i="17" l="1"/>
  <c r="I44"/>
  <c r="I104" i="18"/>
  <c r="H105"/>
  <c r="H104"/>
  <c r="I104" i="17"/>
  <c r="H104"/>
  <c r="I65"/>
  <c r="H63"/>
  <c r="H105" i="28" l="1"/>
  <c r="I89"/>
  <c r="I87"/>
  <c r="I65"/>
  <c r="E101"/>
  <c r="F101" s="1"/>
  <c r="H101" s="1"/>
  <c r="H102" s="1"/>
  <c r="I100"/>
  <c r="H100"/>
  <c r="H98"/>
  <c r="H97"/>
  <c r="F96"/>
  <c r="H96" s="1"/>
  <c r="H95"/>
  <c r="H94"/>
  <c r="H93"/>
  <c r="H92"/>
  <c r="H91"/>
  <c r="H90"/>
  <c r="H89"/>
  <c r="H88"/>
  <c r="H87"/>
  <c r="H86"/>
  <c r="H85"/>
  <c r="H83"/>
  <c r="H81"/>
  <c r="I79"/>
  <c r="F79"/>
  <c r="H79" s="1"/>
  <c r="H78"/>
  <c r="H77"/>
  <c r="H76"/>
  <c r="H75"/>
  <c r="I73"/>
  <c r="H73"/>
  <c r="F72"/>
  <c r="H72" s="1"/>
  <c r="F71"/>
  <c r="I71" s="1"/>
  <c r="F70"/>
  <c r="H70" s="1"/>
  <c r="F69"/>
  <c r="I69" s="1"/>
  <c r="F68"/>
  <c r="H68" s="1"/>
  <c r="F67"/>
  <c r="I67" s="1"/>
  <c r="F66"/>
  <c r="H66" s="1"/>
  <c r="F65"/>
  <c r="H65" s="1"/>
  <c r="F62"/>
  <c r="H62" s="1"/>
  <c r="F60"/>
  <c r="I60" s="1"/>
  <c r="I57"/>
  <c r="F57"/>
  <c r="H57" s="1"/>
  <c r="I56"/>
  <c r="F56"/>
  <c r="H56" s="1"/>
  <c r="I55"/>
  <c r="H55"/>
  <c r="F54"/>
  <c r="H54" s="1"/>
  <c r="F53"/>
  <c r="I53" s="1"/>
  <c r="F52"/>
  <c r="H52" s="1"/>
  <c r="F51"/>
  <c r="H51" s="1"/>
  <c r="F50"/>
  <c r="H50" s="1"/>
  <c r="F49"/>
  <c r="H49" s="1"/>
  <c r="F48"/>
  <c r="H48" s="1"/>
  <c r="F47"/>
  <c r="H47" s="1"/>
  <c r="H45"/>
  <c r="F44"/>
  <c r="I44" s="1"/>
  <c r="F43"/>
  <c r="H43" s="1"/>
  <c r="F42"/>
  <c r="I42" s="1"/>
  <c r="H41"/>
  <c r="F40"/>
  <c r="I40" s="1"/>
  <c r="I39"/>
  <c r="H39"/>
  <c r="H37"/>
  <c r="H36"/>
  <c r="H35"/>
  <c r="F35"/>
  <c r="I35" s="1"/>
  <c r="I34"/>
  <c r="H34"/>
  <c r="F33"/>
  <c r="H33" s="1"/>
  <c r="F32"/>
  <c r="I32" s="1"/>
  <c r="F31"/>
  <c r="H31" s="1"/>
  <c r="F28"/>
  <c r="I28" s="1"/>
  <c r="F27"/>
  <c r="H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7" i="27"/>
  <c r="H104"/>
  <c r="E101"/>
  <c r="F101" s="1"/>
  <c r="I100"/>
  <c r="H100"/>
  <c r="H98"/>
  <c r="H97"/>
  <c r="F96"/>
  <c r="H96" s="1"/>
  <c r="H95"/>
  <c r="H94"/>
  <c r="H93"/>
  <c r="H92"/>
  <c r="H91"/>
  <c r="H90"/>
  <c r="I89"/>
  <c r="H89"/>
  <c r="H88"/>
  <c r="H87"/>
  <c r="H86"/>
  <c r="H85"/>
  <c r="H83"/>
  <c r="H81"/>
  <c r="I79"/>
  <c r="F79"/>
  <c r="H79" s="1"/>
  <c r="H78"/>
  <c r="H77"/>
  <c r="H76"/>
  <c r="H75"/>
  <c r="I73"/>
  <c r="H73"/>
  <c r="F72"/>
  <c r="I72" s="1"/>
  <c r="F71"/>
  <c r="H71" s="1"/>
  <c r="F70"/>
  <c r="I70" s="1"/>
  <c r="F69"/>
  <c r="H69" s="1"/>
  <c r="F68"/>
  <c r="I68" s="1"/>
  <c r="F67"/>
  <c r="H67" s="1"/>
  <c r="F66"/>
  <c r="H66" s="1"/>
  <c r="F65"/>
  <c r="H65" s="1"/>
  <c r="F62"/>
  <c r="H62" s="1"/>
  <c r="F60"/>
  <c r="H60" s="1"/>
  <c r="I57"/>
  <c r="F57"/>
  <c r="H57" s="1"/>
  <c r="I56"/>
  <c r="F56"/>
  <c r="H56" s="1"/>
  <c r="I55"/>
  <c r="H55"/>
  <c r="F54"/>
  <c r="I54" s="1"/>
  <c r="F53"/>
  <c r="H53" s="1"/>
  <c r="F52"/>
  <c r="I52" s="1"/>
  <c r="F51"/>
  <c r="H51" s="1"/>
  <c r="F50"/>
  <c r="H50" s="1"/>
  <c r="F49"/>
  <c r="H49" s="1"/>
  <c r="F48"/>
  <c r="H48" s="1"/>
  <c r="F47"/>
  <c r="H47" s="1"/>
  <c r="H45"/>
  <c r="F44"/>
  <c r="F43"/>
  <c r="I43" s="1"/>
  <c r="F42"/>
  <c r="H42" s="1"/>
  <c r="H41"/>
  <c r="F40"/>
  <c r="H40" s="1"/>
  <c r="I39"/>
  <c r="H39"/>
  <c r="H37"/>
  <c r="H36"/>
  <c r="H35"/>
  <c r="F35"/>
  <c r="I35" s="1"/>
  <c r="I34"/>
  <c r="H34"/>
  <c r="F33"/>
  <c r="H33" s="1"/>
  <c r="F32"/>
  <c r="H32" s="1"/>
  <c r="F31"/>
  <c r="I31" s="1"/>
  <c r="F28"/>
  <c r="H28" s="1"/>
  <c r="F27"/>
  <c r="I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F106" i="26"/>
  <c r="H106" s="1"/>
  <c r="I87"/>
  <c r="H42" i="28" l="1"/>
  <c r="H32"/>
  <c r="H53"/>
  <c r="H17"/>
  <c r="H40"/>
  <c r="H44"/>
  <c r="I106"/>
  <c r="H60"/>
  <c r="H28"/>
  <c r="H44" i="27"/>
  <c r="I44"/>
  <c r="H67" i="28"/>
  <c r="H69"/>
  <c r="H71"/>
  <c r="I18"/>
  <c r="H18"/>
  <c r="I16"/>
  <c r="I27"/>
  <c r="I31"/>
  <c r="I43"/>
  <c r="I52"/>
  <c r="I54"/>
  <c r="I68"/>
  <c r="I70"/>
  <c r="I72"/>
  <c r="I101"/>
  <c r="H16" i="27"/>
  <c r="H68"/>
  <c r="H72"/>
  <c r="H27"/>
  <c r="H54"/>
  <c r="H70"/>
  <c r="H52"/>
  <c r="H31"/>
  <c r="H43"/>
  <c r="I101"/>
  <c r="H101"/>
  <c r="H102" s="1"/>
  <c r="I17"/>
  <c r="I18"/>
  <c r="I28"/>
  <c r="I32"/>
  <c r="I40"/>
  <c r="I42"/>
  <c r="I53"/>
  <c r="I60"/>
  <c r="I67"/>
  <c r="I69"/>
  <c r="I71"/>
  <c r="I108" i="28" l="1"/>
  <c r="I112" i="27"/>
  <c r="H106" i="25" l="1"/>
  <c r="H105"/>
  <c r="H104"/>
  <c r="H103"/>
  <c r="H102"/>
  <c r="I87"/>
  <c r="I85"/>
  <c r="H107" i="24"/>
  <c r="H106"/>
  <c r="F105"/>
  <c r="H105" s="1"/>
  <c r="H104"/>
  <c r="I87"/>
  <c r="H105" i="23"/>
  <c r="H104"/>
  <c r="H107" i="22"/>
  <c r="H106"/>
  <c r="H105"/>
  <c r="H104"/>
  <c r="I87"/>
  <c r="I77"/>
  <c r="H106" i="21"/>
  <c r="H104"/>
  <c r="H103"/>
  <c r="I86" l="1"/>
  <c r="I88"/>
  <c r="I76"/>
  <c r="H109" i="20"/>
  <c r="F108"/>
  <c r="H108" s="1"/>
  <c r="H107"/>
  <c r="H106"/>
  <c r="H105"/>
  <c r="I65"/>
  <c r="I77" i="19"/>
  <c r="I65"/>
  <c r="I55"/>
  <c r="I105" i="18"/>
  <c r="I106"/>
  <c r="I65"/>
  <c r="I89" i="17"/>
  <c r="I79" i="26" l="1"/>
  <c r="I55"/>
  <c r="H105"/>
  <c r="H104"/>
  <c r="E101"/>
  <c r="F101" s="1"/>
  <c r="I100"/>
  <c r="H100"/>
  <c r="H98"/>
  <c r="H97"/>
  <c r="F96"/>
  <c r="H95"/>
  <c r="H94"/>
  <c r="H93"/>
  <c r="H92"/>
  <c r="H91"/>
  <c r="H90"/>
  <c r="H89"/>
  <c r="H88"/>
  <c r="H87"/>
  <c r="H86"/>
  <c r="H85"/>
  <c r="H83"/>
  <c r="H81"/>
  <c r="F79"/>
  <c r="H79" s="1"/>
  <c r="H78"/>
  <c r="H77"/>
  <c r="H76"/>
  <c r="H75"/>
  <c r="I73"/>
  <c r="H73"/>
  <c r="F72"/>
  <c r="H72" s="1"/>
  <c r="F71"/>
  <c r="I71" s="1"/>
  <c r="F70"/>
  <c r="H70" s="1"/>
  <c r="F69"/>
  <c r="I69" s="1"/>
  <c r="F68"/>
  <c r="H68" s="1"/>
  <c r="F67"/>
  <c r="I67" s="1"/>
  <c r="F66"/>
  <c r="H66" s="1"/>
  <c r="F65"/>
  <c r="H65" s="1"/>
  <c r="I63"/>
  <c r="H63"/>
  <c r="F62"/>
  <c r="H62" s="1"/>
  <c r="F60"/>
  <c r="I60" s="1"/>
  <c r="I57"/>
  <c r="F57"/>
  <c r="H57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H41"/>
  <c r="F40"/>
  <c r="H40" s="1"/>
  <c r="I39"/>
  <c r="H39"/>
  <c r="H37"/>
  <c r="H36"/>
  <c r="H35"/>
  <c r="F35"/>
  <c r="I35" s="1"/>
  <c r="I34"/>
  <c r="H34"/>
  <c r="F33"/>
  <c r="H33" s="1"/>
  <c r="F32"/>
  <c r="H32" s="1"/>
  <c r="F31"/>
  <c r="I31" s="1"/>
  <c r="F28"/>
  <c r="H28" s="1"/>
  <c r="F27"/>
  <c r="I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E99" i="25"/>
  <c r="F99" s="1"/>
  <c r="I98"/>
  <c r="H98"/>
  <c r="H96"/>
  <c r="H95"/>
  <c r="F94"/>
  <c r="H93"/>
  <c r="H92"/>
  <c r="H91"/>
  <c r="H90"/>
  <c r="H89"/>
  <c r="H88"/>
  <c r="H87"/>
  <c r="H86"/>
  <c r="H85"/>
  <c r="H84"/>
  <c r="H83"/>
  <c r="H81"/>
  <c r="F79"/>
  <c r="H79" s="1"/>
  <c r="H78"/>
  <c r="H77"/>
  <c r="H76"/>
  <c r="H75"/>
  <c r="I73"/>
  <c r="H73"/>
  <c r="F72"/>
  <c r="H72" s="1"/>
  <c r="F71"/>
  <c r="I71" s="1"/>
  <c r="F70"/>
  <c r="H70" s="1"/>
  <c r="F69"/>
  <c r="I69" s="1"/>
  <c r="F68"/>
  <c r="H68" s="1"/>
  <c r="F67"/>
  <c r="I67" s="1"/>
  <c r="F66"/>
  <c r="H66" s="1"/>
  <c r="F65"/>
  <c r="H65" s="1"/>
  <c r="I63"/>
  <c r="I100" s="1"/>
  <c r="H63"/>
  <c r="F62"/>
  <c r="H62" s="1"/>
  <c r="F60"/>
  <c r="I60" s="1"/>
  <c r="I57"/>
  <c r="F57"/>
  <c r="H57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H41"/>
  <c r="F40"/>
  <c r="H40" s="1"/>
  <c r="I39"/>
  <c r="H39"/>
  <c r="H37"/>
  <c r="H36"/>
  <c r="H35"/>
  <c r="F35"/>
  <c r="I35" s="1"/>
  <c r="I34"/>
  <c r="H34"/>
  <c r="F33"/>
  <c r="H33" s="1"/>
  <c r="F32"/>
  <c r="H32" s="1"/>
  <c r="F31"/>
  <c r="I31" s="1"/>
  <c r="F28"/>
  <c r="H28" s="1"/>
  <c r="F27"/>
  <c r="I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E101" i="24"/>
  <c r="F101" s="1"/>
  <c r="I100"/>
  <c r="H100"/>
  <c r="H98"/>
  <c r="H97"/>
  <c r="F96"/>
  <c r="H96" s="1"/>
  <c r="H95"/>
  <c r="H94"/>
  <c r="H93"/>
  <c r="H92"/>
  <c r="H91"/>
  <c r="H90"/>
  <c r="H89"/>
  <c r="H88"/>
  <c r="H87"/>
  <c r="H86"/>
  <c r="H85"/>
  <c r="H83"/>
  <c r="H81"/>
  <c r="F79"/>
  <c r="H79" s="1"/>
  <c r="H78"/>
  <c r="H77"/>
  <c r="H76"/>
  <c r="H75"/>
  <c r="I73"/>
  <c r="H73"/>
  <c r="F72"/>
  <c r="H72" s="1"/>
  <c r="F71"/>
  <c r="I71" s="1"/>
  <c r="F70"/>
  <c r="H70" s="1"/>
  <c r="F69"/>
  <c r="I69" s="1"/>
  <c r="F68"/>
  <c r="H68" s="1"/>
  <c r="F67"/>
  <c r="I67" s="1"/>
  <c r="F66"/>
  <c r="H66" s="1"/>
  <c r="I65"/>
  <c r="F65"/>
  <c r="H65" s="1"/>
  <c r="I63"/>
  <c r="H63"/>
  <c r="F62"/>
  <c r="H62" s="1"/>
  <c r="F60"/>
  <c r="I60" s="1"/>
  <c r="I57"/>
  <c r="F57"/>
  <c r="H57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H41"/>
  <c r="F40"/>
  <c r="H40" s="1"/>
  <c r="I39"/>
  <c r="H39"/>
  <c r="H37"/>
  <c r="H36"/>
  <c r="H35"/>
  <c r="F35"/>
  <c r="I35" s="1"/>
  <c r="I34"/>
  <c r="H34"/>
  <c r="F33"/>
  <c r="H33" s="1"/>
  <c r="F32"/>
  <c r="H32" s="1"/>
  <c r="F31"/>
  <c r="I31" s="1"/>
  <c r="F28"/>
  <c r="H28" s="1"/>
  <c r="F27"/>
  <c r="I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I34" i="17"/>
  <c r="I34" i="23"/>
  <c r="E101"/>
  <c r="F101" s="1"/>
  <c r="I100"/>
  <c r="H100"/>
  <c r="H98"/>
  <c r="H97"/>
  <c r="F96"/>
  <c r="H96" s="1"/>
  <c r="H95"/>
  <c r="H94"/>
  <c r="H93"/>
  <c r="H92"/>
  <c r="H91"/>
  <c r="H90"/>
  <c r="H89"/>
  <c r="H88"/>
  <c r="H87"/>
  <c r="H86"/>
  <c r="H85"/>
  <c r="H83"/>
  <c r="H81"/>
  <c r="F79"/>
  <c r="H79" s="1"/>
  <c r="H78"/>
  <c r="H77"/>
  <c r="H76"/>
  <c r="H75"/>
  <c r="I73"/>
  <c r="H73"/>
  <c r="F72"/>
  <c r="I72" s="1"/>
  <c r="F71"/>
  <c r="I71" s="1"/>
  <c r="F70"/>
  <c r="H70" s="1"/>
  <c r="F69"/>
  <c r="I69" s="1"/>
  <c r="F68"/>
  <c r="H68" s="1"/>
  <c r="F67"/>
  <c r="I67" s="1"/>
  <c r="F66"/>
  <c r="H66" s="1"/>
  <c r="I65"/>
  <c r="F65"/>
  <c r="H65" s="1"/>
  <c r="I63"/>
  <c r="H63"/>
  <c r="F62"/>
  <c r="H62" s="1"/>
  <c r="F60"/>
  <c r="I60" s="1"/>
  <c r="I57"/>
  <c r="F57"/>
  <c r="H57" s="1"/>
  <c r="I56"/>
  <c r="F56"/>
  <c r="H56" s="1"/>
  <c r="H55"/>
  <c r="F54"/>
  <c r="F53"/>
  <c r="F52"/>
  <c r="I52" s="1"/>
  <c r="F51"/>
  <c r="H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H41"/>
  <c r="F40"/>
  <c r="H40" s="1"/>
  <c r="I39"/>
  <c r="H39"/>
  <c r="H37"/>
  <c r="H36"/>
  <c r="H35"/>
  <c r="F35"/>
  <c r="I35" s="1"/>
  <c r="H34"/>
  <c r="F33"/>
  <c r="H33" s="1"/>
  <c r="F32"/>
  <c r="H32" s="1"/>
  <c r="F31"/>
  <c r="H31" s="1"/>
  <c r="F28"/>
  <c r="H28" s="1"/>
  <c r="F27"/>
  <c r="I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I34" i="22"/>
  <c r="I89"/>
  <c r="I108"/>
  <c r="E101"/>
  <c r="F101" s="1"/>
  <c r="I100"/>
  <c r="H100"/>
  <c r="H98"/>
  <c r="H97"/>
  <c r="F96"/>
  <c r="H96" s="1"/>
  <c r="H95"/>
  <c r="H94"/>
  <c r="H93"/>
  <c r="H92"/>
  <c r="H91"/>
  <c r="H90"/>
  <c r="H89"/>
  <c r="H88"/>
  <c r="H87"/>
  <c r="H86"/>
  <c r="H85"/>
  <c r="H83"/>
  <c r="H81"/>
  <c r="F79"/>
  <c r="H79" s="1"/>
  <c r="H78"/>
  <c r="H77"/>
  <c r="H76"/>
  <c r="H75"/>
  <c r="I73"/>
  <c r="H73"/>
  <c r="F72"/>
  <c r="H72" s="1"/>
  <c r="F71"/>
  <c r="I71" s="1"/>
  <c r="F70"/>
  <c r="H70" s="1"/>
  <c r="F69"/>
  <c r="I69" s="1"/>
  <c r="F68"/>
  <c r="H68" s="1"/>
  <c r="F67"/>
  <c r="I67" s="1"/>
  <c r="F66"/>
  <c r="H66" s="1"/>
  <c r="I65"/>
  <c r="F65"/>
  <c r="H65" s="1"/>
  <c r="I63"/>
  <c r="H63"/>
  <c r="F62"/>
  <c r="H62" s="1"/>
  <c r="F60"/>
  <c r="I60" s="1"/>
  <c r="I57"/>
  <c r="F57"/>
  <c r="H57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H41"/>
  <c r="F40"/>
  <c r="H40" s="1"/>
  <c r="I39"/>
  <c r="H39"/>
  <c r="H37"/>
  <c r="H36"/>
  <c r="H35"/>
  <c r="F35"/>
  <c r="I35" s="1"/>
  <c r="H34"/>
  <c r="F33"/>
  <c r="H33" s="1"/>
  <c r="F32"/>
  <c r="H32" s="1"/>
  <c r="F31"/>
  <c r="H31" s="1"/>
  <c r="F28"/>
  <c r="H28" s="1"/>
  <c r="F27"/>
  <c r="I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I55" i="21"/>
  <c r="I34"/>
  <c r="I25"/>
  <c r="E100"/>
  <c r="F100" s="1"/>
  <c r="I99"/>
  <c r="H99"/>
  <c r="H97"/>
  <c r="H96"/>
  <c r="F95"/>
  <c r="H94"/>
  <c r="H93"/>
  <c r="H92"/>
  <c r="H91"/>
  <c r="H90"/>
  <c r="H89"/>
  <c r="H88"/>
  <c r="H87"/>
  <c r="H86"/>
  <c r="H85"/>
  <c r="H84"/>
  <c r="H82"/>
  <c r="H80"/>
  <c r="F78"/>
  <c r="H78" s="1"/>
  <c r="H77"/>
  <c r="H76"/>
  <c r="H75"/>
  <c r="H74"/>
  <c r="I72"/>
  <c r="H72"/>
  <c r="F71"/>
  <c r="H71" s="1"/>
  <c r="F70"/>
  <c r="I70" s="1"/>
  <c r="F69"/>
  <c r="H69" s="1"/>
  <c r="F68"/>
  <c r="I68" s="1"/>
  <c r="F67"/>
  <c r="H67" s="1"/>
  <c r="F66"/>
  <c r="I66" s="1"/>
  <c r="F65"/>
  <c r="H65" s="1"/>
  <c r="H63"/>
  <c r="F62"/>
  <c r="H62" s="1"/>
  <c r="F60"/>
  <c r="I60" s="1"/>
  <c r="I57"/>
  <c r="F57"/>
  <c r="H57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H41"/>
  <c r="F40"/>
  <c r="H40" s="1"/>
  <c r="I39"/>
  <c r="H39"/>
  <c r="H37"/>
  <c r="H36"/>
  <c r="H35"/>
  <c r="F35"/>
  <c r="I35" s="1"/>
  <c r="H34"/>
  <c r="F33"/>
  <c r="H33" s="1"/>
  <c r="F32"/>
  <c r="H32" s="1"/>
  <c r="F31"/>
  <c r="H31" s="1"/>
  <c r="F28"/>
  <c r="H28" s="1"/>
  <c r="F27"/>
  <c r="I27" s="1"/>
  <c r="F26"/>
  <c r="H26" s="1"/>
  <c r="F24"/>
  <c r="H24" s="1"/>
  <c r="F23"/>
  <c r="H23" s="1"/>
  <c r="F22"/>
  <c r="H22" s="1"/>
  <c r="F21"/>
  <c r="H21" s="1"/>
  <c r="F20"/>
  <c r="H20" s="1"/>
  <c r="F19"/>
  <c r="E18"/>
  <c r="F18" s="1"/>
  <c r="F17"/>
  <c r="H17" s="1"/>
  <c r="F16"/>
  <c r="I16" s="1"/>
  <c r="E102" i="20"/>
  <c r="F102" s="1"/>
  <c r="I101"/>
  <c r="H101"/>
  <c r="H98"/>
  <c r="H97"/>
  <c r="F96"/>
  <c r="H96" s="1"/>
  <c r="H95"/>
  <c r="H94"/>
  <c r="H93"/>
  <c r="H92"/>
  <c r="H91"/>
  <c r="H90"/>
  <c r="H89"/>
  <c r="H88"/>
  <c r="H87"/>
  <c r="H86"/>
  <c r="H85"/>
  <c r="H83"/>
  <c r="H81"/>
  <c r="F79"/>
  <c r="H79" s="1"/>
  <c r="H78"/>
  <c r="H77"/>
  <c r="H76"/>
  <c r="H75"/>
  <c r="I73"/>
  <c r="H73"/>
  <c r="F72"/>
  <c r="H72" s="1"/>
  <c r="F71"/>
  <c r="I71" s="1"/>
  <c r="F70"/>
  <c r="H70" s="1"/>
  <c r="F69"/>
  <c r="I69" s="1"/>
  <c r="F68"/>
  <c r="H68" s="1"/>
  <c r="F67"/>
  <c r="I67" s="1"/>
  <c r="F66"/>
  <c r="H66" s="1"/>
  <c r="F65"/>
  <c r="H65" s="1"/>
  <c r="I63"/>
  <c r="H63"/>
  <c r="F62"/>
  <c r="H62" s="1"/>
  <c r="F60"/>
  <c r="I57"/>
  <c r="F57"/>
  <c r="H57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H45"/>
  <c r="F44"/>
  <c r="F43"/>
  <c r="I43" s="1"/>
  <c r="F42"/>
  <c r="I42" s="1"/>
  <c r="H41"/>
  <c r="F40"/>
  <c r="I40" s="1"/>
  <c r="I39"/>
  <c r="H39"/>
  <c r="H37"/>
  <c r="H36"/>
  <c r="H35"/>
  <c r="F35"/>
  <c r="H34"/>
  <c r="F33"/>
  <c r="H33" s="1"/>
  <c r="F32"/>
  <c r="H32" s="1"/>
  <c r="F31"/>
  <c r="H31" s="1"/>
  <c r="F28"/>
  <c r="H28" s="1"/>
  <c r="F27"/>
  <c r="I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I89" i="19"/>
  <c r="E101"/>
  <c r="F101" s="1"/>
  <c r="I100"/>
  <c r="H100"/>
  <c r="H98"/>
  <c r="H97"/>
  <c r="F96"/>
  <c r="H96" s="1"/>
  <c r="H95"/>
  <c r="H94"/>
  <c r="H93"/>
  <c r="H92"/>
  <c r="H91"/>
  <c r="H90"/>
  <c r="H89"/>
  <c r="H88"/>
  <c r="H87"/>
  <c r="H86"/>
  <c r="H85"/>
  <c r="H83"/>
  <c r="H81"/>
  <c r="F79"/>
  <c r="H79" s="1"/>
  <c r="H78"/>
  <c r="H77"/>
  <c r="H76"/>
  <c r="H75"/>
  <c r="I73"/>
  <c r="H73"/>
  <c r="F72"/>
  <c r="I72" s="1"/>
  <c r="F71"/>
  <c r="I71" s="1"/>
  <c r="F70"/>
  <c r="I70" s="1"/>
  <c r="F69"/>
  <c r="I69" s="1"/>
  <c r="F68"/>
  <c r="H68" s="1"/>
  <c r="F67"/>
  <c r="I67" s="1"/>
  <c r="F66"/>
  <c r="H66" s="1"/>
  <c r="F65"/>
  <c r="H65" s="1"/>
  <c r="I63"/>
  <c r="H63"/>
  <c r="F62"/>
  <c r="H62" s="1"/>
  <c r="F60"/>
  <c r="I57"/>
  <c r="F57"/>
  <c r="H57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H45"/>
  <c r="F44"/>
  <c r="F43"/>
  <c r="I43" s="1"/>
  <c r="F42"/>
  <c r="I42" s="1"/>
  <c r="H41"/>
  <c r="F40"/>
  <c r="I40" s="1"/>
  <c r="I39"/>
  <c r="H39"/>
  <c r="H37"/>
  <c r="H36"/>
  <c r="H35"/>
  <c r="F35"/>
  <c r="H34"/>
  <c r="F33"/>
  <c r="H33" s="1"/>
  <c r="F32"/>
  <c r="H32" s="1"/>
  <c r="F31"/>
  <c r="H31" s="1"/>
  <c r="F28"/>
  <c r="I28" s="1"/>
  <c r="F27"/>
  <c r="I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I16" s="1"/>
  <c r="I79" i="18"/>
  <c r="E101"/>
  <c r="F101" s="1"/>
  <c r="I101" s="1"/>
  <c r="I100"/>
  <c r="H100"/>
  <c r="H98"/>
  <c r="H97"/>
  <c r="F96"/>
  <c r="H96" s="1"/>
  <c r="H95"/>
  <c r="H94"/>
  <c r="H93"/>
  <c r="H92"/>
  <c r="H91"/>
  <c r="H90"/>
  <c r="H89"/>
  <c r="H88"/>
  <c r="H87"/>
  <c r="H86"/>
  <c r="H85"/>
  <c r="H83"/>
  <c r="H81"/>
  <c r="F79"/>
  <c r="H79" s="1"/>
  <c r="H78"/>
  <c r="H77"/>
  <c r="H76"/>
  <c r="H75"/>
  <c r="I73"/>
  <c r="H73"/>
  <c r="F72"/>
  <c r="I72" s="1"/>
  <c r="F71"/>
  <c r="I71" s="1"/>
  <c r="F70"/>
  <c r="I70" s="1"/>
  <c r="F69"/>
  <c r="I69" s="1"/>
  <c r="F68"/>
  <c r="I68" s="1"/>
  <c r="F67"/>
  <c r="I67" s="1"/>
  <c r="F66"/>
  <c r="H66" s="1"/>
  <c r="F65"/>
  <c r="H65" s="1"/>
  <c r="I63"/>
  <c r="H63"/>
  <c r="F62"/>
  <c r="H62" s="1"/>
  <c r="F60"/>
  <c r="I57"/>
  <c r="F57"/>
  <c r="H57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H45"/>
  <c r="F44"/>
  <c r="H44" s="1"/>
  <c r="F43"/>
  <c r="I43" s="1"/>
  <c r="F42"/>
  <c r="H42" s="1"/>
  <c r="H41"/>
  <c r="F40"/>
  <c r="H40" s="1"/>
  <c r="I39"/>
  <c r="H39"/>
  <c r="H37"/>
  <c r="H36"/>
  <c r="H35"/>
  <c r="F35"/>
  <c r="H34"/>
  <c r="F33"/>
  <c r="H33" s="1"/>
  <c r="F32"/>
  <c r="H32" s="1"/>
  <c r="F31"/>
  <c r="H31" s="1"/>
  <c r="F28"/>
  <c r="H28" s="1"/>
  <c r="F27"/>
  <c r="I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H96" i="26" l="1"/>
  <c r="I96"/>
  <c r="H44" i="20"/>
  <c r="I44"/>
  <c r="H42"/>
  <c r="H54" i="23"/>
  <c r="I54"/>
  <c r="H53"/>
  <c r="I53"/>
  <c r="H19" i="21"/>
  <c r="I19"/>
  <c r="H95"/>
  <c r="I95"/>
  <c r="H94" i="25"/>
  <c r="I94"/>
  <c r="I106" i="23"/>
  <c r="I31" i="22"/>
  <c r="I32"/>
  <c r="I33"/>
  <c r="I53" i="26"/>
  <c r="I54"/>
  <c r="H18"/>
  <c r="I18"/>
  <c r="I101"/>
  <c r="H101"/>
  <c r="H102" s="1"/>
  <c r="H16"/>
  <c r="I17"/>
  <c r="H27"/>
  <c r="I28"/>
  <c r="H31"/>
  <c r="I32"/>
  <c r="I40"/>
  <c r="I42"/>
  <c r="H43"/>
  <c r="I44"/>
  <c r="H52"/>
  <c r="H60"/>
  <c r="H67"/>
  <c r="I68"/>
  <c r="H69"/>
  <c r="I70"/>
  <c r="H71"/>
  <c r="I72"/>
  <c r="I20" i="25"/>
  <c r="I47"/>
  <c r="I50"/>
  <c r="I48"/>
  <c r="I19"/>
  <c r="I21"/>
  <c r="I51"/>
  <c r="I49"/>
  <c r="I99"/>
  <c r="H99"/>
  <c r="H100" s="1"/>
  <c r="H18"/>
  <c r="I18"/>
  <c r="H16"/>
  <c r="I17"/>
  <c r="H27"/>
  <c r="I28"/>
  <c r="H31"/>
  <c r="I32"/>
  <c r="I40"/>
  <c r="I42"/>
  <c r="H43"/>
  <c r="I44"/>
  <c r="H52"/>
  <c r="H60"/>
  <c r="H67"/>
  <c r="I68"/>
  <c r="H69"/>
  <c r="I70"/>
  <c r="H71"/>
  <c r="I72"/>
  <c r="H18" i="24"/>
  <c r="I18"/>
  <c r="I101"/>
  <c r="H101"/>
  <c r="H102" s="1"/>
  <c r="H16"/>
  <c r="I17"/>
  <c r="H27"/>
  <c r="I28"/>
  <c r="H31"/>
  <c r="I32"/>
  <c r="I40"/>
  <c r="I42"/>
  <c r="H43"/>
  <c r="I44"/>
  <c r="H52"/>
  <c r="H60"/>
  <c r="H67"/>
  <c r="I68"/>
  <c r="H69"/>
  <c r="I70"/>
  <c r="H71"/>
  <c r="I72"/>
  <c r="H72" i="23"/>
  <c r="I32"/>
  <c r="H16"/>
  <c r="I31"/>
  <c r="I33"/>
  <c r="I101"/>
  <c r="I102" s="1"/>
  <c r="H101"/>
  <c r="H102" s="1"/>
  <c r="I17"/>
  <c r="I18"/>
  <c r="H27"/>
  <c r="I28"/>
  <c r="I40"/>
  <c r="I42"/>
  <c r="H43"/>
  <c r="I44"/>
  <c r="H52"/>
  <c r="H60"/>
  <c r="H67"/>
  <c r="I68"/>
  <c r="H69"/>
  <c r="I70"/>
  <c r="H71"/>
  <c r="H18" i="22"/>
  <c r="I18"/>
  <c r="I101"/>
  <c r="H101"/>
  <c r="H102" s="1"/>
  <c r="H16"/>
  <c r="I17"/>
  <c r="H27"/>
  <c r="I28"/>
  <c r="I40"/>
  <c r="I42"/>
  <c r="H43"/>
  <c r="I44"/>
  <c r="H52"/>
  <c r="H60"/>
  <c r="H67"/>
  <c r="I68"/>
  <c r="H69"/>
  <c r="I70"/>
  <c r="H71"/>
  <c r="I72"/>
  <c r="H16" i="21"/>
  <c r="I20"/>
  <c r="I26"/>
  <c r="I24"/>
  <c r="I31"/>
  <c r="I33"/>
  <c r="I53"/>
  <c r="I54"/>
  <c r="I49"/>
  <c r="I47"/>
  <c r="I21"/>
  <c r="I22"/>
  <c r="I23"/>
  <c r="I32"/>
  <c r="I51"/>
  <c r="I50"/>
  <c r="I48"/>
  <c r="H18"/>
  <c r="I18"/>
  <c r="I100"/>
  <c r="H100"/>
  <c r="H101" s="1"/>
  <c r="I17"/>
  <c r="H27"/>
  <c r="I28"/>
  <c r="I40"/>
  <c r="I42"/>
  <c r="H43"/>
  <c r="I44"/>
  <c r="H52"/>
  <c r="H60"/>
  <c r="H66"/>
  <c r="I67"/>
  <c r="H68"/>
  <c r="I69"/>
  <c r="H70"/>
  <c r="I71"/>
  <c r="H40" i="20"/>
  <c r="I102"/>
  <c r="H102"/>
  <c r="H103" s="1"/>
  <c r="H18"/>
  <c r="I18"/>
  <c r="H16"/>
  <c r="I17"/>
  <c r="H27"/>
  <c r="I28"/>
  <c r="H43"/>
  <c r="H52"/>
  <c r="H60"/>
  <c r="H67"/>
  <c r="I68"/>
  <c r="H69"/>
  <c r="I70"/>
  <c r="H71"/>
  <c r="I72"/>
  <c r="H28" i="19"/>
  <c r="H40"/>
  <c r="H44"/>
  <c r="H70"/>
  <c r="H17"/>
  <c r="H42"/>
  <c r="H72"/>
  <c r="H18"/>
  <c r="I18"/>
  <c r="I102" s="1"/>
  <c r="I109" s="1"/>
  <c r="I101"/>
  <c r="H101"/>
  <c r="H102" s="1"/>
  <c r="H16"/>
  <c r="H27"/>
  <c r="H43"/>
  <c r="H52"/>
  <c r="H60"/>
  <c r="H67"/>
  <c r="I68"/>
  <c r="H69"/>
  <c r="H71"/>
  <c r="H68" i="18"/>
  <c r="H72"/>
  <c r="H70"/>
  <c r="H18"/>
  <c r="I18"/>
  <c r="H16"/>
  <c r="I17"/>
  <c r="H27"/>
  <c r="I28"/>
  <c r="I40"/>
  <c r="I42"/>
  <c r="H43"/>
  <c r="H52"/>
  <c r="H60"/>
  <c r="H67"/>
  <c r="H69"/>
  <c r="H71"/>
  <c r="H101"/>
  <c r="H102" s="1"/>
  <c r="I109" i="25" l="1"/>
  <c r="I113" i="20"/>
  <c r="I109" i="21"/>
  <c r="I102" i="18"/>
  <c r="I108" s="1"/>
  <c r="I110" i="26"/>
  <c r="I110" i="22"/>
  <c r="I110" i="24"/>
  <c r="I108" i="23"/>
  <c r="E101" i="17" l="1"/>
  <c r="F101" s="1"/>
  <c r="I100"/>
  <c r="H100"/>
  <c r="H98"/>
  <c r="H97"/>
  <c r="F96"/>
  <c r="H96" s="1"/>
  <c r="H95"/>
  <c r="H94"/>
  <c r="H93"/>
  <c r="H92"/>
  <c r="H91"/>
  <c r="H90"/>
  <c r="H89"/>
  <c r="H88"/>
  <c r="H87"/>
  <c r="H86"/>
  <c r="H85"/>
  <c r="H83"/>
  <c r="H81"/>
  <c r="F79"/>
  <c r="H79" s="1"/>
  <c r="H78"/>
  <c r="H77"/>
  <c r="H76"/>
  <c r="H75"/>
  <c r="I73"/>
  <c r="H73"/>
  <c r="F72"/>
  <c r="F71"/>
  <c r="F70"/>
  <c r="F69"/>
  <c r="F68"/>
  <c r="F67"/>
  <c r="F66"/>
  <c r="H66" s="1"/>
  <c r="F65"/>
  <c r="H65" s="1"/>
  <c r="I63"/>
  <c r="F62"/>
  <c r="H62" s="1"/>
  <c r="F60"/>
  <c r="I57"/>
  <c r="F57"/>
  <c r="H57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H45"/>
  <c r="F44"/>
  <c r="F43"/>
  <c r="H43" s="1"/>
  <c r="F42"/>
  <c r="I42" s="1"/>
  <c r="H41"/>
  <c r="F40"/>
  <c r="I40" s="1"/>
  <c r="I39"/>
  <c r="H39"/>
  <c r="F28"/>
  <c r="I28" s="1"/>
  <c r="H37"/>
  <c r="H36"/>
  <c r="F27"/>
  <c r="H27" s="1"/>
  <c r="H35"/>
  <c r="F35"/>
  <c r="I35" s="1"/>
  <c r="H34"/>
  <c r="F33"/>
  <c r="H33" s="1"/>
  <c r="F32"/>
  <c r="F3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32" l="1"/>
  <c r="I32"/>
  <c r="H31"/>
  <c r="I31"/>
  <c r="H68"/>
  <c r="I68"/>
  <c r="H70"/>
  <c r="I70"/>
  <c r="H72"/>
  <c r="I72"/>
  <c r="H67"/>
  <c r="I67"/>
  <c r="H69"/>
  <c r="I69"/>
  <c r="H71"/>
  <c r="I71"/>
  <c r="H17"/>
  <c r="H28"/>
  <c r="H40"/>
  <c r="H42"/>
  <c r="I101"/>
  <c r="H101"/>
  <c r="H102" s="1"/>
  <c r="I18"/>
  <c r="H18"/>
  <c r="I16"/>
  <c r="I27"/>
  <c r="I43"/>
  <c r="H44"/>
  <c r="H52"/>
  <c r="H60"/>
  <c r="I102" l="1"/>
  <c r="I108" s="1"/>
</calcChain>
</file>

<file path=xl/sharedStrings.xml><?xml version="1.0" encoding="utf-8"?>
<sst xmlns="http://schemas.openxmlformats.org/spreadsheetml/2006/main" count="3221" uniqueCount="266">
  <si>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</si>
  <si>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</si>
  <si>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</si>
  <si>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</si>
  <si>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</si>
  <si>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</si>
  <si>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</si>
  <si>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</si>
  <si>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</si>
  <si>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</si>
  <si>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</si>
  <si>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</si>
  <si>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</si>
  <si>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</si>
  <si>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</si>
  <si>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</si>
  <si>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</si>
  <si>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</si>
  <si>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</si>
  <si>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</si>
  <si>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</si>
  <si>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</si>
  <si>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</si>
  <si>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</si>
  <si>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</si>
  <si>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</si>
  <si>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</si>
  <si>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</si>
  <si>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</si>
  <si>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</si>
  <si>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</si>
  <si>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</si>
  <si>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</si>
  <si>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</si>
  <si>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</si>
  <si>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</si>
  <si>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</si>
  <si>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</si>
  <si>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</si>
  <si>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</si>
  <si>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</si>
  <si>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</si>
  <si>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</si>
  <si>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</si>
  <si>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</si>
  <si>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</si>
  <si>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</si>
  <si>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</si>
  <si>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</si>
  <si>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</si>
  <si>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</si>
  <si>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</si>
  <si>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</si>
  <si>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</si>
  <si>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</si>
  <si>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</si>
  <si>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</si>
  <si>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</si>
  <si>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</si>
  <si>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</si>
  <si>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</si>
  <si>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</si>
  <si>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</si>
  <si>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</si>
  <si>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</si>
  <si>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</si>
  <si>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</si>
  <si>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</si>
  <si>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</si>
  <si>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</si>
  <si>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</si>
  <si>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</si>
  <si>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</si>
  <si>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</si>
  <si>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Вода для промывки системы отопления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</si>
  <si>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</si>
  <si>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</si>
  <si>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</si>
  <si>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</si>
  <si>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</si>
  <si>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</si>
  <si>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</si>
  <si>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</si>
  <si>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</si>
  <si>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</si>
  <si>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</si>
  <si>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</si>
  <si>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</si>
  <si>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>ООО «Жилсервис»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</si>
  <si>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</si>
  <si>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</si>
  <si>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</si>
  <si>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</si>
  <si>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</si>
  <si>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</si>
  <si>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</si>
  <si>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Уборка контейнерной площадки (16 кв.м.)</t>
  </si>
  <si>
    <t>Уборка газонов</t>
  </si>
  <si>
    <t>шт</t>
  </si>
  <si>
    <t>100м3</t>
  </si>
  <si>
    <t>1000м3</t>
  </si>
  <si>
    <t>ТО внутридомового газ.оборудования</t>
  </si>
  <si>
    <t>Аварийно-диспетчерское обслуживание</t>
  </si>
  <si>
    <t xml:space="preserve">Проверка дымоходов </t>
  </si>
  <si>
    <t>Прочистка каналов</t>
  </si>
  <si>
    <t>30 раз за сезон</t>
  </si>
  <si>
    <t xml:space="preserve">Очистка края кровли от слежавшегося снега со сбрасыванием сосулек (10% от S кровли) </t>
  </si>
  <si>
    <t>Водоснабжение, канализация</t>
  </si>
  <si>
    <t>Очистка канализационной сети внутренней</t>
  </si>
  <si>
    <t>Ремонт вентильных кранов д=40 со снятием с места</t>
  </si>
  <si>
    <t>Влажное подметание лестничных клеток 1 этажа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</si>
  <si>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</si>
  <si>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</si>
  <si>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</si>
  <si>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</si>
  <si>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</si>
  <si>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</si>
  <si>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</si>
  <si>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</si>
  <si>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Стоимость светодиодного светильника</t>
  </si>
  <si>
    <t>Работа автовышки</t>
  </si>
  <si>
    <t>Влажное подметание лестничных клеток 2-5 этажа</t>
  </si>
  <si>
    <t>Мытье лестничных  площадок и маршей 1-5 этаж.</t>
  </si>
  <si>
    <t xml:space="preserve">1 раз в год  </t>
  </si>
  <si>
    <t xml:space="preserve">Влажная протирка шкафов для щитов 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</si>
  <si>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</si>
  <si>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</si>
  <si>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</si>
  <si>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Очистка урн от мусора</t>
  </si>
  <si>
    <t>Вывоз снега с придомовой территории</t>
  </si>
  <si>
    <t>35 раз за сезон</t>
  </si>
  <si>
    <t>Дератизация</t>
  </si>
  <si>
    <t>12 раз в год</t>
  </si>
  <si>
    <t>Обслуживание прибора учета тепловой энергии</t>
  </si>
  <si>
    <t>Смена светодиодных светильников</t>
  </si>
  <si>
    <t>руб.</t>
  </si>
  <si>
    <t>Замена ламп ДРЛ</t>
  </si>
  <si>
    <t>Зачеканка раструбов канализационных труб диаметром до 100 мм</t>
  </si>
  <si>
    <t>1 шт.</t>
  </si>
  <si>
    <t>Прочистка засоров ГВС, ХВС</t>
  </si>
  <si>
    <t>3 м</t>
  </si>
  <si>
    <t>Уборка фекалий из подвала</t>
  </si>
  <si>
    <t>Водоотлив из подвала электрическими (механическими) насосами (100 м3 воды)</t>
  </si>
  <si>
    <t>10 м3</t>
  </si>
  <si>
    <t>Смена внутренних трубопроводов из чугунных канализац. труб диаметром до 50 мм (без стоимости креплений)</t>
  </si>
  <si>
    <t>Смена внутренних трубопроводов из чугунных канализац. труб диаметром до 100 мм (без стоимости креплений)</t>
  </si>
  <si>
    <t>Смена полиэтиленовых канализационных труб диаметром до 50 мм (без стоимости креплений)</t>
  </si>
  <si>
    <t>Смена полиэтиленовых канализационных труб диаметром до 100 мм (без стоимости креплений)</t>
  </si>
  <si>
    <t>Смена внутренних трубопроводов  из стальных труб диаметром до 50 мм (без стоимости креплений)</t>
  </si>
  <si>
    <t>Осмотр водопровода, канализации и горячего водоснабжения</t>
  </si>
  <si>
    <t>Прочистка канализационного лежака в подвальных помещениях  и технических этажах</t>
  </si>
  <si>
    <t>Проверка исправности канализационных вытяжек</t>
  </si>
  <si>
    <t>100 м канализац.лежака</t>
  </si>
  <si>
    <t>маш/час</t>
  </si>
  <si>
    <t xml:space="preserve">приемки оказанных услуг и выполненных работ по содержанию и текущему ремонту
общего имущества в многоквартирном доме №41 по ул.Советская пгт.Ярега
</t>
  </si>
  <si>
    <t>156 раз в год</t>
  </si>
  <si>
    <t>104 раза в год</t>
  </si>
  <si>
    <t xml:space="preserve">24 раза в год </t>
  </si>
  <si>
    <t>генеральный директор Куканов Ю.Л.</t>
  </si>
  <si>
    <t>III. Проведение технических осмотров</t>
  </si>
  <si>
    <t>IV. Содержание общего имущества МКД</t>
  </si>
  <si>
    <t>V. Прочие услуги</t>
  </si>
  <si>
    <t>III. Содержание общего имущества МКД</t>
  </si>
  <si>
    <t>IV. Прочие услуги</t>
  </si>
  <si>
    <t>АКТ №1</t>
  </si>
  <si>
    <t xml:space="preserve"> - Уборка контейнерной площадки (16 кв.м.)</t>
  </si>
  <si>
    <t xml:space="preserve"> </t>
  </si>
  <si>
    <t>Осмотр кровли металлической</t>
  </si>
  <si>
    <t xml:space="preserve">6 раз за сезон </t>
  </si>
  <si>
    <t>Очистка чердака от мусора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</si>
  <si>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</si>
  <si>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</si>
  <si>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Спуск воды после промывки СО в канализацию</t>
  </si>
  <si>
    <t>АКТ №2</t>
  </si>
  <si>
    <t>АКТ №3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</si>
  <si>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</si>
  <si>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</si>
  <si>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</si>
  <si>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</si>
  <si>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</si>
  <si>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</si>
  <si>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</si>
  <si>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r>
      <t xml:space="preserve">    Собственники помещений в многоквартирном доме,  расположенном по адресу:  пгт.Ярега,  ул.Советская,  д.41,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07.08.2015г. стороны,  и ООО «Жилсервис», 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</si>
  <si>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ул.Советская, д.41</t>
    </r>
  </si>
  <si>
    <t>Итого затраты за месяц</t>
  </si>
  <si>
    <t>10 м2</t>
  </si>
  <si>
    <t>1 шт</t>
  </si>
  <si>
    <t>52 раза в сезон</t>
  </si>
  <si>
    <t>78 раз за сезон</t>
  </si>
  <si>
    <t>АКТ №11</t>
  </si>
  <si>
    <t>АКТ №12</t>
  </si>
  <si>
    <t>за период с 01.01.2018 г. по 31.01.2018 г.</t>
  </si>
  <si>
    <t>за период с 01.02.2018 г. по 28.02.2018 г.</t>
  </si>
  <si>
    <t>Смена светодиодных светильников в.о.</t>
  </si>
  <si>
    <t>за период с 01.03.2018 г. по 31.03.2018 г.</t>
  </si>
  <si>
    <t>48,5м2</t>
  </si>
  <si>
    <t>48м2</t>
  </si>
  <si>
    <t>за период с 01.04.2018 г. по 30.04.2018 г.</t>
  </si>
  <si>
    <t>10м</t>
  </si>
  <si>
    <t>2м3</t>
  </si>
  <si>
    <t>Ремонт силового предохранительного шкафа (со стоимостью материалов)</t>
  </si>
  <si>
    <t>Внеплановый осмотр электросетей,арматуры и электооборудования на лестничных клетках</t>
  </si>
  <si>
    <t>Внеплановый осмотр вводных электрических щитков</t>
  </si>
  <si>
    <t>Внеплановый осмотр электросетей, арматуры и электрооборудования на чердаках, подвалах и техэтажах</t>
  </si>
  <si>
    <t>100 м канализационного лежака</t>
  </si>
  <si>
    <t>Смена дверных приборов - петли</t>
  </si>
  <si>
    <t>Ремонт и регулировка доводчика ( без стоимости доводчика)</t>
  </si>
  <si>
    <t>2. Всего за период с 01.01.2018 по 31.01.2018 выполнено работ (оказано услуг) на общую сумму: 78459,59 руб.</t>
  </si>
  <si>
    <t>(семьдесят восемь тысяч четыреста пятьдесят девять рублей 59  копеек)</t>
  </si>
  <si>
    <t>за период с 01.05.2018 г. по 31.05.2018 г.</t>
  </si>
  <si>
    <t>Снятие показаний с контрольных точек</t>
  </si>
  <si>
    <t>2. Всего за период с 01.05.2018 по 31.05.2018 выполнено работ (оказано услуг) на общую сумму: 164325,49 руб.</t>
  </si>
  <si>
    <t>(сто шестьдесят четыре тысячи триста двадцать пять рублей 49 копеек)</t>
  </si>
  <si>
    <t>за период с 01.06.2018 г. по 30.06.2018 г.</t>
  </si>
  <si>
    <t>Установка заглушек диаметром трубопроводов до 100 мм</t>
  </si>
  <si>
    <t>заглушка</t>
  </si>
  <si>
    <t>Осмотр водопроводов, канализации, отопления в квартирах</t>
  </si>
  <si>
    <t>100 кв.</t>
  </si>
  <si>
    <t>2. Всего за период с 01.06.2018 по 30.06.2018 выполнено работ (оказано услуг) на общую сумму: 50407,99 руб.</t>
  </si>
  <si>
    <t>(пятьдесят тысяч четыреста семь рублей 99 копеек)</t>
  </si>
  <si>
    <t>ООО «Движение»</t>
  </si>
  <si>
    <t>за период с 01.07.2018 г. по 31.07.2018 г.</t>
  </si>
  <si>
    <r>
      <t xml:space="preserve">    Собственники помещений в многоквартирном доме,  расположенном по адресу:  пгт.Ярега,  ул.Советская,  д.41,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07.08.2015г. стороны,  и ООО «Движение», 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</si>
  <si>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2. Всего за период с 01.07.2018 по 31.07.2018 выполнено работ (оказано услуг) на общую сумму: 54198,91 руб.</t>
  </si>
  <si>
    <t>(пятьдесят четыре тысячи сто девяносто восемь рублей 91 копейка)</t>
  </si>
  <si>
    <t>2. Всего за период с 01.02.2018 по 28.02.2018 выполнено работ (оказано услуг) на общую сумму: 61145,82 руб.</t>
  </si>
  <si>
    <t>(шестьдесят одна тысяча сто сорок пять рублей 82 копейки)</t>
  </si>
  <si>
    <t>2. Всего за период с 01.03.2018 по 31.03.2018 выполнено работ (оказано услуг) на общую сумму: 88840,39 руб.</t>
  </si>
  <si>
    <t>(восемьдесят восемь тысяч восемьсот сорок рублей 39 копеек)</t>
  </si>
  <si>
    <t>за период с 01.08.2018 г. по 31.08.2018 г.</t>
  </si>
  <si>
    <t>Краска сиреневая</t>
  </si>
  <si>
    <t>кг</t>
  </si>
  <si>
    <t>Простая масляная окраска ранее окрашенных дверей с подготовкой и расчисткой старой краски до 10 %, помещений площадью менее 5 м2</t>
  </si>
  <si>
    <t xml:space="preserve">Окраска масляными составами  труб за 1 раз </t>
  </si>
  <si>
    <t>за период с 01.09.2018 г. по 30.09.2018 г.</t>
  </si>
  <si>
    <t>2. Всего за период с 01.08.2018 по 31.08.2018 выполнено работ (оказано услуг) на общую сумму: 56926,88 руб.</t>
  </si>
  <si>
    <t>(пятьдесят шесть тысяч девятьсот двадцать шесть рублей 88 копеек)</t>
  </si>
  <si>
    <t>Устройство хомута d до 50 мм</t>
  </si>
  <si>
    <t>место</t>
  </si>
  <si>
    <t>Дезинфекция подвала</t>
  </si>
  <si>
    <t>Биосорбент</t>
  </si>
  <si>
    <t>Белизна</t>
  </si>
  <si>
    <t>(восемьдесят три тысячи девятьсот семьдесят один рубль 64 копейки)</t>
  </si>
  <si>
    <t>2. Всего за период с 01.09.2018 по 30.09.2018 выполнено работ (оказано услуг) на общую сумму: 83 971,64 руб.</t>
  </si>
  <si>
    <t>за период с 01.10.2018 г. по 31.10.2018 г.</t>
  </si>
  <si>
    <t>Демонтаж радиаторов весом до 80 кг</t>
  </si>
  <si>
    <t>Смена арматуры - вентилей и клапанов обратных муфтовых диаметром до 20 мм</t>
  </si>
  <si>
    <t>Смена дверных приборов - проушины</t>
  </si>
  <si>
    <t xml:space="preserve">Осмотр водопроводов, канализации, отопления </t>
  </si>
  <si>
    <t>2. Всего за период с 01.10.2018 по 31.10.2018 выполнено работ (оказано услуг) на общую сумму: 57913,96 руб.</t>
  </si>
  <si>
    <t>(пятьдесят семь тысяч девятьсот тринадцать рублей 96 копеек)</t>
  </si>
  <si>
    <t>за период с 01.11.2018 г. по 30.11.2018 г.</t>
  </si>
  <si>
    <t>Ремонт и регулировка доводчика ( со стоимостью доводчика)</t>
  </si>
  <si>
    <t>100 м</t>
  </si>
  <si>
    <t>Дезинсекция подъезда (II подъезд)</t>
  </si>
  <si>
    <t>Очистка вручную от снега и наледи люков каналиационных и водопроводных колодцев</t>
  </si>
  <si>
    <t>Ремонт групповых щитков на лестничной клетке без ремонта автоматов</t>
  </si>
  <si>
    <t>2. Всего за период с 01.11.2018 по 30.11.2018 выполнено работ (оказано услуг) на общую сумму: 44156,62 руб.</t>
  </si>
  <si>
    <t>(сорок четыре тысячи сто пятьдесят шесть рублей 62 копейки)</t>
  </si>
  <si>
    <t>ООО «Жвижение»</t>
  </si>
  <si>
    <t>за период с 01.12.2018 г. по 31.12.2018 г.</t>
  </si>
  <si>
    <t>Осмотр канализации в чердачных и подвальных помещениях</t>
  </si>
  <si>
    <t>2. Всего за период с 01.12.2018 по 31.12.2018 выполнено работ (оказано услуг) на общую сумму: 41287,57 руб.</t>
  </si>
  <si>
    <t>(сорок одна тысяча двести восемьдесят семь рублей 57 копеек)</t>
  </si>
  <si>
    <t>2. Всего за период с 01.04.2018 по 30.04.2018 выполнено работ (оказано услуг) на общую сумму: 66667,04 руб.</t>
  </si>
  <si>
    <t>(шестьдесят шесть тысяч шестьсот шестьдесят семь рублей 04 копейки)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</si>
</sst>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49">
    <xf numFmtId="0" fontId="0" fillId="0" borderId="0" xfId="0"/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1" fontId="11" fillId="0" borderId="3" xfId="0" applyNumberFormat="1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1" fillId="0" borderId="14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4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/>
    </xf>
    <xf numFmtId="4" fontId="19" fillId="4" borderId="3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left" vertical="center" wrapText="1"/>
    </xf>
    <xf numFmtId="4" fontId="11" fillId="0" borderId="16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4" fontId="19" fillId="2" borderId="3" xfId="0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Border="1" applyAlignment="1" applyProtection="1">
      <alignment horizontal="left" vertical="center" wrapText="1"/>
    </xf>
    <xf numFmtId="0" fontId="11" fillId="2" borderId="16" xfId="0" applyNumberFormat="1" applyFont="1" applyFill="1" applyBorder="1" applyAlignment="1" applyProtection="1">
      <alignment horizontal="center" vertical="center" wrapText="1"/>
    </xf>
    <xf numFmtId="2" fontId="11" fillId="2" borderId="16" xfId="0" applyNumberFormat="1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horizontal="center" vertical="center"/>
    </xf>
    <xf numFmtId="4" fontId="11" fillId="2" borderId="1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9"/>
  <sheetViews>
    <sheetView topLeftCell="A99" workbookViewId="0">
      <selection activeCell="M106" sqref="M10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88</v>
      </c>
      <c r="I1" s="18"/>
    </row>
    <row r="2" spans="1:9" ht="15.75">
      <c r="A2" s="20" t="s">
        <v>63</v>
      </c>
    </row>
    <row r="3" spans="1:9" ht="15.75">
      <c r="A3" s="144" t="s">
        <v>164</v>
      </c>
      <c r="B3" s="144"/>
      <c r="C3" s="144"/>
      <c r="D3" s="144"/>
      <c r="E3" s="144"/>
      <c r="F3" s="144"/>
      <c r="G3" s="144"/>
      <c r="H3" s="144"/>
      <c r="I3" s="144"/>
    </row>
    <row r="4" spans="1:9" ht="31.5" customHeight="1">
      <c r="A4" s="145" t="s">
        <v>154</v>
      </c>
      <c r="B4" s="145"/>
      <c r="C4" s="145"/>
      <c r="D4" s="145"/>
      <c r="E4" s="145"/>
      <c r="F4" s="145"/>
      <c r="G4" s="145"/>
      <c r="H4" s="145"/>
      <c r="I4" s="145"/>
    </row>
    <row r="5" spans="1:9" ht="15.75">
      <c r="A5" s="144" t="s">
        <v>191</v>
      </c>
      <c r="B5" s="146"/>
      <c r="C5" s="146"/>
      <c r="D5" s="146"/>
      <c r="E5" s="146"/>
      <c r="F5" s="146"/>
      <c r="G5" s="146"/>
      <c r="H5" s="146"/>
      <c r="I5" s="146"/>
    </row>
    <row r="6" spans="1:9" ht="15.75">
      <c r="A6" s="1"/>
      <c r="B6" s="47"/>
      <c r="C6" s="47"/>
      <c r="D6" s="47"/>
      <c r="E6" s="47"/>
      <c r="F6" s="47"/>
      <c r="G6" s="47"/>
      <c r="H6" s="47"/>
      <c r="I6" s="22">
        <v>43131</v>
      </c>
    </row>
    <row r="7" spans="1:9" ht="15.75">
      <c r="B7" s="46"/>
      <c r="C7" s="46"/>
      <c r="D7" s="46"/>
      <c r="E7" s="2"/>
      <c r="F7" s="2"/>
      <c r="G7" s="2"/>
      <c r="H7" s="2"/>
    </row>
    <row r="8" spans="1:9" ht="78.75" customHeight="1">
      <c r="A8" s="147" t="s">
        <v>182</v>
      </c>
      <c r="B8" s="147"/>
      <c r="C8" s="147"/>
      <c r="D8" s="147"/>
      <c r="E8" s="147"/>
      <c r="F8" s="147"/>
      <c r="G8" s="147"/>
      <c r="H8" s="147"/>
      <c r="I8" s="147"/>
    </row>
    <row r="9" spans="1:9" ht="15.75">
      <c r="A9" s="3"/>
    </row>
    <row r="10" spans="1:9" ht="47.25" customHeight="1">
      <c r="A10" s="148" t="s">
        <v>183</v>
      </c>
      <c r="B10" s="148"/>
      <c r="C10" s="148"/>
      <c r="D10" s="148"/>
      <c r="E10" s="148"/>
      <c r="F10" s="148"/>
      <c r="G10" s="148"/>
      <c r="H10" s="148"/>
      <c r="I10" s="148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3" t="s">
        <v>60</v>
      </c>
      <c r="B14" s="143"/>
      <c r="C14" s="143"/>
      <c r="D14" s="143"/>
      <c r="E14" s="143"/>
      <c r="F14" s="143"/>
      <c r="G14" s="143"/>
      <c r="H14" s="143"/>
      <c r="I14" s="143"/>
    </row>
    <row r="15" spans="1:9" ht="15.75" customHeight="1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</row>
    <row r="16" spans="1:9" ht="15.75" customHeight="1">
      <c r="A16" s="21">
        <v>1</v>
      </c>
      <c r="B16" s="40" t="s">
        <v>110</v>
      </c>
      <c r="C16" s="41" t="s">
        <v>89</v>
      </c>
      <c r="D16" s="40" t="s">
        <v>155</v>
      </c>
      <c r="E16" s="57">
        <v>70.7</v>
      </c>
      <c r="F16" s="42">
        <f>SUM(E16*156/100)</f>
        <v>110.292</v>
      </c>
      <c r="G16" s="42">
        <v>199.46</v>
      </c>
      <c r="H16" s="58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40" t="s">
        <v>121</v>
      </c>
      <c r="C17" s="41" t="s">
        <v>89</v>
      </c>
      <c r="D17" s="40" t="s">
        <v>156</v>
      </c>
      <c r="E17" s="57">
        <v>282.8</v>
      </c>
      <c r="F17" s="42">
        <f>SUM(E17*104/100)</f>
        <v>294.11200000000002</v>
      </c>
      <c r="G17" s="42">
        <v>199.46</v>
      </c>
      <c r="H17" s="58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40" t="s">
        <v>122</v>
      </c>
      <c r="C18" s="41" t="s">
        <v>89</v>
      </c>
      <c r="D18" s="40" t="s">
        <v>157</v>
      </c>
      <c r="E18" s="57">
        <f>SUM(E16+E17)</f>
        <v>353.5</v>
      </c>
      <c r="F18" s="42">
        <f>SUM(E18*24/100)</f>
        <v>84.84</v>
      </c>
      <c r="G18" s="42">
        <v>573.83000000000004</v>
      </c>
      <c r="H18" s="58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1"/>
      <c r="B19" s="40" t="s">
        <v>111</v>
      </c>
      <c r="C19" s="41" t="s">
        <v>112</v>
      </c>
      <c r="D19" s="40" t="s">
        <v>113</v>
      </c>
      <c r="E19" s="57">
        <v>40</v>
      </c>
      <c r="F19" s="42">
        <f>SUM(E19/10)</f>
        <v>4</v>
      </c>
      <c r="G19" s="42">
        <v>193.55</v>
      </c>
      <c r="H19" s="58">
        <f t="shared" si="0"/>
        <v>0.7742</v>
      </c>
      <c r="I19" s="10">
        <v>0</v>
      </c>
    </row>
    <row r="20" spans="1:9" ht="15.75" hidden="1" customHeight="1">
      <c r="A20" s="21"/>
      <c r="B20" s="40" t="s">
        <v>114</v>
      </c>
      <c r="C20" s="41" t="s">
        <v>89</v>
      </c>
      <c r="D20" s="40" t="s">
        <v>43</v>
      </c>
      <c r="E20" s="57">
        <v>10.5</v>
      </c>
      <c r="F20" s="42">
        <f>E20*2/100</f>
        <v>0.21</v>
      </c>
      <c r="G20" s="42">
        <v>247.82</v>
      </c>
      <c r="H20" s="58">
        <f t="shared" si="0"/>
        <v>5.2042199999999997E-2</v>
      </c>
      <c r="I20" s="10">
        <v>0</v>
      </c>
    </row>
    <row r="21" spans="1:9" ht="15.75" hidden="1" customHeight="1">
      <c r="A21" s="21"/>
      <c r="B21" s="40" t="s">
        <v>115</v>
      </c>
      <c r="C21" s="41" t="s">
        <v>89</v>
      </c>
      <c r="D21" s="40" t="s">
        <v>43</v>
      </c>
      <c r="E21" s="57">
        <v>2.7</v>
      </c>
      <c r="F21" s="42">
        <f>SUM(E21*2/100)</f>
        <v>5.4000000000000006E-2</v>
      </c>
      <c r="G21" s="42">
        <v>245.81</v>
      </c>
      <c r="H21" s="58">
        <f t="shared" si="0"/>
        <v>1.3273740000000003E-2</v>
      </c>
      <c r="I21" s="10">
        <v>0</v>
      </c>
    </row>
    <row r="22" spans="1:9" ht="15.75" hidden="1" customHeight="1">
      <c r="A22" s="21"/>
      <c r="B22" s="40" t="s">
        <v>116</v>
      </c>
      <c r="C22" s="41" t="s">
        <v>53</v>
      </c>
      <c r="D22" s="40" t="s">
        <v>113</v>
      </c>
      <c r="E22" s="57">
        <v>357</v>
      </c>
      <c r="F22" s="42">
        <f>SUM(E22/100)</f>
        <v>3.57</v>
      </c>
      <c r="G22" s="42">
        <v>306.26</v>
      </c>
      <c r="H22" s="58">
        <f t="shared" si="0"/>
        <v>1.0933481999999999</v>
      </c>
      <c r="I22" s="10">
        <v>0</v>
      </c>
    </row>
    <row r="23" spans="1:9" ht="15.75" hidden="1" customHeight="1">
      <c r="A23" s="21"/>
      <c r="B23" s="40" t="s">
        <v>117</v>
      </c>
      <c r="C23" s="41" t="s">
        <v>53</v>
      </c>
      <c r="D23" s="40" t="s">
        <v>113</v>
      </c>
      <c r="E23" s="60">
        <v>38.64</v>
      </c>
      <c r="F23" s="42">
        <f>SUM(E23/100)</f>
        <v>0.38640000000000002</v>
      </c>
      <c r="G23" s="42">
        <v>50.37</v>
      </c>
      <c r="H23" s="58">
        <f t="shared" si="0"/>
        <v>1.9462968000000001E-2</v>
      </c>
      <c r="I23" s="10">
        <v>0</v>
      </c>
    </row>
    <row r="24" spans="1:9" ht="15.75" hidden="1" customHeight="1">
      <c r="A24" s="21"/>
      <c r="B24" s="40" t="s">
        <v>118</v>
      </c>
      <c r="C24" s="41" t="s">
        <v>53</v>
      </c>
      <c r="D24" s="40" t="s">
        <v>123</v>
      </c>
      <c r="E24" s="57">
        <v>15</v>
      </c>
      <c r="F24" s="42">
        <f>E24/100</f>
        <v>0.15</v>
      </c>
      <c r="G24" s="42">
        <v>443.27</v>
      </c>
      <c r="H24" s="58">
        <f t="shared" si="0"/>
        <v>6.6490499999999994E-2</v>
      </c>
      <c r="I24" s="10">
        <v>0</v>
      </c>
    </row>
    <row r="25" spans="1:9" ht="15.75" hidden="1" customHeight="1">
      <c r="A25" s="21"/>
      <c r="B25" s="40" t="s">
        <v>124</v>
      </c>
      <c r="C25" s="41" t="s">
        <v>89</v>
      </c>
      <c r="D25" s="40" t="s">
        <v>54</v>
      </c>
      <c r="E25" s="57">
        <v>14.25</v>
      </c>
      <c r="F25" s="42">
        <v>0.1</v>
      </c>
      <c r="G25" s="42">
        <v>245.81</v>
      </c>
      <c r="H25" s="58">
        <v>3.1E-2</v>
      </c>
      <c r="I25" s="10">
        <v>0</v>
      </c>
    </row>
    <row r="26" spans="1:9" ht="15.75" hidden="1" customHeight="1">
      <c r="A26" s="21"/>
      <c r="B26" s="40" t="s">
        <v>125</v>
      </c>
      <c r="C26" s="41" t="s">
        <v>53</v>
      </c>
      <c r="D26" s="40" t="s">
        <v>113</v>
      </c>
      <c r="E26" s="57">
        <v>6.38</v>
      </c>
      <c r="F26" s="42">
        <f>SUM(E26/100)</f>
        <v>6.3799999999999996E-2</v>
      </c>
      <c r="G26" s="42">
        <v>592.37</v>
      </c>
      <c r="H26" s="58">
        <f t="shared" si="0"/>
        <v>3.7793205999999996E-2</v>
      </c>
      <c r="I26" s="10">
        <v>0</v>
      </c>
    </row>
    <row r="27" spans="1:9" ht="15.75" customHeight="1">
      <c r="A27" s="21">
        <v>4</v>
      </c>
      <c r="B27" s="40" t="s">
        <v>65</v>
      </c>
      <c r="C27" s="41" t="s">
        <v>33</v>
      </c>
      <c r="D27" s="40"/>
      <c r="E27" s="57">
        <v>0.1</v>
      </c>
      <c r="F27" s="42">
        <f>SUM(E27*365)</f>
        <v>36.5</v>
      </c>
      <c r="G27" s="42">
        <v>167.24</v>
      </c>
      <c r="H27" s="58">
        <f>SUM(F27*G27/1000)</f>
        <v>6.10426</v>
      </c>
      <c r="I27" s="10">
        <f>F27/12*G27</f>
        <v>508.68833333333333</v>
      </c>
    </row>
    <row r="28" spans="1:9" ht="15.75" customHeight="1">
      <c r="A28" s="21">
        <v>5</v>
      </c>
      <c r="B28" s="64" t="s">
        <v>23</v>
      </c>
      <c r="C28" s="41" t="s">
        <v>24</v>
      </c>
      <c r="D28" s="40"/>
      <c r="E28" s="57">
        <v>2661.7</v>
      </c>
      <c r="F28" s="42">
        <f>SUM(E28*12)</f>
        <v>31940.399999999998</v>
      </c>
      <c r="G28" s="42">
        <v>5.58</v>
      </c>
      <c r="H28" s="58">
        <f>SUM(F28*G28/1000)</f>
        <v>178.22743199999999</v>
      </c>
      <c r="I28" s="10">
        <f>F28/12*G28</f>
        <v>14852.286</v>
      </c>
    </row>
    <row r="29" spans="1:9" ht="15.75" customHeight="1">
      <c r="A29" s="129" t="s">
        <v>87</v>
      </c>
      <c r="B29" s="129"/>
      <c r="C29" s="129"/>
      <c r="D29" s="129"/>
      <c r="E29" s="129"/>
      <c r="F29" s="129"/>
      <c r="G29" s="129"/>
      <c r="H29" s="129"/>
      <c r="I29" s="129"/>
    </row>
    <row r="30" spans="1:9" ht="15.75" hidden="1" customHeight="1">
      <c r="A30" s="21"/>
      <c r="B30" s="78" t="s">
        <v>28</v>
      </c>
      <c r="C30" s="41"/>
      <c r="D30" s="40"/>
      <c r="E30" s="57"/>
      <c r="F30" s="42"/>
      <c r="G30" s="42"/>
      <c r="H30" s="58"/>
      <c r="I30" s="62"/>
    </row>
    <row r="31" spans="1:9" ht="31.5" hidden="1" customHeight="1">
      <c r="A31" s="21">
        <v>6</v>
      </c>
      <c r="B31" s="40" t="s">
        <v>97</v>
      </c>
      <c r="C31" s="41" t="s">
        <v>91</v>
      </c>
      <c r="D31" s="40" t="s">
        <v>126</v>
      </c>
      <c r="E31" s="42">
        <v>573.6</v>
      </c>
      <c r="F31" s="42">
        <f>SUM(E31*52/1000)</f>
        <v>29.827200000000001</v>
      </c>
      <c r="G31" s="42">
        <v>177.3</v>
      </c>
      <c r="H31" s="58">
        <f t="shared" ref="H31:H37" si="2">SUM(F31*G31/1000)</f>
        <v>5.2883625600000004</v>
      </c>
      <c r="I31" s="10">
        <f>F31/6*G31</f>
        <v>881.39376000000016</v>
      </c>
    </row>
    <row r="32" spans="1:9" ht="31.5" hidden="1" customHeight="1">
      <c r="A32" s="21">
        <v>7</v>
      </c>
      <c r="B32" s="40" t="s">
        <v>170</v>
      </c>
      <c r="C32" s="41" t="s">
        <v>91</v>
      </c>
      <c r="D32" s="40" t="s">
        <v>127</v>
      </c>
      <c r="E32" s="42">
        <v>200</v>
      </c>
      <c r="F32" s="42">
        <f>SUM(E32*78/1000)</f>
        <v>15.6</v>
      </c>
      <c r="G32" s="42">
        <v>294.17</v>
      </c>
      <c r="H32" s="58">
        <f t="shared" si="2"/>
        <v>4.5890520000000006</v>
      </c>
      <c r="I32" s="10">
        <f t="shared" ref="I32:I35" si="3">F32/6*G32</f>
        <v>764.8420000000001</v>
      </c>
    </row>
    <row r="33" spans="1:9" ht="15.75" hidden="1" customHeight="1">
      <c r="A33" s="21">
        <v>16</v>
      </c>
      <c r="B33" s="40" t="s">
        <v>27</v>
      </c>
      <c r="C33" s="41" t="s">
        <v>91</v>
      </c>
      <c r="D33" s="40" t="s">
        <v>54</v>
      </c>
      <c r="E33" s="42">
        <v>573.6</v>
      </c>
      <c r="F33" s="42">
        <f>SUM(E33/1000)</f>
        <v>0.5736</v>
      </c>
      <c r="G33" s="42">
        <v>3435.36</v>
      </c>
      <c r="H33" s="58">
        <f t="shared" si="2"/>
        <v>1.9705224960000001</v>
      </c>
      <c r="I33" s="10">
        <v>0</v>
      </c>
    </row>
    <row r="34" spans="1:9" ht="15.75" hidden="1" customHeight="1">
      <c r="A34" s="21">
        <v>8</v>
      </c>
      <c r="B34" s="40" t="s">
        <v>128</v>
      </c>
      <c r="C34" s="41" t="s">
        <v>41</v>
      </c>
      <c r="D34" s="40" t="s">
        <v>64</v>
      </c>
      <c r="E34" s="42">
        <v>1</v>
      </c>
      <c r="F34" s="42">
        <v>1.55</v>
      </c>
      <c r="G34" s="42">
        <v>1480.94</v>
      </c>
      <c r="H34" s="58">
        <f>G34*F34/1000</f>
        <v>2.2954570000000003</v>
      </c>
      <c r="I34" s="10">
        <f t="shared" si="3"/>
        <v>382.57616666666672</v>
      </c>
    </row>
    <row r="35" spans="1:9" ht="15.75" hidden="1" customHeight="1">
      <c r="A35" s="21">
        <v>9</v>
      </c>
      <c r="B35" s="40" t="s">
        <v>165</v>
      </c>
      <c r="C35" s="41" t="s">
        <v>31</v>
      </c>
      <c r="D35" s="40" t="s">
        <v>64</v>
      </c>
      <c r="E35" s="63">
        <v>0.33333333333333331</v>
      </c>
      <c r="F35" s="42">
        <f>155/3</f>
        <v>51.666666666666664</v>
      </c>
      <c r="G35" s="42">
        <v>64.48</v>
      </c>
      <c r="H35" s="58">
        <f>SUM(G35*155/3/1000)</f>
        <v>3.331466666666667</v>
      </c>
      <c r="I35" s="10">
        <f t="shared" si="3"/>
        <v>555.24444444444441</v>
      </c>
    </row>
    <row r="36" spans="1:9" ht="15.75" hidden="1" customHeight="1">
      <c r="A36" s="21"/>
      <c r="B36" s="40" t="s">
        <v>66</v>
      </c>
      <c r="C36" s="41" t="s">
        <v>33</v>
      </c>
      <c r="D36" s="40" t="s">
        <v>68</v>
      </c>
      <c r="E36" s="57"/>
      <c r="F36" s="42">
        <v>3</v>
      </c>
      <c r="G36" s="42">
        <v>217.61</v>
      </c>
      <c r="H36" s="58">
        <f t="shared" si="2"/>
        <v>0.65283000000000002</v>
      </c>
      <c r="I36" s="10">
        <v>0</v>
      </c>
    </row>
    <row r="37" spans="1:9" ht="15.75" hidden="1" customHeight="1">
      <c r="A37" s="21"/>
      <c r="B37" s="40" t="s">
        <v>67</v>
      </c>
      <c r="C37" s="41" t="s">
        <v>32</v>
      </c>
      <c r="D37" s="40" t="s">
        <v>68</v>
      </c>
      <c r="E37" s="57"/>
      <c r="F37" s="42">
        <v>2</v>
      </c>
      <c r="G37" s="42">
        <v>1292.47</v>
      </c>
      <c r="H37" s="58">
        <f t="shared" si="2"/>
        <v>2.58494</v>
      </c>
      <c r="I37" s="10">
        <v>0</v>
      </c>
    </row>
    <row r="38" spans="1:9" ht="15.75" customHeight="1">
      <c r="A38" s="21"/>
      <c r="B38" s="78" t="s">
        <v>5</v>
      </c>
      <c r="C38" s="41"/>
      <c r="D38" s="40"/>
      <c r="E38" s="57"/>
      <c r="F38" s="42"/>
      <c r="G38" s="42"/>
      <c r="H38" s="58" t="s">
        <v>166</v>
      </c>
      <c r="I38" s="62"/>
    </row>
    <row r="39" spans="1:9" ht="15.75" customHeight="1">
      <c r="A39" s="21">
        <v>6</v>
      </c>
      <c r="B39" s="40" t="s">
        <v>26</v>
      </c>
      <c r="C39" s="41" t="s">
        <v>32</v>
      </c>
      <c r="D39" s="40"/>
      <c r="E39" s="57"/>
      <c r="F39" s="42">
        <v>8</v>
      </c>
      <c r="G39" s="42">
        <v>1737.08</v>
      </c>
      <c r="H39" s="58">
        <f t="shared" ref="H39:H45" si="4">SUM(F39*G39/1000)</f>
        <v>13.89664</v>
      </c>
      <c r="I39" s="10">
        <f>F39/6*G39</f>
        <v>2316.1066666666666</v>
      </c>
    </row>
    <row r="40" spans="1:9" ht="15.75" customHeight="1">
      <c r="A40" s="21">
        <v>7</v>
      </c>
      <c r="B40" s="40" t="s">
        <v>69</v>
      </c>
      <c r="C40" s="41" t="s">
        <v>29</v>
      </c>
      <c r="D40" s="40" t="s">
        <v>105</v>
      </c>
      <c r="E40" s="42">
        <v>200</v>
      </c>
      <c r="F40" s="42">
        <f>SUM(E40*30/1000)</f>
        <v>6</v>
      </c>
      <c r="G40" s="42">
        <v>2391.67</v>
      </c>
      <c r="H40" s="58">
        <f t="shared" si="4"/>
        <v>14.350020000000001</v>
      </c>
      <c r="I40" s="10">
        <f>F40/6*G40</f>
        <v>2391.67</v>
      </c>
    </row>
    <row r="41" spans="1:9" ht="15.75" hidden="1" customHeight="1">
      <c r="A41" s="21"/>
      <c r="B41" s="40" t="s">
        <v>129</v>
      </c>
      <c r="C41" s="41" t="s">
        <v>55</v>
      </c>
      <c r="D41" s="40"/>
      <c r="E41" s="57"/>
      <c r="F41" s="42">
        <v>130</v>
      </c>
      <c r="G41" s="42">
        <v>226.84</v>
      </c>
      <c r="H41" s="58">
        <f t="shared" si="4"/>
        <v>29.4892</v>
      </c>
      <c r="I41" s="10">
        <v>0</v>
      </c>
    </row>
    <row r="42" spans="1:9" ht="15.75" customHeight="1">
      <c r="A42" s="21">
        <v>8</v>
      </c>
      <c r="B42" s="40" t="s">
        <v>70</v>
      </c>
      <c r="C42" s="41" t="s">
        <v>29</v>
      </c>
      <c r="D42" s="40" t="s">
        <v>90</v>
      </c>
      <c r="E42" s="42">
        <v>60</v>
      </c>
      <c r="F42" s="42">
        <f>SUM(E42*155/1000)</f>
        <v>9.3000000000000007</v>
      </c>
      <c r="G42" s="42">
        <v>398.95</v>
      </c>
      <c r="H42" s="58">
        <f t="shared" si="4"/>
        <v>3.7102349999999999</v>
      </c>
      <c r="I42" s="10">
        <f t="shared" ref="I42:I43" si="5">F42/6*G42</f>
        <v>618.37249999999995</v>
      </c>
    </row>
    <row r="43" spans="1:9" ht="47.25" customHeight="1">
      <c r="A43" s="21">
        <v>9</v>
      </c>
      <c r="B43" s="40" t="s">
        <v>86</v>
      </c>
      <c r="C43" s="41" t="s">
        <v>91</v>
      </c>
      <c r="D43" s="40" t="s">
        <v>130</v>
      </c>
      <c r="E43" s="42">
        <v>40.9</v>
      </c>
      <c r="F43" s="42">
        <f>SUM(E43*35/1000)</f>
        <v>1.4315</v>
      </c>
      <c r="G43" s="42">
        <v>6600.74</v>
      </c>
      <c r="H43" s="58">
        <f t="shared" si="4"/>
        <v>9.4489593099999993</v>
      </c>
      <c r="I43" s="10">
        <f t="shared" si="5"/>
        <v>1574.8265516666668</v>
      </c>
    </row>
    <row r="44" spans="1:9" ht="15.75" customHeight="1">
      <c r="A44" s="21">
        <v>10</v>
      </c>
      <c r="B44" s="40" t="s">
        <v>92</v>
      </c>
      <c r="C44" s="41" t="s">
        <v>91</v>
      </c>
      <c r="D44" s="40" t="s">
        <v>71</v>
      </c>
      <c r="E44" s="42">
        <v>60</v>
      </c>
      <c r="F44" s="42">
        <f>SUM(E44*45/1000)</f>
        <v>2.7</v>
      </c>
      <c r="G44" s="42">
        <v>487.61</v>
      </c>
      <c r="H44" s="58">
        <f t="shared" si="4"/>
        <v>1.3165470000000001</v>
      </c>
      <c r="I44" s="10">
        <f>F44/7.5*G44</f>
        <v>175.53960000000004</v>
      </c>
    </row>
    <row r="45" spans="1:9" ht="15.75" customHeight="1">
      <c r="A45" s="21">
        <v>11</v>
      </c>
      <c r="B45" s="40" t="s">
        <v>72</v>
      </c>
      <c r="C45" s="41" t="s">
        <v>33</v>
      </c>
      <c r="D45" s="40"/>
      <c r="E45" s="57"/>
      <c r="F45" s="42">
        <v>0.9</v>
      </c>
      <c r="G45" s="42">
        <v>907.65</v>
      </c>
      <c r="H45" s="58">
        <f t="shared" si="4"/>
        <v>0.81688499999999997</v>
      </c>
      <c r="I45" s="10">
        <f>F45/7.5*G45</f>
        <v>108.91800000000001</v>
      </c>
    </row>
    <row r="46" spans="1:9" ht="15.75" customHeight="1">
      <c r="A46" s="130" t="s">
        <v>159</v>
      </c>
      <c r="B46" s="131"/>
      <c r="C46" s="131"/>
      <c r="D46" s="131"/>
      <c r="E46" s="131"/>
      <c r="F46" s="131"/>
      <c r="G46" s="131"/>
      <c r="H46" s="131"/>
      <c r="I46" s="132"/>
    </row>
    <row r="47" spans="1:9" ht="15.75" hidden="1" customHeight="1">
      <c r="A47" s="21"/>
      <c r="B47" s="40" t="s">
        <v>167</v>
      </c>
      <c r="C47" s="41" t="s">
        <v>91</v>
      </c>
      <c r="D47" s="40" t="s">
        <v>43</v>
      </c>
      <c r="E47" s="57">
        <v>1300.5</v>
      </c>
      <c r="F47" s="42">
        <f>SUM(E47/1000)*2</f>
        <v>2.601</v>
      </c>
      <c r="G47" s="10">
        <v>1173.18</v>
      </c>
      <c r="H47" s="58">
        <f t="shared" ref="H47:H57" si="6">SUM(F47*G47/1000)</f>
        <v>3.0514411800000003</v>
      </c>
      <c r="I47" s="10">
        <v>0</v>
      </c>
    </row>
    <row r="48" spans="1:9" ht="15.75" hidden="1" customHeight="1">
      <c r="A48" s="21"/>
      <c r="B48" s="40" t="s">
        <v>36</v>
      </c>
      <c r="C48" s="41" t="s">
        <v>91</v>
      </c>
      <c r="D48" s="40" t="s">
        <v>43</v>
      </c>
      <c r="E48" s="57">
        <v>52</v>
      </c>
      <c r="F48" s="42">
        <f>SUM(E48*2/1000)</f>
        <v>0.104</v>
      </c>
      <c r="G48" s="10">
        <v>659.09</v>
      </c>
      <c r="H48" s="58">
        <f t="shared" si="6"/>
        <v>6.854536E-2</v>
      </c>
      <c r="I48" s="10">
        <v>0</v>
      </c>
    </row>
    <row r="49" spans="1:9" ht="15.75" hidden="1" customHeight="1">
      <c r="A49" s="21"/>
      <c r="B49" s="40" t="s">
        <v>37</v>
      </c>
      <c r="C49" s="41" t="s">
        <v>91</v>
      </c>
      <c r="D49" s="40" t="s">
        <v>43</v>
      </c>
      <c r="E49" s="57">
        <v>1483.1</v>
      </c>
      <c r="F49" s="42">
        <f>SUM(E49*2/1000)</f>
        <v>2.9661999999999997</v>
      </c>
      <c r="G49" s="10">
        <v>1564.24</v>
      </c>
      <c r="H49" s="58">
        <f t="shared" si="6"/>
        <v>4.6398486879999998</v>
      </c>
      <c r="I49" s="10">
        <v>0</v>
      </c>
    </row>
    <row r="50" spans="1:9" ht="15.75" hidden="1" customHeight="1">
      <c r="A50" s="21"/>
      <c r="B50" s="40" t="s">
        <v>38</v>
      </c>
      <c r="C50" s="41" t="s">
        <v>91</v>
      </c>
      <c r="D50" s="40" t="s">
        <v>43</v>
      </c>
      <c r="E50" s="57">
        <v>2320</v>
      </c>
      <c r="F50" s="42">
        <f>SUM(E50*2/1000)</f>
        <v>4.6399999999999997</v>
      </c>
      <c r="G50" s="10">
        <v>1078.3599999999999</v>
      </c>
      <c r="H50" s="58">
        <f t="shared" si="6"/>
        <v>5.0035903999999993</v>
      </c>
      <c r="I50" s="10">
        <v>0</v>
      </c>
    </row>
    <row r="51" spans="1:9" ht="15.75" hidden="1" customHeight="1">
      <c r="A51" s="21"/>
      <c r="B51" s="40" t="s">
        <v>34</v>
      </c>
      <c r="C51" s="41" t="s">
        <v>35</v>
      </c>
      <c r="D51" s="40" t="s">
        <v>43</v>
      </c>
      <c r="E51" s="57">
        <v>91.84</v>
      </c>
      <c r="F51" s="42">
        <f>SUM(E51*2/100)</f>
        <v>1.8368</v>
      </c>
      <c r="G51" s="10">
        <v>82.82</v>
      </c>
      <c r="H51" s="58">
        <f t="shared" si="6"/>
        <v>0.15212377599999999</v>
      </c>
      <c r="I51" s="10">
        <v>0</v>
      </c>
    </row>
    <row r="52" spans="1:9" ht="15.75" customHeight="1">
      <c r="A52" s="21">
        <v>12</v>
      </c>
      <c r="B52" s="40" t="s">
        <v>57</v>
      </c>
      <c r="C52" s="41" t="s">
        <v>91</v>
      </c>
      <c r="D52" s="40" t="s">
        <v>171</v>
      </c>
      <c r="E52" s="57">
        <v>1040.4000000000001</v>
      </c>
      <c r="F52" s="42">
        <f>SUM(E52*5/1000)</f>
        <v>5.202</v>
      </c>
      <c r="G52" s="10">
        <v>1564.24</v>
      </c>
      <c r="H52" s="58">
        <f>SUM(F52*G52/1000)</f>
        <v>8.1371764800000008</v>
      </c>
      <c r="I52" s="10">
        <f>F52/5*G52</f>
        <v>1627.4352960000001</v>
      </c>
    </row>
    <row r="53" spans="1:9" ht="31.5" hidden="1" customHeight="1">
      <c r="A53" s="21"/>
      <c r="B53" s="40" t="s">
        <v>93</v>
      </c>
      <c r="C53" s="41" t="s">
        <v>91</v>
      </c>
      <c r="D53" s="40" t="s">
        <v>43</v>
      </c>
      <c r="E53" s="57">
        <v>1040.4000000000001</v>
      </c>
      <c r="F53" s="42">
        <f>SUM(E53*2/1000)</f>
        <v>2.0808</v>
      </c>
      <c r="G53" s="10">
        <v>1380.31</v>
      </c>
      <c r="H53" s="58">
        <f t="shared" si="6"/>
        <v>2.8721490479999998</v>
      </c>
      <c r="I53" s="10">
        <v>0</v>
      </c>
    </row>
    <row r="54" spans="1:9" ht="31.5" hidden="1" customHeight="1">
      <c r="A54" s="21"/>
      <c r="B54" s="40" t="s">
        <v>94</v>
      </c>
      <c r="C54" s="41" t="s">
        <v>39</v>
      </c>
      <c r="D54" s="40" t="s">
        <v>43</v>
      </c>
      <c r="E54" s="57">
        <v>20</v>
      </c>
      <c r="F54" s="42">
        <f>SUM(E54*2/100)</f>
        <v>0.4</v>
      </c>
      <c r="G54" s="10">
        <v>3519.56</v>
      </c>
      <c r="H54" s="58">
        <f t="shared" si="6"/>
        <v>1.407824</v>
      </c>
      <c r="I54" s="10">
        <v>0</v>
      </c>
    </row>
    <row r="55" spans="1:9" ht="15.75" hidden="1" customHeight="1">
      <c r="A55" s="21"/>
      <c r="B55" s="40" t="s">
        <v>40</v>
      </c>
      <c r="C55" s="41" t="s">
        <v>41</v>
      </c>
      <c r="D55" s="40" t="s">
        <v>43</v>
      </c>
      <c r="E55" s="57">
        <v>1</v>
      </c>
      <c r="F55" s="42">
        <v>0.02</v>
      </c>
      <c r="G55" s="10">
        <v>6428.82</v>
      </c>
      <c r="H55" s="58">
        <f t="shared" si="6"/>
        <v>0.12857640000000001</v>
      </c>
      <c r="I55" s="10">
        <v>0</v>
      </c>
    </row>
    <row r="56" spans="1:9" ht="15.75" customHeight="1">
      <c r="A56" s="21">
        <v>13</v>
      </c>
      <c r="B56" s="40" t="s">
        <v>103</v>
      </c>
      <c r="C56" s="41" t="s">
        <v>98</v>
      </c>
      <c r="D56" s="40" t="s">
        <v>73</v>
      </c>
      <c r="E56" s="57">
        <v>56</v>
      </c>
      <c r="F56" s="42">
        <f>SUM(E56*3)</f>
        <v>168</v>
      </c>
      <c r="G56" s="10">
        <v>160.51</v>
      </c>
      <c r="H56" s="58">
        <f t="shared" si="6"/>
        <v>26.965679999999999</v>
      </c>
      <c r="I56" s="10">
        <f>E56*G56</f>
        <v>8988.56</v>
      </c>
    </row>
    <row r="57" spans="1:9" ht="15.75" customHeight="1">
      <c r="A57" s="21">
        <v>14</v>
      </c>
      <c r="B57" s="40" t="s">
        <v>42</v>
      </c>
      <c r="C57" s="41" t="s">
        <v>98</v>
      </c>
      <c r="D57" s="40" t="s">
        <v>73</v>
      </c>
      <c r="E57" s="57">
        <v>112</v>
      </c>
      <c r="F57" s="42">
        <f>SUM(E57)*3</f>
        <v>336</v>
      </c>
      <c r="G57" s="10">
        <v>74.709999999999994</v>
      </c>
      <c r="H57" s="58">
        <f t="shared" si="6"/>
        <v>25.102559999999997</v>
      </c>
      <c r="I57" s="10">
        <f>E57*G57</f>
        <v>8367.5199999999986</v>
      </c>
    </row>
    <row r="58" spans="1:9" ht="15.75" customHeight="1">
      <c r="A58" s="130" t="s">
        <v>160</v>
      </c>
      <c r="B58" s="131"/>
      <c r="C58" s="131"/>
      <c r="D58" s="131"/>
      <c r="E58" s="131"/>
      <c r="F58" s="131"/>
      <c r="G58" s="131"/>
      <c r="H58" s="131"/>
      <c r="I58" s="132"/>
    </row>
    <row r="59" spans="1:9" ht="15.75" customHeight="1">
      <c r="A59" s="21"/>
      <c r="B59" s="78" t="s">
        <v>44</v>
      </c>
      <c r="C59" s="41"/>
      <c r="D59" s="40"/>
      <c r="E59" s="57"/>
      <c r="F59" s="42"/>
      <c r="G59" s="42"/>
      <c r="H59" s="58"/>
      <c r="I59" s="62"/>
    </row>
    <row r="60" spans="1:9" ht="31.5" customHeight="1">
      <c r="A60" s="21">
        <v>15</v>
      </c>
      <c r="B60" s="40" t="s">
        <v>106</v>
      </c>
      <c r="C60" s="41" t="s">
        <v>89</v>
      </c>
      <c r="D60" s="98" t="s">
        <v>195</v>
      </c>
      <c r="E60" s="57">
        <v>142.05000000000001</v>
      </c>
      <c r="F60" s="42">
        <f>SUM(E60*6/100)</f>
        <v>8.5230000000000015</v>
      </c>
      <c r="G60" s="10">
        <v>2108.4299999999998</v>
      </c>
      <c r="H60" s="58">
        <f>SUM(F60*G60/1000)</f>
        <v>17.970148890000001</v>
      </c>
      <c r="I60" s="10">
        <f>G60*0.485</f>
        <v>1022.5885499999999</v>
      </c>
    </row>
    <row r="61" spans="1:9" ht="15.75" customHeight="1">
      <c r="A61" s="21"/>
      <c r="B61" s="78" t="s">
        <v>45</v>
      </c>
      <c r="C61" s="41"/>
      <c r="D61" s="40"/>
      <c r="E61" s="57"/>
      <c r="F61" s="58"/>
      <c r="G61" s="10"/>
      <c r="H61" s="65"/>
      <c r="I61" s="62"/>
    </row>
    <row r="62" spans="1:9" ht="15.75" hidden="1" customHeight="1">
      <c r="A62" s="21"/>
      <c r="B62" s="40" t="s">
        <v>169</v>
      </c>
      <c r="C62" s="41" t="s">
        <v>89</v>
      </c>
      <c r="D62" s="40" t="s">
        <v>54</v>
      </c>
      <c r="E62" s="57">
        <v>1040.4000000000001</v>
      </c>
      <c r="F62" s="58">
        <f>E62/100</f>
        <v>10.404000000000002</v>
      </c>
      <c r="G62" s="10">
        <v>902.66</v>
      </c>
      <c r="H62" s="65">
        <f>G62*F62/1000</f>
        <v>9.3912746400000007</v>
      </c>
      <c r="I62" s="10">
        <v>0</v>
      </c>
    </row>
    <row r="63" spans="1:9" ht="15.75" customHeight="1">
      <c r="A63" s="21">
        <v>16</v>
      </c>
      <c r="B63" s="90" t="s">
        <v>131</v>
      </c>
      <c r="C63" s="91" t="s">
        <v>25</v>
      </c>
      <c r="D63" s="90" t="s">
        <v>132</v>
      </c>
      <c r="E63" s="92">
        <v>200</v>
      </c>
      <c r="F63" s="93">
        <v>2880</v>
      </c>
      <c r="G63" s="94">
        <v>1.2</v>
      </c>
      <c r="H63" s="95">
        <f>F63*G63/1000</f>
        <v>3.456</v>
      </c>
      <c r="I63" s="10">
        <f>F63/12*G63</f>
        <v>288</v>
      </c>
    </row>
    <row r="64" spans="1:9" ht="15.75" customHeight="1">
      <c r="A64" s="21"/>
      <c r="B64" s="79" t="s">
        <v>46</v>
      </c>
      <c r="C64" s="66"/>
      <c r="D64" s="67"/>
      <c r="E64" s="68"/>
      <c r="F64" s="69"/>
      <c r="G64" s="69"/>
      <c r="H64" s="70" t="s">
        <v>166</v>
      </c>
      <c r="I64" s="62"/>
    </row>
    <row r="65" spans="1:9" ht="15.75" customHeight="1">
      <c r="A65" s="21">
        <v>17</v>
      </c>
      <c r="B65" s="11" t="s">
        <v>47</v>
      </c>
      <c r="C65" s="13" t="s">
        <v>41</v>
      </c>
      <c r="D65" s="40" t="s">
        <v>68</v>
      </c>
      <c r="E65" s="15">
        <v>15</v>
      </c>
      <c r="F65" s="42">
        <f>15/100</f>
        <v>0.15</v>
      </c>
      <c r="G65" s="10">
        <v>252.96</v>
      </c>
      <c r="H65" s="71">
        <f t="shared" ref="H65:H81" si="7">SUM(F65*G65/1000)</f>
        <v>3.7944000000000006E-2</v>
      </c>
      <c r="I65" s="10">
        <f>G65*2</f>
        <v>505.92</v>
      </c>
    </row>
    <row r="66" spans="1:9" ht="15.75" hidden="1" customHeight="1">
      <c r="A66" s="21"/>
      <c r="B66" s="11" t="s">
        <v>48</v>
      </c>
      <c r="C66" s="13" t="s">
        <v>41</v>
      </c>
      <c r="D66" s="40" t="s">
        <v>68</v>
      </c>
      <c r="E66" s="15">
        <v>10</v>
      </c>
      <c r="F66" s="42">
        <f>10/100</f>
        <v>0.1</v>
      </c>
      <c r="G66" s="10">
        <v>86.74</v>
      </c>
      <c r="H66" s="71">
        <f t="shared" si="7"/>
        <v>8.6739999999999994E-3</v>
      </c>
      <c r="I66" s="10">
        <v>0</v>
      </c>
    </row>
    <row r="67" spans="1:9" ht="15.75" hidden="1" customHeight="1">
      <c r="A67" s="21"/>
      <c r="B67" s="11" t="s">
        <v>49</v>
      </c>
      <c r="C67" s="13" t="s">
        <v>99</v>
      </c>
      <c r="D67" s="11" t="s">
        <v>54</v>
      </c>
      <c r="E67" s="57">
        <v>17532</v>
      </c>
      <c r="F67" s="10">
        <f>SUM(E67/100)</f>
        <v>175.32</v>
      </c>
      <c r="G67" s="10">
        <v>241.31</v>
      </c>
      <c r="H67" s="71">
        <f t="shared" si="7"/>
        <v>42.306469200000002</v>
      </c>
      <c r="I67" s="10">
        <f>F67*G67</f>
        <v>42306.4692</v>
      </c>
    </row>
    <row r="68" spans="1:9" ht="15.75" hidden="1" customHeight="1">
      <c r="A68" s="21"/>
      <c r="B68" s="11" t="s">
        <v>50</v>
      </c>
      <c r="C68" s="13" t="s">
        <v>100</v>
      </c>
      <c r="D68" s="11"/>
      <c r="E68" s="57">
        <v>17532</v>
      </c>
      <c r="F68" s="10">
        <f>SUM(E68/1000)</f>
        <v>17.532</v>
      </c>
      <c r="G68" s="10">
        <v>187.91</v>
      </c>
      <c r="H68" s="71">
        <f t="shared" si="7"/>
        <v>3.2944381199999997</v>
      </c>
      <c r="I68" s="10">
        <f>F68*G68</f>
        <v>3294.4381199999998</v>
      </c>
    </row>
    <row r="69" spans="1:9" ht="15.75" hidden="1" customHeight="1">
      <c r="A69" s="21"/>
      <c r="B69" s="11" t="s">
        <v>51</v>
      </c>
      <c r="C69" s="13" t="s">
        <v>80</v>
      </c>
      <c r="D69" s="11" t="s">
        <v>54</v>
      </c>
      <c r="E69" s="57">
        <v>1365</v>
      </c>
      <c r="F69" s="10">
        <f>SUM(E69/100)</f>
        <v>13.65</v>
      </c>
      <c r="G69" s="10">
        <v>2359.7199999999998</v>
      </c>
      <c r="H69" s="71">
        <f t="shared" si="7"/>
        <v>32.210177999999999</v>
      </c>
      <c r="I69" s="10">
        <f t="shared" ref="I69:I72" si="8">F69*G69</f>
        <v>32210.178</v>
      </c>
    </row>
    <row r="70" spans="1:9" ht="15.75" hidden="1" customHeight="1">
      <c r="A70" s="21"/>
      <c r="B70" s="72" t="s">
        <v>74</v>
      </c>
      <c r="C70" s="13" t="s">
        <v>33</v>
      </c>
      <c r="D70" s="11"/>
      <c r="E70" s="57">
        <v>15.6</v>
      </c>
      <c r="F70" s="10">
        <f>SUM(E70)</f>
        <v>15.6</v>
      </c>
      <c r="G70" s="10">
        <v>45.4</v>
      </c>
      <c r="H70" s="71">
        <f t="shared" si="7"/>
        <v>0.70823999999999998</v>
      </c>
      <c r="I70" s="10">
        <f t="shared" si="8"/>
        <v>708.24</v>
      </c>
    </row>
    <row r="71" spans="1:9" ht="15.75" hidden="1" customHeight="1">
      <c r="A71" s="21"/>
      <c r="B71" s="72" t="s">
        <v>172</v>
      </c>
      <c r="C71" s="13" t="s">
        <v>33</v>
      </c>
      <c r="D71" s="11"/>
      <c r="E71" s="57">
        <v>15.6</v>
      </c>
      <c r="F71" s="10">
        <f>SUM(E71)</f>
        <v>15.6</v>
      </c>
      <c r="G71" s="10">
        <v>42.35</v>
      </c>
      <c r="H71" s="71">
        <f t="shared" si="7"/>
        <v>0.66065999999999991</v>
      </c>
      <c r="I71" s="10">
        <f t="shared" si="8"/>
        <v>660.66</v>
      </c>
    </row>
    <row r="72" spans="1:9" ht="15.75" hidden="1" customHeight="1">
      <c r="A72" s="21"/>
      <c r="B72" s="11" t="s">
        <v>58</v>
      </c>
      <c r="C72" s="13" t="s">
        <v>59</v>
      </c>
      <c r="D72" s="11" t="s">
        <v>54</v>
      </c>
      <c r="E72" s="15">
        <v>4</v>
      </c>
      <c r="F72" s="42">
        <f>SUM(E72)</f>
        <v>4</v>
      </c>
      <c r="G72" s="10">
        <v>56.74</v>
      </c>
      <c r="H72" s="71">
        <f t="shared" si="7"/>
        <v>0.22696</v>
      </c>
      <c r="I72" s="10">
        <f t="shared" si="8"/>
        <v>226.96</v>
      </c>
    </row>
    <row r="73" spans="1:9" ht="15.75" customHeight="1">
      <c r="A73" s="21">
        <v>18</v>
      </c>
      <c r="B73" s="11" t="s">
        <v>133</v>
      </c>
      <c r="C73" s="13" t="s">
        <v>59</v>
      </c>
      <c r="D73" s="11" t="s">
        <v>30</v>
      </c>
      <c r="E73" s="15">
        <v>1</v>
      </c>
      <c r="F73" s="52">
        <v>12</v>
      </c>
      <c r="G73" s="10">
        <v>756.5</v>
      </c>
      <c r="H73" s="71">
        <f t="shared" si="7"/>
        <v>9.0779999999999994</v>
      </c>
      <c r="I73" s="10">
        <f>G73</f>
        <v>756.5</v>
      </c>
    </row>
    <row r="74" spans="1:9" ht="15.75" hidden="1" customHeight="1">
      <c r="A74" s="21"/>
      <c r="B74" s="45" t="s">
        <v>75</v>
      </c>
      <c r="C74" s="13"/>
      <c r="D74" s="11"/>
      <c r="E74" s="15"/>
      <c r="F74" s="10"/>
      <c r="G74" s="10"/>
      <c r="H74" s="71" t="s">
        <v>166</v>
      </c>
      <c r="I74" s="62"/>
    </row>
    <row r="75" spans="1:9" ht="15.75" hidden="1" customHeight="1">
      <c r="A75" s="21"/>
      <c r="B75" s="11" t="s">
        <v>134</v>
      </c>
      <c r="C75" s="13" t="s">
        <v>31</v>
      </c>
      <c r="D75" s="40" t="s">
        <v>68</v>
      </c>
      <c r="E75" s="15">
        <v>2</v>
      </c>
      <c r="F75" s="10">
        <v>2</v>
      </c>
      <c r="G75" s="10">
        <v>892.5</v>
      </c>
      <c r="H75" s="71">
        <f>G75*F75/1000</f>
        <v>1.7849999999999999</v>
      </c>
      <c r="I75" s="10">
        <v>0</v>
      </c>
    </row>
    <row r="76" spans="1:9" ht="15.75" hidden="1" customHeight="1">
      <c r="A76" s="21"/>
      <c r="B76" s="11" t="s">
        <v>119</v>
      </c>
      <c r="C76" s="13" t="s">
        <v>135</v>
      </c>
      <c r="D76" s="11"/>
      <c r="E76" s="15">
        <v>1</v>
      </c>
      <c r="F76" s="10">
        <v>1</v>
      </c>
      <c r="G76" s="10">
        <v>750</v>
      </c>
      <c r="H76" s="71">
        <f>G76*F76/1000</f>
        <v>0.75</v>
      </c>
      <c r="I76" s="10">
        <v>0</v>
      </c>
    </row>
    <row r="77" spans="1:9" ht="15.75" hidden="1" customHeight="1">
      <c r="A77" s="21"/>
      <c r="B77" s="11" t="s">
        <v>76</v>
      </c>
      <c r="C77" s="13" t="s">
        <v>78</v>
      </c>
      <c r="D77" s="11"/>
      <c r="E77" s="15">
        <v>2</v>
      </c>
      <c r="F77" s="10">
        <v>0.2</v>
      </c>
      <c r="G77" s="10">
        <v>570.54</v>
      </c>
      <c r="H77" s="71">
        <f t="shared" si="7"/>
        <v>0.114108</v>
      </c>
      <c r="I77" s="10">
        <v>0</v>
      </c>
    </row>
    <row r="78" spans="1:9" ht="15.75" hidden="1" customHeight="1">
      <c r="A78" s="21"/>
      <c r="B78" s="11" t="s">
        <v>77</v>
      </c>
      <c r="C78" s="13" t="s">
        <v>31</v>
      </c>
      <c r="D78" s="11"/>
      <c r="E78" s="15">
        <v>1</v>
      </c>
      <c r="F78" s="52">
        <v>1</v>
      </c>
      <c r="G78" s="10">
        <v>970.21</v>
      </c>
      <c r="H78" s="71">
        <f t="shared" si="7"/>
        <v>0.97021000000000002</v>
      </c>
      <c r="I78" s="10">
        <v>0</v>
      </c>
    </row>
    <row r="79" spans="1:9" ht="15.75" hidden="1" customHeight="1">
      <c r="A79" s="21"/>
      <c r="B79" s="11" t="s">
        <v>136</v>
      </c>
      <c r="C79" s="13" t="s">
        <v>98</v>
      </c>
      <c r="D79" s="11"/>
      <c r="E79" s="15">
        <v>1</v>
      </c>
      <c r="F79" s="42">
        <f>SUM(E79)</f>
        <v>1</v>
      </c>
      <c r="G79" s="10">
        <v>407.79</v>
      </c>
      <c r="H79" s="71">
        <f t="shared" si="7"/>
        <v>0.40779000000000004</v>
      </c>
      <c r="I79" s="10">
        <v>0</v>
      </c>
    </row>
    <row r="80" spans="1:9" ht="15.75" hidden="1" customHeight="1">
      <c r="A80" s="21"/>
      <c r="B80" s="76" t="s">
        <v>79</v>
      </c>
      <c r="C80" s="13"/>
      <c r="D80" s="11"/>
      <c r="E80" s="15"/>
      <c r="F80" s="10"/>
      <c r="G80" s="10" t="s">
        <v>166</v>
      </c>
      <c r="H80" s="71" t="s">
        <v>166</v>
      </c>
      <c r="I80" s="62"/>
    </row>
    <row r="81" spans="1:9" ht="15.75" hidden="1" customHeight="1">
      <c r="A81" s="21"/>
      <c r="B81" s="34" t="s">
        <v>104</v>
      </c>
      <c r="C81" s="13" t="s">
        <v>80</v>
      </c>
      <c r="D81" s="11"/>
      <c r="E81" s="15"/>
      <c r="F81" s="10">
        <v>0.6</v>
      </c>
      <c r="G81" s="10">
        <v>3138.65</v>
      </c>
      <c r="H81" s="71">
        <f t="shared" si="7"/>
        <v>1.8831900000000001</v>
      </c>
      <c r="I81" s="10">
        <v>0</v>
      </c>
    </row>
    <row r="82" spans="1:9" ht="15.75" hidden="1" customHeight="1">
      <c r="A82" s="21"/>
      <c r="B82" s="45" t="s">
        <v>95</v>
      </c>
      <c r="C82" s="13"/>
      <c r="D82" s="11"/>
      <c r="E82" s="53"/>
      <c r="F82" s="10"/>
      <c r="G82" s="10"/>
      <c r="H82" s="71"/>
      <c r="I82" s="10"/>
    </row>
    <row r="83" spans="1:9" ht="15.75" hidden="1" customHeight="1">
      <c r="A83" s="21"/>
      <c r="B83" s="40" t="s">
        <v>101</v>
      </c>
      <c r="C83" s="13"/>
      <c r="D83" s="11"/>
      <c r="E83" s="53"/>
      <c r="F83" s="10">
        <v>1</v>
      </c>
      <c r="G83" s="10">
        <v>21095</v>
      </c>
      <c r="H83" s="71">
        <f>G83*F83/1000</f>
        <v>21.094999999999999</v>
      </c>
      <c r="I83" s="10">
        <v>0</v>
      </c>
    </row>
    <row r="84" spans="1:9" ht="15.75" hidden="1" customHeight="1">
      <c r="A84" s="21"/>
      <c r="B84" s="80" t="s">
        <v>107</v>
      </c>
      <c r="C84" s="76"/>
      <c r="D84" s="23"/>
      <c r="E84" s="24"/>
      <c r="F84" s="75"/>
      <c r="G84" s="75"/>
      <c r="H84" s="73"/>
      <c r="I84" s="61"/>
    </row>
    <row r="85" spans="1:9" ht="31.5" hidden="1" customHeight="1">
      <c r="A85" s="21"/>
      <c r="B85" s="77" t="s">
        <v>137</v>
      </c>
      <c r="C85" s="13" t="s">
        <v>138</v>
      </c>
      <c r="D85" s="40" t="s">
        <v>68</v>
      </c>
      <c r="E85" s="15">
        <v>10</v>
      </c>
      <c r="F85" s="10">
        <v>10</v>
      </c>
      <c r="G85" s="10">
        <v>271.88</v>
      </c>
      <c r="H85" s="71">
        <f t="shared" ref="H85:H98" si="9">F85*G85/1000</f>
        <v>2.7188000000000003</v>
      </c>
      <c r="I85" s="10">
        <v>0</v>
      </c>
    </row>
    <row r="86" spans="1:9" ht="15.75" hidden="1" customHeight="1">
      <c r="A86" s="21"/>
      <c r="B86" s="77" t="s">
        <v>108</v>
      </c>
      <c r="C86" s="13" t="s">
        <v>84</v>
      </c>
      <c r="D86" s="40" t="s">
        <v>68</v>
      </c>
      <c r="E86" s="15">
        <v>100</v>
      </c>
      <c r="F86" s="10">
        <v>100</v>
      </c>
      <c r="G86" s="10">
        <v>111.84</v>
      </c>
      <c r="H86" s="71">
        <f t="shared" si="9"/>
        <v>11.183999999999999</v>
      </c>
      <c r="I86" s="10">
        <v>0</v>
      </c>
    </row>
    <row r="87" spans="1:9" ht="15.75" hidden="1" customHeight="1">
      <c r="A87" s="21"/>
      <c r="B87" s="77" t="s">
        <v>139</v>
      </c>
      <c r="C87" s="13" t="s">
        <v>140</v>
      </c>
      <c r="D87" s="40" t="s">
        <v>68</v>
      </c>
      <c r="E87" s="15">
        <v>30</v>
      </c>
      <c r="F87" s="10">
        <v>10</v>
      </c>
      <c r="G87" s="10">
        <v>972.09</v>
      </c>
      <c r="H87" s="71">
        <f t="shared" si="9"/>
        <v>9.7209000000000003</v>
      </c>
      <c r="I87" s="10">
        <v>0</v>
      </c>
    </row>
    <row r="88" spans="1:9" ht="15.75" hidden="1" customHeight="1">
      <c r="A88" s="21"/>
      <c r="B88" s="77" t="s">
        <v>141</v>
      </c>
      <c r="C88" s="13" t="s">
        <v>53</v>
      </c>
      <c r="D88" s="40" t="s">
        <v>68</v>
      </c>
      <c r="E88" s="15">
        <v>100</v>
      </c>
      <c r="F88" s="10">
        <v>1</v>
      </c>
      <c r="G88" s="10">
        <v>1829.52</v>
      </c>
      <c r="H88" s="71">
        <f t="shared" si="9"/>
        <v>1.82952</v>
      </c>
      <c r="I88" s="10">
        <v>0</v>
      </c>
    </row>
    <row r="89" spans="1:9" ht="31.5" hidden="1" customHeight="1">
      <c r="A89" s="21">
        <v>19</v>
      </c>
      <c r="B89" s="77" t="s">
        <v>142</v>
      </c>
      <c r="C89" s="13" t="s">
        <v>143</v>
      </c>
      <c r="D89" s="40" t="s">
        <v>68</v>
      </c>
      <c r="E89" s="15">
        <v>40</v>
      </c>
      <c r="F89" s="10">
        <v>4</v>
      </c>
      <c r="G89" s="10">
        <v>272.39</v>
      </c>
      <c r="H89" s="71">
        <f t="shared" si="9"/>
        <v>1.0895599999999999</v>
      </c>
      <c r="I89" s="10">
        <f>G89*((4+4+4+3+3+4)/10)</f>
        <v>599.25800000000004</v>
      </c>
    </row>
    <row r="90" spans="1:9" ht="31.5" hidden="1" customHeight="1">
      <c r="A90" s="21"/>
      <c r="B90" s="77" t="s">
        <v>144</v>
      </c>
      <c r="C90" s="13" t="s">
        <v>84</v>
      </c>
      <c r="D90" s="40" t="s">
        <v>68</v>
      </c>
      <c r="E90" s="15">
        <v>15</v>
      </c>
      <c r="F90" s="10">
        <v>15</v>
      </c>
      <c r="G90" s="10">
        <v>1430.02</v>
      </c>
      <c r="H90" s="71">
        <f t="shared" si="9"/>
        <v>21.450299999999999</v>
      </c>
      <c r="I90" s="10">
        <v>0</v>
      </c>
    </row>
    <row r="91" spans="1:9" ht="31.5" hidden="1" customHeight="1">
      <c r="A91" s="21"/>
      <c r="B91" s="77" t="s">
        <v>145</v>
      </c>
      <c r="C91" s="13" t="s">
        <v>84</v>
      </c>
      <c r="D91" s="40" t="s">
        <v>68</v>
      </c>
      <c r="E91" s="15">
        <v>10</v>
      </c>
      <c r="F91" s="10">
        <v>10</v>
      </c>
      <c r="G91" s="10">
        <v>1743.04</v>
      </c>
      <c r="H91" s="71">
        <f t="shared" si="9"/>
        <v>17.430400000000002</v>
      </c>
      <c r="I91" s="10">
        <v>0</v>
      </c>
    </row>
    <row r="92" spans="1:9" ht="31.5" hidden="1" customHeight="1">
      <c r="A92" s="21"/>
      <c r="B92" s="77" t="s">
        <v>146</v>
      </c>
      <c r="C92" s="13" t="s">
        <v>84</v>
      </c>
      <c r="D92" s="40" t="s">
        <v>68</v>
      </c>
      <c r="E92" s="15">
        <v>20</v>
      </c>
      <c r="F92" s="10">
        <v>20</v>
      </c>
      <c r="G92" s="10">
        <v>607.27</v>
      </c>
      <c r="H92" s="71">
        <f t="shared" si="9"/>
        <v>12.1454</v>
      </c>
      <c r="I92" s="10">
        <v>0</v>
      </c>
    </row>
    <row r="93" spans="1:9" ht="31.5" hidden="1" customHeight="1">
      <c r="A93" s="21"/>
      <c r="B93" s="77" t="s">
        <v>147</v>
      </c>
      <c r="C93" s="13" t="s">
        <v>84</v>
      </c>
      <c r="D93" s="40" t="s">
        <v>68</v>
      </c>
      <c r="E93" s="15">
        <v>30</v>
      </c>
      <c r="F93" s="10">
        <v>30</v>
      </c>
      <c r="G93" s="10">
        <v>711.93</v>
      </c>
      <c r="H93" s="71">
        <f t="shared" si="9"/>
        <v>21.357899999999997</v>
      </c>
      <c r="I93" s="10">
        <v>0</v>
      </c>
    </row>
    <row r="94" spans="1:9" ht="15.75" hidden="1" customHeight="1">
      <c r="A94" s="21"/>
      <c r="B94" s="77" t="s">
        <v>109</v>
      </c>
      <c r="C94" s="13" t="s">
        <v>31</v>
      </c>
      <c r="D94" s="40" t="s">
        <v>68</v>
      </c>
      <c r="E94" s="15">
        <v>10</v>
      </c>
      <c r="F94" s="10">
        <v>10</v>
      </c>
      <c r="G94" s="10">
        <v>455.31</v>
      </c>
      <c r="H94" s="71">
        <f t="shared" si="9"/>
        <v>4.5531000000000006</v>
      </c>
      <c r="I94" s="10">
        <v>0</v>
      </c>
    </row>
    <row r="95" spans="1:9" ht="31.5" hidden="1" customHeight="1">
      <c r="A95" s="21"/>
      <c r="B95" s="77" t="s">
        <v>148</v>
      </c>
      <c r="C95" s="13" t="s">
        <v>84</v>
      </c>
      <c r="D95" s="40" t="s">
        <v>68</v>
      </c>
      <c r="E95" s="15">
        <v>30</v>
      </c>
      <c r="F95" s="10">
        <v>30</v>
      </c>
      <c r="G95" s="10">
        <v>1155.7</v>
      </c>
      <c r="H95" s="71">
        <f t="shared" si="9"/>
        <v>34.670999999999999</v>
      </c>
      <c r="I95" s="10">
        <v>0</v>
      </c>
    </row>
    <row r="96" spans="1:9" ht="31.5" hidden="1" customHeight="1">
      <c r="A96" s="21"/>
      <c r="B96" s="77" t="s">
        <v>149</v>
      </c>
      <c r="C96" s="13" t="s">
        <v>29</v>
      </c>
      <c r="D96" s="11" t="s">
        <v>43</v>
      </c>
      <c r="E96" s="15">
        <v>1040.4000000000001</v>
      </c>
      <c r="F96" s="10">
        <f>E96*2/1000</f>
        <v>2.0808</v>
      </c>
      <c r="G96" s="10">
        <v>1560.98</v>
      </c>
      <c r="H96" s="71">
        <f t="shared" si="9"/>
        <v>3.2480871840000001</v>
      </c>
      <c r="I96" s="10">
        <v>0</v>
      </c>
    </row>
    <row r="97" spans="1:9" ht="31.5" hidden="1" customHeight="1">
      <c r="A97" s="21"/>
      <c r="B97" s="77" t="s">
        <v>150</v>
      </c>
      <c r="C97" s="21" t="s">
        <v>152</v>
      </c>
      <c r="D97" s="40" t="s">
        <v>68</v>
      </c>
      <c r="E97" s="15">
        <v>100</v>
      </c>
      <c r="F97" s="10">
        <v>1</v>
      </c>
      <c r="G97" s="10">
        <v>12859.93</v>
      </c>
      <c r="H97" s="71">
        <f t="shared" si="9"/>
        <v>12.85993</v>
      </c>
      <c r="I97" s="10">
        <v>0</v>
      </c>
    </row>
    <row r="98" spans="1:9" ht="15.75" hidden="1" customHeight="1">
      <c r="A98" s="21"/>
      <c r="B98" s="77" t="s">
        <v>151</v>
      </c>
      <c r="C98" s="13" t="s">
        <v>29</v>
      </c>
      <c r="D98" s="11" t="s">
        <v>43</v>
      </c>
      <c r="E98" s="15">
        <v>1040.4000000000001</v>
      </c>
      <c r="F98" s="10">
        <v>2.08</v>
      </c>
      <c r="G98" s="10">
        <v>1453.29</v>
      </c>
      <c r="H98" s="71">
        <f t="shared" si="9"/>
        <v>3.0228432000000001</v>
      </c>
      <c r="I98" s="10">
        <v>0</v>
      </c>
    </row>
    <row r="99" spans="1:9" ht="15.75" customHeight="1">
      <c r="A99" s="133" t="s">
        <v>161</v>
      </c>
      <c r="B99" s="134"/>
      <c r="C99" s="134"/>
      <c r="D99" s="134"/>
      <c r="E99" s="134"/>
      <c r="F99" s="134"/>
      <c r="G99" s="134"/>
      <c r="H99" s="134"/>
      <c r="I99" s="135"/>
    </row>
    <row r="100" spans="1:9" ht="15.75" customHeight="1">
      <c r="A100" s="21">
        <v>19</v>
      </c>
      <c r="B100" s="77" t="s">
        <v>102</v>
      </c>
      <c r="C100" s="13" t="s">
        <v>55</v>
      </c>
      <c r="D100" s="51" t="s">
        <v>56</v>
      </c>
      <c r="E100" s="10">
        <v>3455.3</v>
      </c>
      <c r="F100" s="10">
        <v>41463.599999999999</v>
      </c>
      <c r="G100" s="10">
        <v>2.7</v>
      </c>
      <c r="H100" s="71">
        <f>SUM(F100*G100/1000)</f>
        <v>111.95171999999999</v>
      </c>
      <c r="I100" s="10">
        <f>F100/12*G100</f>
        <v>9329.31</v>
      </c>
    </row>
    <row r="101" spans="1:9" ht="31.5" customHeight="1">
      <c r="A101" s="21">
        <v>20</v>
      </c>
      <c r="B101" s="11" t="s">
        <v>81</v>
      </c>
      <c r="C101" s="13"/>
      <c r="D101" s="51" t="s">
        <v>56</v>
      </c>
      <c r="E101" s="57">
        <f>E100</f>
        <v>3455.3</v>
      </c>
      <c r="F101" s="10">
        <f>E101*12</f>
        <v>41463.600000000006</v>
      </c>
      <c r="G101" s="10">
        <v>3.05</v>
      </c>
      <c r="H101" s="71">
        <f>F101*G101/1000</f>
        <v>126.46398000000001</v>
      </c>
      <c r="I101" s="10">
        <f>F101/12*G101</f>
        <v>10538.665000000001</v>
      </c>
    </row>
    <row r="102" spans="1:9" ht="15.75" customHeight="1">
      <c r="A102" s="21"/>
      <c r="B102" s="27" t="s">
        <v>83</v>
      </c>
      <c r="C102" s="76"/>
      <c r="D102" s="74"/>
      <c r="E102" s="75"/>
      <c r="F102" s="75"/>
      <c r="G102" s="75"/>
      <c r="H102" s="73">
        <f>SUM(H101)</f>
        <v>126.46398000000001</v>
      </c>
      <c r="I102" s="75">
        <f>I16+I17+I18+I27+I28+I39+I40+I42+I43+I44+I45+I52+I56+I57+I60+I63+I65+I73+I100+I101</f>
        <v>74749.753084333322</v>
      </c>
    </row>
    <row r="103" spans="1:9" ht="15.75" customHeight="1">
      <c r="A103" s="140" t="s">
        <v>61</v>
      </c>
      <c r="B103" s="141"/>
      <c r="C103" s="141"/>
      <c r="D103" s="141"/>
      <c r="E103" s="141"/>
      <c r="F103" s="141"/>
      <c r="G103" s="141"/>
      <c r="H103" s="141"/>
      <c r="I103" s="142"/>
    </row>
    <row r="104" spans="1:9" ht="15.75" customHeight="1">
      <c r="A104" s="21">
        <v>21</v>
      </c>
      <c r="B104" s="34" t="s">
        <v>120</v>
      </c>
      <c r="C104" s="13" t="s">
        <v>153</v>
      </c>
      <c r="D104" s="34"/>
      <c r="E104" s="10"/>
      <c r="F104" s="10">
        <v>4</v>
      </c>
      <c r="G104" s="10">
        <v>1645</v>
      </c>
      <c r="H104" s="71">
        <f>G104*F104/1000</f>
        <v>6.58</v>
      </c>
      <c r="I104" s="96">
        <f>G104*(1.5+0.5)</f>
        <v>3290</v>
      </c>
    </row>
    <row r="105" spans="1:9" ht="32.25" customHeight="1">
      <c r="A105" s="21"/>
      <c r="B105" s="11" t="s">
        <v>206</v>
      </c>
      <c r="C105" s="13" t="s">
        <v>98</v>
      </c>
      <c r="D105" s="34"/>
      <c r="E105" s="10"/>
      <c r="F105" s="10"/>
      <c r="G105" s="26">
        <v>419.84</v>
      </c>
      <c r="H105" s="71"/>
      <c r="I105" s="96">
        <f>G105*1</f>
        <v>419.84</v>
      </c>
    </row>
    <row r="106" spans="1:9">
      <c r="A106" s="21"/>
      <c r="B106" s="32" t="s">
        <v>52</v>
      </c>
      <c r="C106" s="28"/>
      <c r="D106" s="35"/>
      <c r="E106" s="28">
        <v>1</v>
      </c>
      <c r="F106" s="28"/>
      <c r="G106" s="28"/>
      <c r="H106" s="28"/>
      <c r="I106" s="24">
        <f>SUM(I104:I105)</f>
        <v>3709.84</v>
      </c>
    </row>
    <row r="107" spans="1:9">
      <c r="A107" s="21"/>
      <c r="B107" s="34" t="s">
        <v>82</v>
      </c>
      <c r="C107" s="12"/>
      <c r="D107" s="12"/>
      <c r="E107" s="29"/>
      <c r="F107" s="29"/>
      <c r="G107" s="30"/>
      <c r="H107" s="30"/>
      <c r="I107" s="14">
        <v>0</v>
      </c>
    </row>
    <row r="108" spans="1:9" ht="15.75" customHeight="1">
      <c r="A108" s="36"/>
      <c r="B108" s="33" t="s">
        <v>184</v>
      </c>
      <c r="C108" s="25"/>
      <c r="D108" s="25"/>
      <c r="E108" s="25"/>
      <c r="F108" s="25"/>
      <c r="G108" s="25"/>
      <c r="H108" s="25"/>
      <c r="I108" s="31">
        <f>I102+I106</f>
        <v>78459.593084333319</v>
      </c>
    </row>
    <row r="109" spans="1:9" ht="15.75">
      <c r="A109" s="136" t="s">
        <v>207</v>
      </c>
      <c r="B109" s="136"/>
      <c r="C109" s="136"/>
      <c r="D109" s="136"/>
      <c r="E109" s="136"/>
      <c r="F109" s="136"/>
      <c r="G109" s="136"/>
      <c r="H109" s="136"/>
      <c r="I109" s="136"/>
    </row>
    <row r="110" spans="1:9" ht="15.75">
      <c r="A110" s="50"/>
      <c r="B110" s="137" t="s">
        <v>208</v>
      </c>
      <c r="C110" s="137"/>
      <c r="D110" s="137"/>
      <c r="E110" s="137"/>
      <c r="F110" s="137"/>
      <c r="G110" s="137"/>
      <c r="H110" s="56"/>
      <c r="I110" s="2"/>
    </row>
    <row r="111" spans="1:9">
      <c r="A111" s="44"/>
      <c r="B111" s="124" t="s">
        <v>6</v>
      </c>
      <c r="C111" s="124"/>
      <c r="D111" s="124"/>
      <c r="E111" s="124"/>
      <c r="F111" s="124"/>
      <c r="G111" s="124"/>
      <c r="H111" s="16"/>
      <c r="I111" s="4"/>
    </row>
    <row r="112" spans="1:9">
      <c r="A112" s="7"/>
      <c r="B112" s="7"/>
      <c r="C112" s="7"/>
      <c r="D112" s="7"/>
      <c r="E112" s="7"/>
      <c r="F112" s="7"/>
      <c r="G112" s="7"/>
      <c r="H112" s="7"/>
      <c r="I112" s="7"/>
    </row>
    <row r="113" spans="1:9" ht="15.75" customHeight="1">
      <c r="A113" s="138" t="s">
        <v>7</v>
      </c>
      <c r="B113" s="138"/>
      <c r="C113" s="138"/>
      <c r="D113" s="138"/>
      <c r="E113" s="138"/>
      <c r="F113" s="138"/>
      <c r="G113" s="138"/>
      <c r="H113" s="138"/>
      <c r="I113" s="138"/>
    </row>
    <row r="114" spans="1:9" ht="15.75" customHeight="1">
      <c r="A114" s="138" t="s">
        <v>8</v>
      </c>
      <c r="B114" s="138"/>
      <c r="C114" s="138"/>
      <c r="D114" s="138"/>
      <c r="E114" s="138"/>
      <c r="F114" s="138"/>
      <c r="G114" s="138"/>
      <c r="H114" s="138"/>
      <c r="I114" s="138"/>
    </row>
    <row r="115" spans="1:9" ht="15.75" customHeight="1">
      <c r="A115" s="139" t="s">
        <v>62</v>
      </c>
      <c r="B115" s="139"/>
      <c r="C115" s="139"/>
      <c r="D115" s="139"/>
      <c r="E115" s="139"/>
      <c r="F115" s="139"/>
      <c r="G115" s="139"/>
      <c r="H115" s="139"/>
      <c r="I115" s="139"/>
    </row>
    <row r="116" spans="1:9" ht="15.75" customHeight="1">
      <c r="A116" s="8"/>
    </row>
    <row r="117" spans="1:9" ht="15.75" customHeight="1">
      <c r="A117" s="128" t="s">
        <v>9</v>
      </c>
      <c r="B117" s="128"/>
      <c r="C117" s="128"/>
      <c r="D117" s="128"/>
      <c r="E117" s="128"/>
      <c r="F117" s="128"/>
      <c r="G117" s="128"/>
      <c r="H117" s="128"/>
      <c r="I117" s="128"/>
    </row>
    <row r="118" spans="1:9" ht="15.75" customHeight="1">
      <c r="A118" s="3"/>
    </row>
    <row r="119" spans="1:9" ht="15.75" customHeight="1">
      <c r="B119" s="46" t="s">
        <v>10</v>
      </c>
      <c r="C119" s="123" t="s">
        <v>158</v>
      </c>
      <c r="D119" s="123"/>
      <c r="E119" s="123"/>
      <c r="F119" s="54"/>
      <c r="I119" s="48"/>
    </row>
    <row r="120" spans="1:9">
      <c r="A120" s="44"/>
      <c r="C120" s="124" t="s">
        <v>11</v>
      </c>
      <c r="D120" s="124"/>
      <c r="E120" s="124"/>
      <c r="F120" s="16"/>
      <c r="I120" s="49" t="s">
        <v>12</v>
      </c>
    </row>
    <row r="121" spans="1:9" ht="15.75">
      <c r="A121" s="17"/>
      <c r="C121" s="9"/>
      <c r="D121" s="9"/>
      <c r="G121" s="9"/>
      <c r="H121" s="9"/>
    </row>
    <row r="122" spans="1:9" ht="15.75">
      <c r="B122" s="46" t="s">
        <v>13</v>
      </c>
      <c r="C122" s="125"/>
      <c r="D122" s="125"/>
      <c r="E122" s="125"/>
      <c r="F122" s="55"/>
      <c r="I122" s="48"/>
    </row>
    <row r="123" spans="1:9">
      <c r="A123" s="44"/>
      <c r="C123" s="126" t="s">
        <v>11</v>
      </c>
      <c r="D123" s="126"/>
      <c r="E123" s="126"/>
      <c r="F123" s="44"/>
      <c r="I123" s="49" t="s">
        <v>12</v>
      </c>
    </row>
    <row r="124" spans="1:9" ht="15.75">
      <c r="A124" s="3" t="s">
        <v>14</v>
      </c>
    </row>
    <row r="125" spans="1:9">
      <c r="A125" s="127" t="s">
        <v>15</v>
      </c>
      <c r="B125" s="127"/>
      <c r="C125" s="127"/>
      <c r="D125" s="127"/>
      <c r="E125" s="127"/>
      <c r="F125" s="127"/>
      <c r="G125" s="127"/>
      <c r="H125" s="127"/>
      <c r="I125" s="127"/>
    </row>
    <row r="126" spans="1:9" ht="45" customHeight="1">
      <c r="A126" s="122" t="s">
        <v>16</v>
      </c>
      <c r="B126" s="122"/>
      <c r="C126" s="122"/>
      <c r="D126" s="122"/>
      <c r="E126" s="122"/>
      <c r="F126" s="122"/>
      <c r="G126" s="122"/>
      <c r="H126" s="122"/>
      <c r="I126" s="122"/>
    </row>
    <row r="127" spans="1:9" ht="30" customHeight="1">
      <c r="A127" s="122" t="s">
        <v>17</v>
      </c>
      <c r="B127" s="122"/>
      <c r="C127" s="122"/>
      <c r="D127" s="122"/>
      <c r="E127" s="122"/>
      <c r="F127" s="122"/>
      <c r="G127" s="122"/>
      <c r="H127" s="122"/>
      <c r="I127" s="122"/>
    </row>
    <row r="128" spans="1:9" ht="30" customHeight="1">
      <c r="A128" s="122" t="s">
        <v>21</v>
      </c>
      <c r="B128" s="122"/>
      <c r="C128" s="122"/>
      <c r="D128" s="122"/>
      <c r="E128" s="122"/>
      <c r="F128" s="122"/>
      <c r="G128" s="122"/>
      <c r="H128" s="122"/>
      <c r="I128" s="122"/>
    </row>
    <row r="129" spans="1:9" ht="15" customHeight="1">
      <c r="A129" s="122" t="s">
        <v>20</v>
      </c>
      <c r="B129" s="122"/>
      <c r="C129" s="122"/>
      <c r="D129" s="122"/>
      <c r="E129" s="122"/>
      <c r="F129" s="122"/>
      <c r="G129" s="122"/>
      <c r="H129" s="122"/>
      <c r="I129" s="122"/>
    </row>
  </sheetData>
  <mergeCells count="28">
    <mergeCell ref="A14:I14"/>
    <mergeCell ref="A3:I3"/>
    <mergeCell ref="A4:I4"/>
    <mergeCell ref="A5:I5"/>
    <mergeCell ref="A8:I8"/>
    <mergeCell ref="A10:I10"/>
    <mergeCell ref="A117:I117"/>
    <mergeCell ref="A15:I15"/>
    <mergeCell ref="A29:I29"/>
    <mergeCell ref="A46:I46"/>
    <mergeCell ref="A58:I58"/>
    <mergeCell ref="A99:I99"/>
    <mergeCell ref="A109:I109"/>
    <mergeCell ref="B110:G110"/>
    <mergeCell ref="B111:G111"/>
    <mergeCell ref="A113:I113"/>
    <mergeCell ref="A114:I114"/>
    <mergeCell ref="A115:I115"/>
    <mergeCell ref="A103:I103"/>
    <mergeCell ref="A127:I127"/>
    <mergeCell ref="A128:I128"/>
    <mergeCell ref="A129:I129"/>
    <mergeCell ref="C119:E119"/>
    <mergeCell ref="C120:E120"/>
    <mergeCell ref="C122:E122"/>
    <mergeCell ref="C123:E123"/>
    <mergeCell ref="A125:I125"/>
    <mergeCell ref="A126:I126"/>
  </mergeCells>
  <pageMargins left="0.70866141732283472" right="0.70866141732283472" top="0.27559055118110237" bottom="0.27559055118110237" header="0.31496062992125984" footer="0.31496062992125984"/>
  <pageSetup paperSize="9" scale="5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31"/>
  <sheetViews>
    <sheetView topLeftCell="A89" workbookViewId="0">
      <selection activeCell="B63" sqref="B63:I6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9.42578125" hidden="1" customWidth="1"/>
    <col min="6" max="6" width="15.57031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220</v>
      </c>
      <c r="I1" s="18"/>
    </row>
    <row r="2" spans="1:9" ht="15.75">
      <c r="A2" s="20" t="s">
        <v>63</v>
      </c>
    </row>
    <row r="3" spans="1:9" ht="15.75">
      <c r="A3" s="144" t="s">
        <v>181</v>
      </c>
      <c r="B3" s="144"/>
      <c r="C3" s="144"/>
      <c r="D3" s="144"/>
      <c r="E3" s="144"/>
      <c r="F3" s="144"/>
      <c r="G3" s="144"/>
      <c r="H3" s="144"/>
      <c r="I3" s="144"/>
    </row>
    <row r="4" spans="1:9" ht="31.5" customHeight="1">
      <c r="A4" s="145" t="s">
        <v>154</v>
      </c>
      <c r="B4" s="145"/>
      <c r="C4" s="145"/>
      <c r="D4" s="145"/>
      <c r="E4" s="145"/>
      <c r="F4" s="145"/>
      <c r="G4" s="145"/>
      <c r="H4" s="145"/>
      <c r="I4" s="145"/>
    </row>
    <row r="5" spans="1:9" ht="15.75">
      <c r="A5" s="144" t="s">
        <v>244</v>
      </c>
      <c r="B5" s="146"/>
      <c r="C5" s="146"/>
      <c r="D5" s="146"/>
      <c r="E5" s="146"/>
      <c r="F5" s="146"/>
      <c r="G5" s="146"/>
      <c r="H5" s="146"/>
      <c r="I5" s="146"/>
    </row>
    <row r="6" spans="1:9" ht="15.75">
      <c r="A6" s="1"/>
      <c r="B6" s="47"/>
      <c r="C6" s="47"/>
      <c r="D6" s="47"/>
      <c r="E6" s="47"/>
      <c r="F6" s="47"/>
      <c r="G6" s="47"/>
      <c r="H6" s="47"/>
      <c r="I6" s="22">
        <v>43404</v>
      </c>
    </row>
    <row r="7" spans="1:9" ht="15.75">
      <c r="B7" s="46"/>
      <c r="C7" s="46"/>
      <c r="D7" s="46"/>
      <c r="E7" s="2"/>
      <c r="F7" s="2"/>
      <c r="G7" s="2"/>
      <c r="H7" s="2"/>
    </row>
    <row r="8" spans="1:9" ht="78.75" customHeight="1">
      <c r="A8" s="147" t="s">
        <v>222</v>
      </c>
      <c r="B8" s="147"/>
      <c r="C8" s="147"/>
      <c r="D8" s="147"/>
      <c r="E8" s="147"/>
      <c r="F8" s="147"/>
      <c r="G8" s="147"/>
      <c r="H8" s="147"/>
      <c r="I8" s="147"/>
    </row>
    <row r="9" spans="1:9" ht="15.75">
      <c r="A9" s="3"/>
    </row>
    <row r="10" spans="1:9" ht="47.25" customHeight="1">
      <c r="A10" s="148" t="s">
        <v>183</v>
      </c>
      <c r="B10" s="148"/>
      <c r="C10" s="148"/>
      <c r="D10" s="148"/>
      <c r="E10" s="148"/>
      <c r="F10" s="148"/>
      <c r="G10" s="148"/>
      <c r="H10" s="148"/>
      <c r="I10" s="148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3" t="s">
        <v>60</v>
      </c>
      <c r="B14" s="143"/>
      <c r="C14" s="143"/>
      <c r="D14" s="143"/>
      <c r="E14" s="143"/>
      <c r="F14" s="143"/>
      <c r="G14" s="143"/>
      <c r="H14" s="143"/>
      <c r="I14" s="143"/>
    </row>
    <row r="15" spans="1:9" ht="15.75" customHeight="1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</row>
    <row r="16" spans="1:9" ht="15.75" customHeight="1">
      <c r="A16" s="21">
        <v>1</v>
      </c>
      <c r="B16" s="40" t="s">
        <v>110</v>
      </c>
      <c r="C16" s="41" t="s">
        <v>89</v>
      </c>
      <c r="D16" s="40" t="s">
        <v>155</v>
      </c>
      <c r="E16" s="57">
        <v>70.7</v>
      </c>
      <c r="F16" s="42">
        <f>SUM(E16*156/100)</f>
        <v>110.292</v>
      </c>
      <c r="G16" s="42">
        <v>199.46</v>
      </c>
      <c r="H16" s="58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40" t="s">
        <v>121</v>
      </c>
      <c r="C17" s="41" t="s">
        <v>89</v>
      </c>
      <c r="D17" s="40" t="s">
        <v>156</v>
      </c>
      <c r="E17" s="57">
        <v>282.8</v>
      </c>
      <c r="F17" s="42">
        <f>SUM(E17*104/100)</f>
        <v>294.11200000000002</v>
      </c>
      <c r="G17" s="42">
        <v>199.46</v>
      </c>
      <c r="H17" s="58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40" t="s">
        <v>122</v>
      </c>
      <c r="C18" s="41" t="s">
        <v>89</v>
      </c>
      <c r="D18" s="40" t="s">
        <v>157</v>
      </c>
      <c r="E18" s="57">
        <f>SUM(E16+E17)</f>
        <v>353.5</v>
      </c>
      <c r="F18" s="42">
        <f>SUM(E18*24/100)</f>
        <v>84.84</v>
      </c>
      <c r="G18" s="42">
        <v>573.83000000000004</v>
      </c>
      <c r="H18" s="58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1"/>
      <c r="B19" s="40" t="s">
        <v>111</v>
      </c>
      <c r="C19" s="41" t="s">
        <v>112</v>
      </c>
      <c r="D19" s="40" t="s">
        <v>113</v>
      </c>
      <c r="E19" s="57">
        <v>40</v>
      </c>
      <c r="F19" s="42">
        <f>SUM(E19/10)</f>
        <v>4</v>
      </c>
      <c r="G19" s="42">
        <v>193.55</v>
      </c>
      <c r="H19" s="58">
        <f t="shared" si="0"/>
        <v>0.7742</v>
      </c>
      <c r="I19" s="10">
        <v>0</v>
      </c>
    </row>
    <row r="20" spans="1:9" ht="15.75" hidden="1" customHeight="1">
      <c r="A20" s="21"/>
      <c r="B20" s="40" t="s">
        <v>114</v>
      </c>
      <c r="C20" s="41" t="s">
        <v>89</v>
      </c>
      <c r="D20" s="40" t="s">
        <v>43</v>
      </c>
      <c r="E20" s="57">
        <v>10.5</v>
      </c>
      <c r="F20" s="42">
        <f>E20*2/100</f>
        <v>0.21</v>
      </c>
      <c r="G20" s="42">
        <v>247.82</v>
      </c>
      <c r="H20" s="58">
        <f t="shared" si="0"/>
        <v>5.2042199999999997E-2</v>
      </c>
      <c r="I20" s="10">
        <v>0</v>
      </c>
    </row>
    <row r="21" spans="1:9" ht="15.75" hidden="1" customHeight="1">
      <c r="A21" s="21"/>
      <c r="B21" s="40" t="s">
        <v>115</v>
      </c>
      <c r="C21" s="41" t="s">
        <v>89</v>
      </c>
      <c r="D21" s="40" t="s">
        <v>43</v>
      </c>
      <c r="E21" s="57">
        <v>2.7</v>
      </c>
      <c r="F21" s="42">
        <f>SUM(E21*2/100)</f>
        <v>5.4000000000000006E-2</v>
      </c>
      <c r="G21" s="42">
        <v>245.81</v>
      </c>
      <c r="H21" s="58">
        <f t="shared" si="0"/>
        <v>1.3273740000000003E-2</v>
      </c>
      <c r="I21" s="10">
        <v>0</v>
      </c>
    </row>
    <row r="22" spans="1:9" ht="15.75" hidden="1" customHeight="1">
      <c r="A22" s="21"/>
      <c r="B22" s="40" t="s">
        <v>116</v>
      </c>
      <c r="C22" s="41" t="s">
        <v>53</v>
      </c>
      <c r="D22" s="40" t="s">
        <v>113</v>
      </c>
      <c r="E22" s="57">
        <v>357</v>
      </c>
      <c r="F22" s="42">
        <f>SUM(E22/100)</f>
        <v>3.57</v>
      </c>
      <c r="G22" s="42">
        <v>306.26</v>
      </c>
      <c r="H22" s="58">
        <f t="shared" si="0"/>
        <v>1.0933481999999999</v>
      </c>
      <c r="I22" s="10">
        <v>0</v>
      </c>
    </row>
    <row r="23" spans="1:9" ht="15.75" hidden="1" customHeight="1">
      <c r="A23" s="21"/>
      <c r="B23" s="40" t="s">
        <v>117</v>
      </c>
      <c r="C23" s="41" t="s">
        <v>53</v>
      </c>
      <c r="D23" s="40" t="s">
        <v>113</v>
      </c>
      <c r="E23" s="60">
        <v>38.64</v>
      </c>
      <c r="F23" s="42">
        <f>SUM(E23/100)</f>
        <v>0.38640000000000002</v>
      </c>
      <c r="G23" s="42">
        <v>50.37</v>
      </c>
      <c r="H23" s="58">
        <f t="shared" si="0"/>
        <v>1.9462968000000001E-2</v>
      </c>
      <c r="I23" s="10">
        <v>0</v>
      </c>
    </row>
    <row r="24" spans="1:9" ht="15.75" hidden="1" customHeight="1">
      <c r="A24" s="21"/>
      <c r="B24" s="40" t="s">
        <v>118</v>
      </c>
      <c r="C24" s="41" t="s">
        <v>53</v>
      </c>
      <c r="D24" s="40" t="s">
        <v>123</v>
      </c>
      <c r="E24" s="57">
        <v>15</v>
      </c>
      <c r="F24" s="42">
        <f>E24/100</f>
        <v>0.15</v>
      </c>
      <c r="G24" s="42">
        <v>443.27</v>
      </c>
      <c r="H24" s="58">
        <f t="shared" si="0"/>
        <v>6.6490499999999994E-2</v>
      </c>
      <c r="I24" s="10">
        <v>0</v>
      </c>
    </row>
    <row r="25" spans="1:9" ht="15.75" hidden="1" customHeight="1">
      <c r="A25" s="21"/>
      <c r="B25" s="40" t="s">
        <v>124</v>
      </c>
      <c r="C25" s="41" t="s">
        <v>89</v>
      </c>
      <c r="D25" s="40" t="s">
        <v>54</v>
      </c>
      <c r="E25" s="57">
        <v>14.25</v>
      </c>
      <c r="F25" s="42">
        <v>0.1</v>
      </c>
      <c r="G25" s="42">
        <v>245.81</v>
      </c>
      <c r="H25" s="58">
        <v>3.1E-2</v>
      </c>
      <c r="I25" s="10">
        <v>0</v>
      </c>
    </row>
    <row r="26" spans="1:9" ht="15.75" hidden="1" customHeight="1">
      <c r="A26" s="21"/>
      <c r="B26" s="40" t="s">
        <v>125</v>
      </c>
      <c r="C26" s="41" t="s">
        <v>53</v>
      </c>
      <c r="D26" s="40" t="s">
        <v>113</v>
      </c>
      <c r="E26" s="57">
        <v>6.38</v>
      </c>
      <c r="F26" s="42">
        <f>SUM(E26/100)</f>
        <v>6.3799999999999996E-2</v>
      </c>
      <c r="G26" s="42">
        <v>592.37</v>
      </c>
      <c r="H26" s="58">
        <f t="shared" si="0"/>
        <v>3.7793205999999996E-2</v>
      </c>
      <c r="I26" s="10">
        <v>0</v>
      </c>
    </row>
    <row r="27" spans="1:9" ht="15.75" customHeight="1">
      <c r="A27" s="21">
        <v>4</v>
      </c>
      <c r="B27" s="40" t="s">
        <v>65</v>
      </c>
      <c r="C27" s="41" t="s">
        <v>33</v>
      </c>
      <c r="D27" s="40"/>
      <c r="E27" s="57">
        <v>0.1</v>
      </c>
      <c r="F27" s="42">
        <f>SUM(E27*365)</f>
        <v>36.5</v>
      </c>
      <c r="G27" s="42">
        <v>167.24</v>
      </c>
      <c r="H27" s="58">
        <f>SUM(F27*G27/1000)</f>
        <v>6.10426</v>
      </c>
      <c r="I27" s="10">
        <f>F27/12*G27</f>
        <v>508.68833333333333</v>
      </c>
    </row>
    <row r="28" spans="1:9" ht="15.75" customHeight="1">
      <c r="A28" s="21">
        <v>5</v>
      </c>
      <c r="B28" s="64" t="s">
        <v>23</v>
      </c>
      <c r="C28" s="41" t="s">
        <v>24</v>
      </c>
      <c r="D28" s="40"/>
      <c r="E28" s="57">
        <v>2661.7</v>
      </c>
      <c r="F28" s="42">
        <f>SUM(E28*12)</f>
        <v>31940.399999999998</v>
      </c>
      <c r="G28" s="42">
        <v>5.58</v>
      </c>
      <c r="H28" s="58">
        <f>SUM(F28*G28/1000)</f>
        <v>178.22743199999999</v>
      </c>
      <c r="I28" s="10">
        <f>F28/12*G28</f>
        <v>14852.286</v>
      </c>
    </row>
    <row r="29" spans="1:9" ht="15.75" customHeight="1">
      <c r="A29" s="129" t="s">
        <v>87</v>
      </c>
      <c r="B29" s="129"/>
      <c r="C29" s="129"/>
      <c r="D29" s="129"/>
      <c r="E29" s="129"/>
      <c r="F29" s="129"/>
      <c r="G29" s="129"/>
      <c r="H29" s="129"/>
      <c r="I29" s="129"/>
    </row>
    <row r="30" spans="1:9" ht="15.75" customHeight="1">
      <c r="A30" s="21"/>
      <c r="B30" s="78" t="s">
        <v>28</v>
      </c>
      <c r="C30" s="41"/>
      <c r="D30" s="40"/>
      <c r="E30" s="57"/>
      <c r="F30" s="42"/>
      <c r="G30" s="42"/>
      <c r="H30" s="58"/>
      <c r="I30" s="62"/>
    </row>
    <row r="31" spans="1:9" ht="15.75" customHeight="1">
      <c r="A31" s="21">
        <v>6</v>
      </c>
      <c r="B31" s="40" t="s">
        <v>97</v>
      </c>
      <c r="C31" s="41" t="s">
        <v>91</v>
      </c>
      <c r="D31" s="40" t="s">
        <v>187</v>
      </c>
      <c r="E31" s="42">
        <v>573.6</v>
      </c>
      <c r="F31" s="42">
        <f>SUM(E31*52/1000)</f>
        <v>29.827200000000001</v>
      </c>
      <c r="G31" s="42">
        <v>177.3</v>
      </c>
      <c r="H31" s="58">
        <f t="shared" ref="H31:H37" si="2">SUM(F31*G31/1000)</f>
        <v>5.2883625600000004</v>
      </c>
      <c r="I31" s="10">
        <f>F31/6*G31</f>
        <v>881.39376000000016</v>
      </c>
    </row>
    <row r="32" spans="1:9" ht="31.5" customHeight="1">
      <c r="A32" s="21">
        <v>7</v>
      </c>
      <c r="B32" s="40" t="s">
        <v>170</v>
      </c>
      <c r="C32" s="41" t="s">
        <v>91</v>
      </c>
      <c r="D32" s="40" t="s">
        <v>188</v>
      </c>
      <c r="E32" s="42">
        <v>200</v>
      </c>
      <c r="F32" s="42">
        <f>SUM(E32*78/1000)</f>
        <v>15.6</v>
      </c>
      <c r="G32" s="42">
        <v>294.17</v>
      </c>
      <c r="H32" s="58">
        <f t="shared" si="2"/>
        <v>4.5890520000000006</v>
      </c>
      <c r="I32" s="10">
        <f t="shared" ref="I32:I35" si="3">F32/6*G32</f>
        <v>764.8420000000001</v>
      </c>
    </row>
    <row r="33" spans="1:9" ht="15.75" hidden="1" customHeight="1">
      <c r="A33" s="21">
        <v>16</v>
      </c>
      <c r="B33" s="40" t="s">
        <v>27</v>
      </c>
      <c r="C33" s="41" t="s">
        <v>91</v>
      </c>
      <c r="D33" s="40" t="s">
        <v>54</v>
      </c>
      <c r="E33" s="42">
        <v>573.6</v>
      </c>
      <c r="F33" s="42">
        <f>SUM(E33/1000)</f>
        <v>0.5736</v>
      </c>
      <c r="G33" s="42">
        <v>3435.36</v>
      </c>
      <c r="H33" s="58">
        <f t="shared" si="2"/>
        <v>1.9705224960000001</v>
      </c>
      <c r="I33" s="10">
        <v>0</v>
      </c>
    </row>
    <row r="34" spans="1:9" ht="15.75" customHeight="1">
      <c r="A34" s="21">
        <v>8</v>
      </c>
      <c r="B34" s="40" t="s">
        <v>128</v>
      </c>
      <c r="C34" s="41" t="s">
        <v>41</v>
      </c>
      <c r="D34" s="40" t="s">
        <v>64</v>
      </c>
      <c r="E34" s="42">
        <v>1</v>
      </c>
      <c r="F34" s="42">
        <v>1.55</v>
      </c>
      <c r="G34" s="42">
        <v>1480.94</v>
      </c>
      <c r="H34" s="58">
        <f>G34*F34/1000</f>
        <v>2.2954570000000003</v>
      </c>
      <c r="I34" s="10">
        <f t="shared" si="3"/>
        <v>382.57616666666672</v>
      </c>
    </row>
    <row r="35" spans="1:9" ht="15.75" customHeight="1">
      <c r="A35" s="21">
        <v>9</v>
      </c>
      <c r="B35" s="40" t="s">
        <v>96</v>
      </c>
      <c r="C35" s="41" t="s">
        <v>31</v>
      </c>
      <c r="D35" s="40" t="s">
        <v>64</v>
      </c>
      <c r="E35" s="63">
        <v>0.33333333333333331</v>
      </c>
      <c r="F35" s="42">
        <f>155/3</f>
        <v>51.666666666666664</v>
      </c>
      <c r="G35" s="42">
        <v>64.48</v>
      </c>
      <c r="H35" s="58">
        <f>SUM(G35*155/3/1000)</f>
        <v>3.331466666666667</v>
      </c>
      <c r="I35" s="10">
        <f t="shared" si="3"/>
        <v>555.24444444444441</v>
      </c>
    </row>
    <row r="36" spans="1:9" ht="15.75" hidden="1" customHeight="1">
      <c r="A36" s="21"/>
      <c r="B36" s="40" t="s">
        <v>66</v>
      </c>
      <c r="C36" s="41" t="s">
        <v>33</v>
      </c>
      <c r="D36" s="40" t="s">
        <v>68</v>
      </c>
      <c r="E36" s="57"/>
      <c r="F36" s="42">
        <v>3</v>
      </c>
      <c r="G36" s="42">
        <v>217.61</v>
      </c>
      <c r="H36" s="58">
        <f t="shared" si="2"/>
        <v>0.65283000000000002</v>
      </c>
      <c r="I36" s="10">
        <v>0</v>
      </c>
    </row>
    <row r="37" spans="1:9" ht="15.75" hidden="1" customHeight="1">
      <c r="A37" s="21"/>
      <c r="B37" s="40" t="s">
        <v>67</v>
      </c>
      <c r="C37" s="41" t="s">
        <v>32</v>
      </c>
      <c r="D37" s="40" t="s">
        <v>68</v>
      </c>
      <c r="E37" s="57"/>
      <c r="F37" s="42">
        <v>2</v>
      </c>
      <c r="G37" s="42">
        <v>1292.47</v>
      </c>
      <c r="H37" s="58">
        <f t="shared" si="2"/>
        <v>2.58494</v>
      </c>
      <c r="I37" s="10">
        <v>0</v>
      </c>
    </row>
    <row r="38" spans="1:9" ht="15.75" hidden="1" customHeight="1">
      <c r="A38" s="21"/>
      <c r="B38" s="78" t="s">
        <v>5</v>
      </c>
      <c r="C38" s="41"/>
      <c r="D38" s="40"/>
      <c r="E38" s="57"/>
      <c r="F38" s="42"/>
      <c r="G38" s="42"/>
      <c r="H38" s="58" t="s">
        <v>166</v>
      </c>
      <c r="I38" s="62"/>
    </row>
    <row r="39" spans="1:9" ht="15.75" hidden="1" customHeight="1">
      <c r="A39" s="21">
        <v>6</v>
      </c>
      <c r="B39" s="40" t="s">
        <v>26</v>
      </c>
      <c r="C39" s="41" t="s">
        <v>32</v>
      </c>
      <c r="D39" s="40"/>
      <c r="E39" s="57"/>
      <c r="F39" s="42">
        <v>8</v>
      </c>
      <c r="G39" s="42">
        <v>1737.08</v>
      </c>
      <c r="H39" s="58">
        <f t="shared" ref="H39:H45" si="4">SUM(F39*G39/1000)</f>
        <v>13.89664</v>
      </c>
      <c r="I39" s="10">
        <f>F39/6*G39</f>
        <v>2316.1066666666666</v>
      </c>
    </row>
    <row r="40" spans="1:9" ht="15.75" hidden="1" customHeight="1">
      <c r="A40" s="21">
        <v>7</v>
      </c>
      <c r="B40" s="40" t="s">
        <v>69</v>
      </c>
      <c r="C40" s="41" t="s">
        <v>29</v>
      </c>
      <c r="D40" s="40" t="s">
        <v>105</v>
      </c>
      <c r="E40" s="42">
        <v>200</v>
      </c>
      <c r="F40" s="42">
        <f>SUM(E40*30/1000)</f>
        <v>6</v>
      </c>
      <c r="G40" s="42">
        <v>2391.67</v>
      </c>
      <c r="H40" s="58">
        <f t="shared" si="4"/>
        <v>14.350020000000001</v>
      </c>
      <c r="I40" s="10">
        <f>F40/6*G40</f>
        <v>2391.67</v>
      </c>
    </row>
    <row r="41" spans="1:9" ht="15.75" hidden="1" customHeight="1">
      <c r="A41" s="21"/>
      <c r="B41" s="40" t="s">
        <v>129</v>
      </c>
      <c r="C41" s="41" t="s">
        <v>55</v>
      </c>
      <c r="D41" s="40"/>
      <c r="E41" s="57"/>
      <c r="F41" s="42">
        <v>130</v>
      </c>
      <c r="G41" s="42">
        <v>226.84</v>
      </c>
      <c r="H41" s="58">
        <f t="shared" si="4"/>
        <v>29.4892</v>
      </c>
      <c r="I41" s="10">
        <v>0</v>
      </c>
    </row>
    <row r="42" spans="1:9" ht="15.75" hidden="1" customHeight="1">
      <c r="A42" s="21">
        <v>8</v>
      </c>
      <c r="B42" s="40" t="s">
        <v>70</v>
      </c>
      <c r="C42" s="41" t="s">
        <v>29</v>
      </c>
      <c r="D42" s="40" t="s">
        <v>90</v>
      </c>
      <c r="E42" s="42">
        <v>60</v>
      </c>
      <c r="F42" s="42">
        <f>SUM(E42*155/1000)</f>
        <v>9.3000000000000007</v>
      </c>
      <c r="G42" s="42">
        <v>398.95</v>
      </c>
      <c r="H42" s="58">
        <f t="shared" si="4"/>
        <v>3.7102349999999999</v>
      </c>
      <c r="I42" s="10">
        <f t="shared" ref="I42:I45" si="5">F42/6*G42</f>
        <v>618.37249999999995</v>
      </c>
    </row>
    <row r="43" spans="1:9" ht="47.25" hidden="1" customHeight="1">
      <c r="A43" s="21">
        <v>9</v>
      </c>
      <c r="B43" s="40" t="s">
        <v>86</v>
      </c>
      <c r="C43" s="41" t="s">
        <v>91</v>
      </c>
      <c r="D43" s="40" t="s">
        <v>130</v>
      </c>
      <c r="E43" s="42">
        <v>40.9</v>
      </c>
      <c r="F43" s="42">
        <f>SUM(E43*35/1000)</f>
        <v>1.4315</v>
      </c>
      <c r="G43" s="42">
        <v>6600.74</v>
      </c>
      <c r="H43" s="58">
        <f t="shared" si="4"/>
        <v>9.4489593099999993</v>
      </c>
      <c r="I43" s="10">
        <f t="shared" si="5"/>
        <v>1574.8265516666668</v>
      </c>
    </row>
    <row r="44" spans="1:9" ht="15.75" hidden="1" customHeight="1">
      <c r="A44" s="21">
        <v>10</v>
      </c>
      <c r="B44" s="40" t="s">
        <v>92</v>
      </c>
      <c r="C44" s="41" t="s">
        <v>91</v>
      </c>
      <c r="D44" s="40" t="s">
        <v>71</v>
      </c>
      <c r="E44" s="42">
        <v>60</v>
      </c>
      <c r="F44" s="42">
        <f>SUM(E44*45/1000)</f>
        <v>2.7</v>
      </c>
      <c r="G44" s="42">
        <v>487.61</v>
      </c>
      <c r="H44" s="58">
        <f t="shared" si="4"/>
        <v>1.3165470000000001</v>
      </c>
      <c r="I44" s="10">
        <f t="shared" si="5"/>
        <v>219.42450000000002</v>
      </c>
    </row>
    <row r="45" spans="1:9" ht="15.75" hidden="1" customHeight="1">
      <c r="A45" s="21">
        <v>11</v>
      </c>
      <c r="B45" s="40" t="s">
        <v>72</v>
      </c>
      <c r="C45" s="41" t="s">
        <v>33</v>
      </c>
      <c r="D45" s="40"/>
      <c r="E45" s="57"/>
      <c r="F45" s="42">
        <v>0.9</v>
      </c>
      <c r="G45" s="42">
        <v>907.65</v>
      </c>
      <c r="H45" s="58">
        <f t="shared" si="4"/>
        <v>0.81688499999999997</v>
      </c>
      <c r="I45" s="10">
        <f t="shared" si="5"/>
        <v>136.14749999999998</v>
      </c>
    </row>
    <row r="46" spans="1:9" ht="15.75" customHeight="1">
      <c r="A46" s="130" t="s">
        <v>159</v>
      </c>
      <c r="B46" s="131"/>
      <c r="C46" s="131"/>
      <c r="D46" s="131"/>
      <c r="E46" s="131"/>
      <c r="F46" s="131"/>
      <c r="G46" s="131"/>
      <c r="H46" s="131"/>
      <c r="I46" s="132"/>
    </row>
    <row r="47" spans="1:9" ht="15.75" hidden="1" customHeight="1">
      <c r="A47" s="21"/>
      <c r="B47" s="40" t="s">
        <v>167</v>
      </c>
      <c r="C47" s="41" t="s">
        <v>91</v>
      </c>
      <c r="D47" s="40" t="s">
        <v>43</v>
      </c>
      <c r="E47" s="57">
        <v>1300.5</v>
      </c>
      <c r="F47" s="42">
        <f>SUM(E47/1000)*2</f>
        <v>2.601</v>
      </c>
      <c r="G47" s="10">
        <v>1173.18</v>
      </c>
      <c r="H47" s="58">
        <f t="shared" ref="H47:H57" si="6">SUM(F47*G47/1000)</f>
        <v>3.0514411800000003</v>
      </c>
      <c r="I47" s="10">
        <v>0</v>
      </c>
    </row>
    <row r="48" spans="1:9" ht="15.75" hidden="1" customHeight="1">
      <c r="A48" s="21"/>
      <c r="B48" s="40" t="s">
        <v>36</v>
      </c>
      <c r="C48" s="41" t="s">
        <v>91</v>
      </c>
      <c r="D48" s="40" t="s">
        <v>43</v>
      </c>
      <c r="E48" s="57">
        <v>52</v>
      </c>
      <c r="F48" s="42">
        <f>SUM(E48*2/1000)</f>
        <v>0.104</v>
      </c>
      <c r="G48" s="10">
        <v>659.09</v>
      </c>
      <c r="H48" s="58">
        <f t="shared" si="6"/>
        <v>6.854536E-2</v>
      </c>
      <c r="I48" s="10">
        <v>0</v>
      </c>
    </row>
    <row r="49" spans="1:9" ht="15.75" hidden="1" customHeight="1">
      <c r="A49" s="21"/>
      <c r="B49" s="40" t="s">
        <v>37</v>
      </c>
      <c r="C49" s="41" t="s">
        <v>91</v>
      </c>
      <c r="D49" s="40" t="s">
        <v>43</v>
      </c>
      <c r="E49" s="57">
        <v>1483.1</v>
      </c>
      <c r="F49" s="42">
        <f>SUM(E49*2/1000)</f>
        <v>2.9661999999999997</v>
      </c>
      <c r="G49" s="10">
        <v>1564.24</v>
      </c>
      <c r="H49" s="58">
        <f t="shared" si="6"/>
        <v>4.6398486879999998</v>
      </c>
      <c r="I49" s="10">
        <v>0</v>
      </c>
    </row>
    <row r="50" spans="1:9" ht="15.75" hidden="1" customHeight="1">
      <c r="A50" s="21"/>
      <c r="B50" s="40" t="s">
        <v>38</v>
      </c>
      <c r="C50" s="41" t="s">
        <v>91</v>
      </c>
      <c r="D50" s="40" t="s">
        <v>43</v>
      </c>
      <c r="E50" s="57">
        <v>2320</v>
      </c>
      <c r="F50" s="42">
        <f>SUM(E50*2/1000)</f>
        <v>4.6399999999999997</v>
      </c>
      <c r="G50" s="10">
        <v>1078.3599999999999</v>
      </c>
      <c r="H50" s="58">
        <f t="shared" si="6"/>
        <v>5.0035903999999993</v>
      </c>
      <c r="I50" s="10">
        <v>0</v>
      </c>
    </row>
    <row r="51" spans="1:9" ht="15.75" hidden="1" customHeight="1">
      <c r="A51" s="21"/>
      <c r="B51" s="40" t="s">
        <v>34</v>
      </c>
      <c r="C51" s="41" t="s">
        <v>35</v>
      </c>
      <c r="D51" s="40" t="s">
        <v>43</v>
      </c>
      <c r="E51" s="57">
        <v>91.84</v>
      </c>
      <c r="F51" s="42">
        <f>SUM(E51*2/100)</f>
        <v>1.8368</v>
      </c>
      <c r="G51" s="10">
        <v>82.82</v>
      </c>
      <c r="H51" s="58">
        <f t="shared" si="6"/>
        <v>0.15212377599999999</v>
      </c>
      <c r="I51" s="10">
        <v>0</v>
      </c>
    </row>
    <row r="52" spans="1:9" ht="15.75" hidden="1" customHeight="1">
      <c r="A52" s="21">
        <v>12</v>
      </c>
      <c r="B52" s="40" t="s">
        <v>57</v>
      </c>
      <c r="C52" s="41" t="s">
        <v>91</v>
      </c>
      <c r="D52" s="40" t="s">
        <v>171</v>
      </c>
      <c r="E52" s="57">
        <v>1040.4000000000001</v>
      </c>
      <c r="F52" s="42">
        <f>SUM(E52*5/1000)</f>
        <v>5.202</v>
      </c>
      <c r="G52" s="10">
        <v>1564.24</v>
      </c>
      <c r="H52" s="58">
        <f>SUM(F52*G52/1000)</f>
        <v>8.1371764800000008</v>
      </c>
      <c r="I52" s="10">
        <f>F52/5*G52</f>
        <v>1627.4352960000001</v>
      </c>
    </row>
    <row r="53" spans="1:9" ht="31.5" customHeight="1">
      <c r="A53" s="21">
        <v>10</v>
      </c>
      <c r="B53" s="40" t="s">
        <v>93</v>
      </c>
      <c r="C53" s="41" t="s">
        <v>91</v>
      </c>
      <c r="D53" s="40" t="s">
        <v>43</v>
      </c>
      <c r="E53" s="57">
        <v>1040.4000000000001</v>
      </c>
      <c r="F53" s="42">
        <f>SUM(E53*2/1000)</f>
        <v>2.0808</v>
      </c>
      <c r="G53" s="10">
        <v>1380.31</v>
      </c>
      <c r="H53" s="58">
        <f t="shared" si="6"/>
        <v>2.8721490479999998</v>
      </c>
      <c r="I53" s="10">
        <f>F53/2*G53</f>
        <v>1436.0745239999999</v>
      </c>
    </row>
    <row r="54" spans="1:9" ht="31.5" customHeight="1">
      <c r="A54" s="21">
        <v>11</v>
      </c>
      <c r="B54" s="40" t="s">
        <v>94</v>
      </c>
      <c r="C54" s="41" t="s">
        <v>39</v>
      </c>
      <c r="D54" s="40" t="s">
        <v>43</v>
      </c>
      <c r="E54" s="57">
        <v>20</v>
      </c>
      <c r="F54" s="42">
        <f>SUM(E54*2/100)</f>
        <v>0.4</v>
      </c>
      <c r="G54" s="10">
        <v>3519.56</v>
      </c>
      <c r="H54" s="58">
        <f t="shared" si="6"/>
        <v>1.407824</v>
      </c>
      <c r="I54" s="10">
        <f t="shared" ref="I54:I55" si="7">F54/2*G54</f>
        <v>703.91200000000003</v>
      </c>
    </row>
    <row r="55" spans="1:9" ht="15.75" customHeight="1">
      <c r="A55" s="21">
        <v>12</v>
      </c>
      <c r="B55" s="40" t="s">
        <v>40</v>
      </c>
      <c r="C55" s="41" t="s">
        <v>41</v>
      </c>
      <c r="D55" s="40" t="s">
        <v>43</v>
      </c>
      <c r="E55" s="57">
        <v>1</v>
      </c>
      <c r="F55" s="42">
        <v>0.02</v>
      </c>
      <c r="G55" s="10">
        <v>6428.82</v>
      </c>
      <c r="H55" s="58">
        <f t="shared" si="6"/>
        <v>0.12857640000000001</v>
      </c>
      <c r="I55" s="10">
        <f t="shared" si="7"/>
        <v>64.288200000000003</v>
      </c>
    </row>
    <row r="56" spans="1:9" ht="15.75" hidden="1" customHeight="1">
      <c r="A56" s="21">
        <v>13</v>
      </c>
      <c r="B56" s="40" t="s">
        <v>103</v>
      </c>
      <c r="C56" s="41" t="s">
        <v>98</v>
      </c>
      <c r="D56" s="40" t="s">
        <v>73</v>
      </c>
      <c r="E56" s="57">
        <v>56</v>
      </c>
      <c r="F56" s="42">
        <f>SUM(E56*3)</f>
        <v>168</v>
      </c>
      <c r="G56" s="10">
        <v>160.51</v>
      </c>
      <c r="H56" s="58">
        <f t="shared" si="6"/>
        <v>26.965679999999999</v>
      </c>
      <c r="I56" s="10">
        <f>E56*G56</f>
        <v>8988.56</v>
      </c>
    </row>
    <row r="57" spans="1:9" ht="15.75" hidden="1" customHeight="1">
      <c r="A57" s="21">
        <v>14</v>
      </c>
      <c r="B57" s="40" t="s">
        <v>42</v>
      </c>
      <c r="C57" s="41" t="s">
        <v>98</v>
      </c>
      <c r="D57" s="40" t="s">
        <v>73</v>
      </c>
      <c r="E57" s="57">
        <v>112</v>
      </c>
      <c r="F57" s="42">
        <f>SUM(E57)*3</f>
        <v>336</v>
      </c>
      <c r="G57" s="10">
        <v>74.709999999999994</v>
      </c>
      <c r="H57" s="58">
        <f t="shared" si="6"/>
        <v>25.102559999999997</v>
      </c>
      <c r="I57" s="10">
        <f>E57*G57</f>
        <v>8367.5199999999986</v>
      </c>
    </row>
    <row r="58" spans="1:9" ht="15.75" customHeight="1">
      <c r="A58" s="130" t="s">
        <v>160</v>
      </c>
      <c r="B58" s="131"/>
      <c r="C58" s="131"/>
      <c r="D58" s="131"/>
      <c r="E58" s="131"/>
      <c r="F58" s="131"/>
      <c r="G58" s="131"/>
      <c r="H58" s="131"/>
      <c r="I58" s="132"/>
    </row>
    <row r="59" spans="1:9" ht="15.75" hidden="1" customHeight="1">
      <c r="A59" s="21"/>
      <c r="B59" s="78" t="s">
        <v>44</v>
      </c>
      <c r="C59" s="41"/>
      <c r="D59" s="40"/>
      <c r="E59" s="57"/>
      <c r="F59" s="42"/>
      <c r="G59" s="42"/>
      <c r="H59" s="58"/>
      <c r="I59" s="62"/>
    </row>
    <row r="60" spans="1:9" ht="31.5" hidden="1" customHeight="1">
      <c r="A60" s="21">
        <v>15</v>
      </c>
      <c r="B60" s="40" t="s">
        <v>106</v>
      </c>
      <c r="C60" s="41" t="s">
        <v>89</v>
      </c>
      <c r="D60" s="40" t="s">
        <v>168</v>
      </c>
      <c r="E60" s="57">
        <v>142.05000000000001</v>
      </c>
      <c r="F60" s="42">
        <f>SUM(E60*6/100)</f>
        <v>8.5230000000000015</v>
      </c>
      <c r="G60" s="10">
        <v>2108.4299999999998</v>
      </c>
      <c r="H60" s="58">
        <f>SUM(F60*G60/1000)</f>
        <v>17.970148890000001</v>
      </c>
      <c r="I60" s="10">
        <f>F60/6*G60</f>
        <v>2995.0248150000002</v>
      </c>
    </row>
    <row r="61" spans="1:9" ht="15.75" customHeight="1">
      <c r="A61" s="21"/>
      <c r="B61" s="78" t="s">
        <v>45</v>
      </c>
      <c r="C61" s="41"/>
      <c r="D61" s="40"/>
      <c r="E61" s="57"/>
      <c r="F61" s="58"/>
      <c r="G61" s="10"/>
      <c r="H61" s="65"/>
      <c r="I61" s="62"/>
    </row>
    <row r="62" spans="1:9" ht="15.75" hidden="1" customHeight="1">
      <c r="A62" s="21"/>
      <c r="B62" s="40" t="s">
        <v>169</v>
      </c>
      <c r="C62" s="41" t="s">
        <v>89</v>
      </c>
      <c r="D62" s="40" t="s">
        <v>54</v>
      </c>
      <c r="E62" s="57">
        <v>1040.4000000000001</v>
      </c>
      <c r="F62" s="58">
        <f>E62/100</f>
        <v>10.404000000000002</v>
      </c>
      <c r="G62" s="10">
        <v>902.66</v>
      </c>
      <c r="H62" s="65">
        <f>G62*F62/1000</f>
        <v>9.3912746400000007</v>
      </c>
      <c r="I62" s="10">
        <v>0</v>
      </c>
    </row>
    <row r="63" spans="1:9" ht="15.75" customHeight="1">
      <c r="A63" s="21">
        <v>13</v>
      </c>
      <c r="B63" s="40" t="s">
        <v>131</v>
      </c>
      <c r="C63" s="41" t="s">
        <v>25</v>
      </c>
      <c r="D63" s="40" t="s">
        <v>132</v>
      </c>
      <c r="E63" s="57">
        <v>240</v>
      </c>
      <c r="F63" s="42">
        <v>2880</v>
      </c>
      <c r="G63" s="52">
        <v>1.2</v>
      </c>
      <c r="H63" s="58">
        <f>F63*G63/1000</f>
        <v>3.456</v>
      </c>
      <c r="I63" s="10">
        <f>F63/12*G63</f>
        <v>288</v>
      </c>
    </row>
    <row r="64" spans="1:9" ht="15.75" customHeight="1">
      <c r="A64" s="21"/>
      <c r="B64" s="79" t="s">
        <v>46</v>
      </c>
      <c r="C64" s="66"/>
      <c r="D64" s="67"/>
      <c r="E64" s="68"/>
      <c r="F64" s="69"/>
      <c r="G64" s="69"/>
      <c r="H64" s="70" t="s">
        <v>166</v>
      </c>
      <c r="I64" s="62"/>
    </row>
    <row r="65" spans="1:9" ht="15.75" customHeight="1">
      <c r="A65" s="21">
        <v>14</v>
      </c>
      <c r="B65" s="11" t="s">
        <v>47</v>
      </c>
      <c r="C65" s="13" t="s">
        <v>41</v>
      </c>
      <c r="D65" s="40" t="s">
        <v>68</v>
      </c>
      <c r="E65" s="15">
        <v>15</v>
      </c>
      <c r="F65" s="42">
        <f>15/100</f>
        <v>0.15</v>
      </c>
      <c r="G65" s="10">
        <v>252.96</v>
      </c>
      <c r="H65" s="71">
        <f t="shared" ref="H65:H81" si="8">SUM(F65*G65/1000)</f>
        <v>3.7944000000000006E-2</v>
      </c>
      <c r="I65" s="10">
        <f>G65*1</f>
        <v>252.96</v>
      </c>
    </row>
    <row r="66" spans="1:9" ht="15.75" hidden="1" customHeight="1">
      <c r="A66" s="21"/>
      <c r="B66" s="11" t="s">
        <v>48</v>
      </c>
      <c r="C66" s="13" t="s">
        <v>41</v>
      </c>
      <c r="D66" s="40" t="s">
        <v>68</v>
      </c>
      <c r="E66" s="15">
        <v>10</v>
      </c>
      <c r="F66" s="42">
        <f>10/100</f>
        <v>0.1</v>
      </c>
      <c r="G66" s="10">
        <v>86.74</v>
      </c>
      <c r="H66" s="71">
        <f t="shared" si="8"/>
        <v>8.6739999999999994E-3</v>
      </c>
      <c r="I66" s="10">
        <v>0</v>
      </c>
    </row>
    <row r="67" spans="1:9" ht="15.75" hidden="1" customHeight="1">
      <c r="A67" s="21"/>
      <c r="B67" s="11" t="s">
        <v>49</v>
      </c>
      <c r="C67" s="13" t="s">
        <v>99</v>
      </c>
      <c r="D67" s="11" t="s">
        <v>54</v>
      </c>
      <c r="E67" s="57">
        <v>17532</v>
      </c>
      <c r="F67" s="10">
        <f>SUM(E67/100)</f>
        <v>175.32</v>
      </c>
      <c r="G67" s="10">
        <v>241.31</v>
      </c>
      <c r="H67" s="71">
        <f t="shared" si="8"/>
        <v>42.306469200000002</v>
      </c>
      <c r="I67" s="10">
        <f>F67*G67</f>
        <v>42306.4692</v>
      </c>
    </row>
    <row r="68" spans="1:9" ht="15.75" hidden="1" customHeight="1">
      <c r="A68" s="21"/>
      <c r="B68" s="11" t="s">
        <v>50</v>
      </c>
      <c r="C68" s="13" t="s">
        <v>100</v>
      </c>
      <c r="D68" s="11"/>
      <c r="E68" s="57">
        <v>17532</v>
      </c>
      <c r="F68" s="10">
        <f>SUM(E68/1000)</f>
        <v>17.532</v>
      </c>
      <c r="G68" s="10">
        <v>187.91</v>
      </c>
      <c r="H68" s="71">
        <f t="shared" si="8"/>
        <v>3.2944381199999997</v>
      </c>
      <c r="I68" s="10">
        <f>F68*G68</f>
        <v>3294.4381199999998</v>
      </c>
    </row>
    <row r="69" spans="1:9" ht="15.75" hidden="1" customHeight="1">
      <c r="A69" s="21"/>
      <c r="B69" s="11" t="s">
        <v>51</v>
      </c>
      <c r="C69" s="13" t="s">
        <v>80</v>
      </c>
      <c r="D69" s="11" t="s">
        <v>54</v>
      </c>
      <c r="E69" s="57">
        <v>1365</v>
      </c>
      <c r="F69" s="10">
        <f>SUM(E69/100)</f>
        <v>13.65</v>
      </c>
      <c r="G69" s="10">
        <v>2359.7199999999998</v>
      </c>
      <c r="H69" s="71">
        <f t="shared" si="8"/>
        <v>32.210177999999999</v>
      </c>
      <c r="I69" s="10">
        <f t="shared" ref="I69:I72" si="9">F69*G69</f>
        <v>32210.178</v>
      </c>
    </row>
    <row r="70" spans="1:9" ht="15.75" hidden="1" customHeight="1">
      <c r="A70" s="21"/>
      <c r="B70" s="72" t="s">
        <v>74</v>
      </c>
      <c r="C70" s="13" t="s">
        <v>33</v>
      </c>
      <c r="D70" s="11"/>
      <c r="E70" s="57">
        <v>15.6</v>
      </c>
      <c r="F70" s="10">
        <f>SUM(E70)</f>
        <v>15.6</v>
      </c>
      <c r="G70" s="10">
        <v>45.4</v>
      </c>
      <c r="H70" s="71">
        <f t="shared" si="8"/>
        <v>0.70823999999999998</v>
      </c>
      <c r="I70" s="10">
        <f t="shared" si="9"/>
        <v>708.24</v>
      </c>
    </row>
    <row r="71" spans="1:9" ht="15.75" hidden="1" customHeight="1">
      <c r="A71" s="21"/>
      <c r="B71" s="72" t="s">
        <v>172</v>
      </c>
      <c r="C71" s="13" t="s">
        <v>33</v>
      </c>
      <c r="D71" s="11"/>
      <c r="E71" s="57">
        <v>15.6</v>
      </c>
      <c r="F71" s="10">
        <f>SUM(E71)</f>
        <v>15.6</v>
      </c>
      <c r="G71" s="10">
        <v>42.35</v>
      </c>
      <c r="H71" s="71">
        <f t="shared" si="8"/>
        <v>0.66065999999999991</v>
      </c>
      <c r="I71" s="10">
        <f t="shared" si="9"/>
        <v>660.66</v>
      </c>
    </row>
    <row r="72" spans="1:9" ht="15.75" hidden="1" customHeight="1">
      <c r="A72" s="21"/>
      <c r="B72" s="11" t="s">
        <v>58</v>
      </c>
      <c r="C72" s="13" t="s">
        <v>59</v>
      </c>
      <c r="D72" s="11" t="s">
        <v>54</v>
      </c>
      <c r="E72" s="15">
        <v>4</v>
      </c>
      <c r="F72" s="42">
        <f>SUM(E72)</f>
        <v>4</v>
      </c>
      <c r="G72" s="10">
        <v>56.74</v>
      </c>
      <c r="H72" s="71">
        <f t="shared" si="8"/>
        <v>0.22696</v>
      </c>
      <c r="I72" s="10">
        <f t="shared" si="9"/>
        <v>226.96</v>
      </c>
    </row>
    <row r="73" spans="1:9" ht="15.75" customHeight="1">
      <c r="A73" s="21">
        <v>15</v>
      </c>
      <c r="B73" s="11" t="s">
        <v>133</v>
      </c>
      <c r="C73" s="13" t="s">
        <v>59</v>
      </c>
      <c r="D73" s="11" t="s">
        <v>30</v>
      </c>
      <c r="E73" s="15">
        <v>1</v>
      </c>
      <c r="F73" s="52">
        <v>12</v>
      </c>
      <c r="G73" s="10">
        <v>756.5</v>
      </c>
      <c r="H73" s="71">
        <f t="shared" si="8"/>
        <v>9.0779999999999994</v>
      </c>
      <c r="I73" s="10">
        <f>G73</f>
        <v>756.5</v>
      </c>
    </row>
    <row r="74" spans="1:9" ht="18" customHeight="1">
      <c r="A74" s="21"/>
      <c r="B74" s="45" t="s">
        <v>75</v>
      </c>
      <c r="C74" s="13"/>
      <c r="D74" s="11"/>
      <c r="E74" s="15"/>
      <c r="F74" s="10"/>
      <c r="G74" s="10"/>
      <c r="H74" s="71" t="s">
        <v>166</v>
      </c>
      <c r="I74" s="62"/>
    </row>
    <row r="75" spans="1:9" ht="16.5" hidden="1" customHeight="1">
      <c r="A75" s="21"/>
      <c r="B75" s="11" t="s">
        <v>134</v>
      </c>
      <c r="C75" s="13" t="s">
        <v>31</v>
      </c>
      <c r="D75" s="40" t="s">
        <v>68</v>
      </c>
      <c r="E75" s="15">
        <v>2</v>
      </c>
      <c r="F75" s="10">
        <v>2</v>
      </c>
      <c r="G75" s="10">
        <v>892.5</v>
      </c>
      <c r="H75" s="71">
        <f>G75*F75/1000</f>
        <v>1.7849999999999999</v>
      </c>
      <c r="I75" s="10">
        <v>0</v>
      </c>
    </row>
    <row r="76" spans="1:9" ht="16.5" hidden="1" customHeight="1">
      <c r="A76" s="21"/>
      <c r="B76" s="11" t="s">
        <v>119</v>
      </c>
      <c r="C76" s="13" t="s">
        <v>135</v>
      </c>
      <c r="D76" s="11"/>
      <c r="E76" s="15">
        <v>1</v>
      </c>
      <c r="F76" s="10">
        <v>1</v>
      </c>
      <c r="G76" s="10">
        <v>750</v>
      </c>
      <c r="H76" s="71">
        <f>G76*F76/1000</f>
        <v>0.75</v>
      </c>
      <c r="I76" s="10">
        <v>0</v>
      </c>
    </row>
    <row r="77" spans="1:9" ht="15" customHeight="1">
      <c r="A77" s="21">
        <v>16</v>
      </c>
      <c r="B77" s="11" t="s">
        <v>76</v>
      </c>
      <c r="C77" s="13" t="s">
        <v>78</v>
      </c>
      <c r="D77" s="11"/>
      <c r="E77" s="15">
        <v>2</v>
      </c>
      <c r="F77" s="10">
        <v>0.2</v>
      </c>
      <c r="G77" s="10">
        <v>570.54</v>
      </c>
      <c r="H77" s="71">
        <f t="shared" si="8"/>
        <v>0.114108</v>
      </c>
      <c r="I77" s="10">
        <f>G77*0.2</f>
        <v>114.108</v>
      </c>
    </row>
    <row r="78" spans="1:9" ht="14.25" hidden="1" customHeight="1">
      <c r="A78" s="21"/>
      <c r="B78" s="11" t="s">
        <v>77</v>
      </c>
      <c r="C78" s="13" t="s">
        <v>31</v>
      </c>
      <c r="D78" s="11"/>
      <c r="E78" s="15">
        <v>1</v>
      </c>
      <c r="F78" s="52">
        <v>1</v>
      </c>
      <c r="G78" s="10">
        <v>970.21</v>
      </c>
      <c r="H78" s="71">
        <f t="shared" si="8"/>
        <v>0.97021000000000002</v>
      </c>
      <c r="I78" s="10">
        <v>0</v>
      </c>
    </row>
    <row r="79" spans="1:9" ht="18" hidden="1" customHeight="1">
      <c r="A79" s="21">
        <v>16</v>
      </c>
      <c r="B79" s="11" t="s">
        <v>136</v>
      </c>
      <c r="C79" s="13" t="s">
        <v>98</v>
      </c>
      <c r="D79" s="11"/>
      <c r="E79" s="15">
        <v>1</v>
      </c>
      <c r="F79" s="42">
        <f>SUM(E79)</f>
        <v>1</v>
      </c>
      <c r="G79" s="10">
        <v>407.79</v>
      </c>
      <c r="H79" s="71">
        <f t="shared" si="8"/>
        <v>0.40779000000000004</v>
      </c>
      <c r="I79" s="10">
        <f>G79</f>
        <v>407.79</v>
      </c>
    </row>
    <row r="80" spans="1:9" ht="15" hidden="1" customHeight="1">
      <c r="A80" s="21"/>
      <c r="B80" s="76" t="s">
        <v>79</v>
      </c>
      <c r="C80" s="13"/>
      <c r="D80" s="11"/>
      <c r="E80" s="15"/>
      <c r="F80" s="10"/>
      <c r="G80" s="10" t="s">
        <v>166</v>
      </c>
      <c r="H80" s="71" t="s">
        <v>166</v>
      </c>
      <c r="I80" s="62"/>
    </row>
    <row r="81" spans="1:9" ht="15.75" hidden="1" customHeight="1">
      <c r="A81" s="21"/>
      <c r="B81" s="34" t="s">
        <v>104</v>
      </c>
      <c r="C81" s="13" t="s">
        <v>80</v>
      </c>
      <c r="D81" s="11"/>
      <c r="E81" s="15"/>
      <c r="F81" s="10">
        <v>0.6</v>
      </c>
      <c r="G81" s="10">
        <v>3138.65</v>
      </c>
      <c r="H81" s="71">
        <f t="shared" si="8"/>
        <v>1.8831900000000001</v>
      </c>
      <c r="I81" s="10">
        <v>0</v>
      </c>
    </row>
    <row r="82" spans="1:9" ht="17.25" hidden="1" customHeight="1">
      <c r="A82" s="21"/>
      <c r="B82" s="45" t="s">
        <v>95</v>
      </c>
      <c r="C82" s="13"/>
      <c r="D82" s="11"/>
      <c r="E82" s="53"/>
      <c r="F82" s="10"/>
      <c r="G82" s="10"/>
      <c r="H82" s="71"/>
      <c r="I82" s="10"/>
    </row>
    <row r="83" spans="1:9" ht="19.5" hidden="1" customHeight="1">
      <c r="A83" s="21"/>
      <c r="B83" s="40" t="s">
        <v>101</v>
      </c>
      <c r="C83" s="13"/>
      <c r="D83" s="11"/>
      <c r="E83" s="53"/>
      <c r="F83" s="10">
        <v>1</v>
      </c>
      <c r="G83" s="10">
        <v>21095</v>
      </c>
      <c r="H83" s="71">
        <f>G83*F83/1000</f>
        <v>21.094999999999999</v>
      </c>
      <c r="I83" s="10">
        <v>0</v>
      </c>
    </row>
    <row r="84" spans="1:9" ht="15.75" customHeight="1">
      <c r="A84" s="21"/>
      <c r="B84" s="80" t="s">
        <v>107</v>
      </c>
      <c r="C84" s="76"/>
      <c r="D84" s="23"/>
      <c r="E84" s="24"/>
      <c r="F84" s="75"/>
      <c r="G84" s="75"/>
      <c r="H84" s="73"/>
      <c r="I84" s="61"/>
    </row>
    <row r="85" spans="1:9" ht="31.5" hidden="1" customHeight="1">
      <c r="A85" s="21"/>
      <c r="B85" s="77" t="s">
        <v>137</v>
      </c>
      <c r="C85" s="13" t="s">
        <v>138</v>
      </c>
      <c r="D85" s="40" t="s">
        <v>68</v>
      </c>
      <c r="E85" s="15">
        <v>10</v>
      </c>
      <c r="F85" s="10">
        <v>10</v>
      </c>
      <c r="G85" s="10">
        <v>271.88</v>
      </c>
      <c r="H85" s="71">
        <f t="shared" ref="H85:H98" si="10">F85*G85/1000</f>
        <v>2.7188000000000003</v>
      </c>
      <c r="I85" s="10">
        <v>0</v>
      </c>
    </row>
    <row r="86" spans="1:9" ht="18.75" customHeight="1">
      <c r="A86" s="21">
        <v>17</v>
      </c>
      <c r="B86" s="77" t="s">
        <v>108</v>
      </c>
      <c r="C86" s="13" t="s">
        <v>84</v>
      </c>
      <c r="D86" s="40" t="s">
        <v>68</v>
      </c>
      <c r="E86" s="15">
        <v>100</v>
      </c>
      <c r="F86" s="10">
        <v>100</v>
      </c>
      <c r="G86" s="10">
        <v>111.84</v>
      </c>
      <c r="H86" s="71">
        <f t="shared" si="10"/>
        <v>11.183999999999999</v>
      </c>
      <c r="I86" s="10">
        <f>G86*15</f>
        <v>1677.6000000000001</v>
      </c>
    </row>
    <row r="87" spans="1:9" ht="15.75" hidden="1" customHeight="1">
      <c r="A87" s="21">
        <v>16</v>
      </c>
      <c r="B87" s="77" t="s">
        <v>139</v>
      </c>
      <c r="C87" s="13" t="s">
        <v>140</v>
      </c>
      <c r="D87" s="40" t="s">
        <v>68</v>
      </c>
      <c r="E87" s="15">
        <v>30</v>
      </c>
      <c r="F87" s="10">
        <v>10</v>
      </c>
      <c r="G87" s="10">
        <v>972.09</v>
      </c>
      <c r="H87" s="71">
        <f t="shared" si="10"/>
        <v>9.7209000000000003</v>
      </c>
      <c r="I87" s="10">
        <f>G87*(15/3)</f>
        <v>4860.45</v>
      </c>
    </row>
    <row r="88" spans="1:9" ht="15.75" hidden="1" customHeight="1">
      <c r="A88" s="21"/>
      <c r="B88" s="77" t="s">
        <v>141</v>
      </c>
      <c r="C88" s="13" t="s">
        <v>53</v>
      </c>
      <c r="D88" s="40" t="s">
        <v>68</v>
      </c>
      <c r="E88" s="15">
        <v>100</v>
      </c>
      <c r="F88" s="10">
        <v>1</v>
      </c>
      <c r="G88" s="10">
        <v>1829.52</v>
      </c>
      <c r="H88" s="71">
        <f t="shared" si="10"/>
        <v>1.82952</v>
      </c>
      <c r="I88" s="10">
        <v>0</v>
      </c>
    </row>
    <row r="89" spans="1:9" ht="29.25" customHeight="1">
      <c r="A89" s="21">
        <v>18</v>
      </c>
      <c r="B89" s="77" t="s">
        <v>142</v>
      </c>
      <c r="C89" s="13" t="s">
        <v>143</v>
      </c>
      <c r="D89" s="40" t="s">
        <v>68</v>
      </c>
      <c r="E89" s="15">
        <v>40</v>
      </c>
      <c r="F89" s="10">
        <v>4</v>
      </c>
      <c r="G89" s="10">
        <v>272.39</v>
      </c>
      <c r="H89" s="71">
        <f t="shared" si="10"/>
        <v>1.0895599999999999</v>
      </c>
      <c r="I89" s="10">
        <f>G89*0.2</f>
        <v>54.478000000000002</v>
      </c>
    </row>
    <row r="90" spans="1:9" ht="24.75" hidden="1" customHeight="1">
      <c r="A90" s="21"/>
      <c r="B90" s="77" t="s">
        <v>144</v>
      </c>
      <c r="C90" s="13" t="s">
        <v>84</v>
      </c>
      <c r="D90" s="40" t="s">
        <v>68</v>
      </c>
      <c r="E90" s="15">
        <v>15</v>
      </c>
      <c r="F90" s="10">
        <v>15</v>
      </c>
      <c r="G90" s="10">
        <v>1430.02</v>
      </c>
      <c r="H90" s="71">
        <f t="shared" si="10"/>
        <v>21.450299999999999</v>
      </c>
      <c r="I90" s="10">
        <v>0</v>
      </c>
    </row>
    <row r="91" spans="1:9" ht="26.25" hidden="1" customHeight="1">
      <c r="A91" s="21"/>
      <c r="B91" s="77" t="s">
        <v>145</v>
      </c>
      <c r="C91" s="13" t="s">
        <v>84</v>
      </c>
      <c r="D91" s="40" t="s">
        <v>68</v>
      </c>
      <c r="E91" s="15">
        <v>10</v>
      </c>
      <c r="F91" s="10">
        <v>10</v>
      </c>
      <c r="G91" s="10">
        <v>1743.04</v>
      </c>
      <c r="H91" s="71">
        <f t="shared" si="10"/>
        <v>17.430400000000002</v>
      </c>
      <c r="I91" s="10">
        <v>0</v>
      </c>
    </row>
    <row r="92" spans="1:9" ht="30.75" hidden="1" customHeight="1">
      <c r="A92" s="21"/>
      <c r="B92" s="77" t="s">
        <v>146</v>
      </c>
      <c r="C92" s="13" t="s">
        <v>84</v>
      </c>
      <c r="D92" s="40" t="s">
        <v>68</v>
      </c>
      <c r="E92" s="15">
        <v>20</v>
      </c>
      <c r="F92" s="10">
        <v>20</v>
      </c>
      <c r="G92" s="10">
        <v>607.27</v>
      </c>
      <c r="H92" s="71">
        <f t="shared" si="10"/>
        <v>12.1454</v>
      </c>
      <c r="I92" s="10">
        <v>0</v>
      </c>
    </row>
    <row r="93" spans="1:9" ht="23.25" hidden="1" customHeight="1">
      <c r="A93" s="21"/>
      <c r="B93" s="77" t="s">
        <v>147</v>
      </c>
      <c r="C93" s="13" t="s">
        <v>84</v>
      </c>
      <c r="D93" s="40" t="s">
        <v>68</v>
      </c>
      <c r="E93" s="15">
        <v>30</v>
      </c>
      <c r="F93" s="10">
        <v>30</v>
      </c>
      <c r="G93" s="10">
        <v>711.93</v>
      </c>
      <c r="H93" s="71">
        <f t="shared" si="10"/>
        <v>21.357899999999997</v>
      </c>
      <c r="I93" s="10">
        <v>0</v>
      </c>
    </row>
    <row r="94" spans="1:9" ht="27" hidden="1" customHeight="1">
      <c r="A94" s="21"/>
      <c r="B94" s="77" t="s">
        <v>109</v>
      </c>
      <c r="C94" s="13" t="s">
        <v>31</v>
      </c>
      <c r="D94" s="40" t="s">
        <v>68</v>
      </c>
      <c r="E94" s="15">
        <v>10</v>
      </c>
      <c r="F94" s="10">
        <v>10</v>
      </c>
      <c r="G94" s="10">
        <v>455.31</v>
      </c>
      <c r="H94" s="71">
        <f t="shared" si="10"/>
        <v>4.5531000000000006</v>
      </c>
      <c r="I94" s="10">
        <v>0</v>
      </c>
    </row>
    <row r="95" spans="1:9" ht="25.5" hidden="1" customHeight="1">
      <c r="A95" s="21"/>
      <c r="B95" s="77" t="s">
        <v>148</v>
      </c>
      <c r="C95" s="13" t="s">
        <v>84</v>
      </c>
      <c r="D95" s="40" t="s">
        <v>68</v>
      </c>
      <c r="E95" s="15">
        <v>30</v>
      </c>
      <c r="F95" s="10">
        <v>30</v>
      </c>
      <c r="G95" s="10">
        <v>1155.7</v>
      </c>
      <c r="H95" s="71">
        <f t="shared" si="10"/>
        <v>34.670999999999999</v>
      </c>
      <c r="I95" s="10">
        <v>0</v>
      </c>
    </row>
    <row r="96" spans="1:9" ht="31.5" customHeight="1">
      <c r="A96" s="21">
        <v>19</v>
      </c>
      <c r="B96" s="77" t="s">
        <v>149</v>
      </c>
      <c r="C96" s="13" t="s">
        <v>29</v>
      </c>
      <c r="D96" s="11" t="s">
        <v>43</v>
      </c>
      <c r="E96" s="15">
        <v>1040.4000000000001</v>
      </c>
      <c r="F96" s="10">
        <f>E96*2/1000</f>
        <v>2.0808</v>
      </c>
      <c r="G96" s="10">
        <v>1560.98</v>
      </c>
      <c r="H96" s="71">
        <f t="shared" si="10"/>
        <v>3.2480871840000001</v>
      </c>
      <c r="I96" s="10">
        <f>G96*F96/2</f>
        <v>1624.043592</v>
      </c>
    </row>
    <row r="97" spans="1:9" ht="18.75" hidden="1" customHeight="1">
      <c r="A97" s="21"/>
      <c r="B97" s="77" t="s">
        <v>150</v>
      </c>
      <c r="C97" s="21" t="s">
        <v>152</v>
      </c>
      <c r="D97" s="40" t="s">
        <v>68</v>
      </c>
      <c r="E97" s="15">
        <v>100</v>
      </c>
      <c r="F97" s="10">
        <v>1</v>
      </c>
      <c r="G97" s="10">
        <v>12859.93</v>
      </c>
      <c r="H97" s="71">
        <f t="shared" si="10"/>
        <v>12.85993</v>
      </c>
      <c r="I97" s="10">
        <v>0</v>
      </c>
    </row>
    <row r="98" spans="1:9" ht="18.75" hidden="1" customHeight="1">
      <c r="A98" s="21"/>
      <c r="B98" s="77" t="s">
        <v>151</v>
      </c>
      <c r="C98" s="13" t="s">
        <v>29</v>
      </c>
      <c r="D98" s="11" t="s">
        <v>43</v>
      </c>
      <c r="E98" s="15">
        <v>1040.4000000000001</v>
      </c>
      <c r="F98" s="10">
        <v>2.08</v>
      </c>
      <c r="G98" s="10">
        <v>1453.29</v>
      </c>
      <c r="H98" s="71">
        <f t="shared" si="10"/>
        <v>3.0228432000000001</v>
      </c>
      <c r="I98" s="10">
        <v>0</v>
      </c>
    </row>
    <row r="99" spans="1:9" ht="15.75" customHeight="1">
      <c r="A99" s="133" t="s">
        <v>161</v>
      </c>
      <c r="B99" s="134"/>
      <c r="C99" s="134"/>
      <c r="D99" s="134"/>
      <c r="E99" s="134"/>
      <c r="F99" s="134"/>
      <c r="G99" s="134"/>
      <c r="H99" s="134"/>
      <c r="I99" s="135"/>
    </row>
    <row r="100" spans="1:9" ht="15.75" customHeight="1">
      <c r="A100" s="21">
        <v>20</v>
      </c>
      <c r="B100" s="77" t="s">
        <v>102</v>
      </c>
      <c r="C100" s="13" t="s">
        <v>55</v>
      </c>
      <c r="D100" s="51" t="s">
        <v>56</v>
      </c>
      <c r="E100" s="10">
        <v>3455.3</v>
      </c>
      <c r="F100" s="10">
        <v>41463.599999999999</v>
      </c>
      <c r="G100" s="10">
        <v>2.7</v>
      </c>
      <c r="H100" s="71">
        <f>SUM(F100*G100/1000)</f>
        <v>111.95171999999999</v>
      </c>
      <c r="I100" s="10">
        <f>F100/12*G100</f>
        <v>9329.31</v>
      </c>
    </row>
    <row r="101" spans="1:9" ht="31.5" customHeight="1">
      <c r="A101" s="21">
        <v>21</v>
      </c>
      <c r="B101" s="11" t="s">
        <v>81</v>
      </c>
      <c r="C101" s="13"/>
      <c r="D101" s="51" t="s">
        <v>56</v>
      </c>
      <c r="E101" s="57">
        <f>E100</f>
        <v>3455.3</v>
      </c>
      <c r="F101" s="10">
        <f>E101*12</f>
        <v>41463.600000000006</v>
      </c>
      <c r="G101" s="10">
        <v>3.05</v>
      </c>
      <c r="H101" s="71">
        <f>F101*G101/1000</f>
        <v>126.46398000000001</v>
      </c>
      <c r="I101" s="10">
        <f>F101/12*G101</f>
        <v>10538.665000000001</v>
      </c>
    </row>
    <row r="102" spans="1:9" ht="15.75" customHeight="1">
      <c r="A102" s="21"/>
      <c r="B102" s="27" t="s">
        <v>83</v>
      </c>
      <c r="C102" s="76"/>
      <c r="D102" s="74"/>
      <c r="E102" s="75"/>
      <c r="F102" s="75"/>
      <c r="G102" s="75"/>
      <c r="H102" s="73">
        <f>SUM(H101)</f>
        <v>126.46398000000001</v>
      </c>
      <c r="I102" s="75">
        <f>I101+I100+I96+I89+I86+I77+I73+I65+I63+I55+I54+I53+I35+I34+I32+I31+I28+I27+I18+I17+I16</f>
        <v>55563.816607111105</v>
      </c>
    </row>
    <row r="103" spans="1:9" ht="15.75" customHeight="1">
      <c r="A103" s="140" t="s">
        <v>61</v>
      </c>
      <c r="B103" s="141"/>
      <c r="C103" s="141"/>
      <c r="D103" s="141"/>
      <c r="E103" s="141"/>
      <c r="F103" s="141"/>
      <c r="G103" s="141"/>
      <c r="H103" s="141"/>
      <c r="I103" s="142"/>
    </row>
    <row r="104" spans="1:9" ht="15.75" customHeight="1">
      <c r="A104" s="21">
        <v>22</v>
      </c>
      <c r="B104" s="39" t="s">
        <v>245</v>
      </c>
      <c r="C104" s="88" t="s">
        <v>186</v>
      </c>
      <c r="D104" s="34"/>
      <c r="E104" s="10"/>
      <c r="F104" s="10">
        <v>8</v>
      </c>
      <c r="G104" s="111">
        <v>458.43</v>
      </c>
      <c r="H104" s="71">
        <f>G104*F104/1000</f>
        <v>3.66744</v>
      </c>
      <c r="I104" s="10">
        <f>G104*1</f>
        <v>458.43</v>
      </c>
    </row>
    <row r="105" spans="1:9" ht="33" customHeight="1">
      <c r="A105" s="21">
        <v>23</v>
      </c>
      <c r="B105" s="39" t="s">
        <v>246</v>
      </c>
      <c r="C105" s="88" t="s">
        <v>186</v>
      </c>
      <c r="D105" s="34"/>
      <c r="E105" s="10"/>
      <c r="F105" s="10">
        <v>6</v>
      </c>
      <c r="G105" s="111">
        <v>613.44000000000005</v>
      </c>
      <c r="H105" s="71">
        <f t="shared" ref="H105" si="11">G105*F105/1000</f>
        <v>3.6806400000000004</v>
      </c>
      <c r="I105" s="10">
        <f>G105*2</f>
        <v>1226.8800000000001</v>
      </c>
    </row>
    <row r="106" spans="1:9" ht="15.75" customHeight="1">
      <c r="A106" s="21">
        <v>24</v>
      </c>
      <c r="B106" s="113" t="s">
        <v>247</v>
      </c>
      <c r="C106" s="43" t="s">
        <v>78</v>
      </c>
      <c r="D106" s="89"/>
      <c r="E106" s="14"/>
      <c r="F106" s="26">
        <f>1.5/10</f>
        <v>0.15</v>
      </c>
      <c r="G106" s="110">
        <v>4165.3999999999996</v>
      </c>
      <c r="H106" s="87">
        <f>G106*F106/1000</f>
        <v>0.62480999999999998</v>
      </c>
      <c r="I106" s="10">
        <f>G106*0.1</f>
        <v>416.53999999999996</v>
      </c>
    </row>
    <row r="107" spans="1:9" ht="18" customHeight="1">
      <c r="A107" s="21">
        <v>25</v>
      </c>
      <c r="B107" s="39" t="s">
        <v>248</v>
      </c>
      <c r="C107" s="88" t="s">
        <v>41</v>
      </c>
      <c r="D107" s="89"/>
      <c r="E107" s="14"/>
      <c r="F107" s="26"/>
      <c r="G107" s="109">
        <v>24829.08</v>
      </c>
      <c r="H107" s="87"/>
      <c r="I107" s="10">
        <f>G107*0.01</f>
        <v>248.29080000000002</v>
      </c>
    </row>
    <row r="108" spans="1:9">
      <c r="A108" s="21"/>
      <c r="B108" s="32" t="s">
        <v>52</v>
      </c>
      <c r="C108" s="28"/>
      <c r="D108" s="35"/>
      <c r="E108" s="28">
        <v>1</v>
      </c>
      <c r="F108" s="28"/>
      <c r="G108" s="28"/>
      <c r="H108" s="28"/>
      <c r="I108" s="24">
        <f>SUM(I104:I107)</f>
        <v>2350.1408000000006</v>
      </c>
    </row>
    <row r="109" spans="1:9">
      <c r="A109" s="21"/>
      <c r="B109" s="34" t="s">
        <v>82</v>
      </c>
      <c r="C109" s="12"/>
      <c r="D109" s="12"/>
      <c r="E109" s="29"/>
      <c r="F109" s="29"/>
      <c r="G109" s="30"/>
      <c r="H109" s="30"/>
      <c r="I109" s="14">
        <v>0</v>
      </c>
    </row>
    <row r="110" spans="1:9" ht="15.75" customHeight="1">
      <c r="A110" s="36"/>
      <c r="B110" s="33" t="s">
        <v>184</v>
      </c>
      <c r="C110" s="25"/>
      <c r="D110" s="25"/>
      <c r="E110" s="25"/>
      <c r="F110" s="25"/>
      <c r="G110" s="25"/>
      <c r="H110" s="25"/>
      <c r="I110" s="31">
        <f>I102+I108</f>
        <v>57913.957407111106</v>
      </c>
    </row>
    <row r="111" spans="1:9" ht="15.75">
      <c r="A111" s="136" t="s">
        <v>249</v>
      </c>
      <c r="B111" s="136"/>
      <c r="C111" s="136"/>
      <c r="D111" s="136"/>
      <c r="E111" s="136"/>
      <c r="F111" s="136"/>
      <c r="G111" s="136"/>
      <c r="H111" s="136"/>
      <c r="I111" s="136"/>
    </row>
    <row r="112" spans="1:9" ht="15.75">
      <c r="A112" s="50"/>
      <c r="B112" s="137" t="s">
        <v>250</v>
      </c>
      <c r="C112" s="137"/>
      <c r="D112" s="137"/>
      <c r="E112" s="137"/>
      <c r="F112" s="137"/>
      <c r="G112" s="137"/>
      <c r="H112" s="56"/>
      <c r="I112" s="2"/>
    </row>
    <row r="113" spans="1:9">
      <c r="A113" s="44"/>
      <c r="B113" s="124" t="s">
        <v>6</v>
      </c>
      <c r="C113" s="124"/>
      <c r="D113" s="124"/>
      <c r="E113" s="124"/>
      <c r="F113" s="124"/>
      <c r="G113" s="124"/>
      <c r="H113" s="16"/>
      <c r="I113" s="4"/>
    </row>
    <row r="114" spans="1:9">
      <c r="A114" s="7"/>
      <c r="B114" s="7"/>
      <c r="C114" s="7"/>
      <c r="D114" s="7"/>
      <c r="E114" s="7"/>
      <c r="F114" s="7"/>
      <c r="G114" s="7"/>
      <c r="H114" s="7"/>
      <c r="I114" s="7"/>
    </row>
    <row r="115" spans="1:9" ht="15.75" customHeight="1">
      <c r="A115" s="138" t="s">
        <v>7</v>
      </c>
      <c r="B115" s="138"/>
      <c r="C115" s="138"/>
      <c r="D115" s="138"/>
      <c r="E115" s="138"/>
      <c r="F115" s="138"/>
      <c r="G115" s="138"/>
      <c r="H115" s="138"/>
      <c r="I115" s="138"/>
    </row>
    <row r="116" spans="1:9" ht="15.75" customHeight="1">
      <c r="A116" s="138" t="s">
        <v>8</v>
      </c>
      <c r="B116" s="138"/>
      <c r="C116" s="138"/>
      <c r="D116" s="138"/>
      <c r="E116" s="138"/>
      <c r="F116" s="138"/>
      <c r="G116" s="138"/>
      <c r="H116" s="138"/>
      <c r="I116" s="138"/>
    </row>
    <row r="117" spans="1:9" ht="15.75" customHeight="1">
      <c r="A117" s="139" t="s">
        <v>62</v>
      </c>
      <c r="B117" s="139"/>
      <c r="C117" s="139"/>
      <c r="D117" s="139"/>
      <c r="E117" s="139"/>
      <c r="F117" s="139"/>
      <c r="G117" s="139"/>
      <c r="H117" s="139"/>
      <c r="I117" s="139"/>
    </row>
    <row r="118" spans="1:9" ht="7.5" customHeight="1">
      <c r="A118" s="8"/>
    </row>
    <row r="119" spans="1:9" ht="15.75" customHeight="1">
      <c r="A119" s="128" t="s">
        <v>9</v>
      </c>
      <c r="B119" s="128"/>
      <c r="C119" s="128"/>
      <c r="D119" s="128"/>
      <c r="E119" s="128"/>
      <c r="F119" s="128"/>
      <c r="G119" s="128"/>
      <c r="H119" s="128"/>
      <c r="I119" s="128"/>
    </row>
    <row r="120" spans="1:9" ht="15.75" customHeight="1">
      <c r="A120" s="3"/>
    </row>
    <row r="121" spans="1:9" ht="15.75" customHeight="1">
      <c r="B121" s="46" t="s">
        <v>10</v>
      </c>
      <c r="C121" s="123" t="s">
        <v>158</v>
      </c>
      <c r="D121" s="123"/>
      <c r="E121" s="123"/>
      <c r="F121" s="54"/>
      <c r="I121" s="48"/>
    </row>
    <row r="122" spans="1:9">
      <c r="A122" s="44"/>
      <c r="C122" s="124" t="s">
        <v>11</v>
      </c>
      <c r="D122" s="124"/>
      <c r="E122" s="124"/>
      <c r="F122" s="16"/>
      <c r="I122" s="49" t="s">
        <v>12</v>
      </c>
    </row>
    <row r="123" spans="1:9" ht="8.25" customHeight="1">
      <c r="A123" s="17"/>
      <c r="C123" s="9"/>
      <c r="D123" s="9"/>
      <c r="G123" s="9"/>
      <c r="H123" s="9"/>
    </row>
    <row r="124" spans="1:9" ht="15.75">
      <c r="B124" s="46" t="s">
        <v>13</v>
      </c>
      <c r="C124" s="125"/>
      <c r="D124" s="125"/>
      <c r="E124" s="125"/>
      <c r="F124" s="55"/>
      <c r="I124" s="48"/>
    </row>
    <row r="125" spans="1:9">
      <c r="A125" s="44"/>
      <c r="C125" s="126" t="s">
        <v>11</v>
      </c>
      <c r="D125" s="126"/>
      <c r="E125" s="126"/>
      <c r="F125" s="44"/>
      <c r="I125" s="49" t="s">
        <v>12</v>
      </c>
    </row>
    <row r="126" spans="1:9" ht="15.75">
      <c r="A126" s="3" t="s">
        <v>14</v>
      </c>
    </row>
    <row r="127" spans="1:9">
      <c r="A127" s="127" t="s">
        <v>15</v>
      </c>
      <c r="B127" s="127"/>
      <c r="C127" s="127"/>
      <c r="D127" s="127"/>
      <c r="E127" s="127"/>
      <c r="F127" s="127"/>
      <c r="G127" s="127"/>
      <c r="H127" s="127"/>
      <c r="I127" s="127"/>
    </row>
    <row r="128" spans="1:9" ht="45" customHeight="1">
      <c r="A128" s="122" t="s">
        <v>16</v>
      </c>
      <c r="B128" s="122"/>
      <c r="C128" s="122"/>
      <c r="D128" s="122"/>
      <c r="E128" s="122"/>
      <c r="F128" s="122"/>
      <c r="G128" s="122"/>
      <c r="H128" s="122"/>
      <c r="I128" s="122"/>
    </row>
    <row r="129" spans="1:9" ht="30" customHeight="1">
      <c r="A129" s="122" t="s">
        <v>17</v>
      </c>
      <c r="B129" s="122"/>
      <c r="C129" s="122"/>
      <c r="D129" s="122"/>
      <c r="E129" s="122"/>
      <c r="F129" s="122"/>
      <c r="G129" s="122"/>
      <c r="H129" s="122"/>
      <c r="I129" s="122"/>
    </row>
    <row r="130" spans="1:9" ht="30" customHeight="1">
      <c r="A130" s="122" t="s">
        <v>21</v>
      </c>
      <c r="B130" s="122"/>
      <c r="C130" s="122"/>
      <c r="D130" s="122"/>
      <c r="E130" s="122"/>
      <c r="F130" s="122"/>
      <c r="G130" s="122"/>
      <c r="H130" s="122"/>
      <c r="I130" s="122"/>
    </row>
    <row r="131" spans="1:9" ht="15" customHeight="1">
      <c r="A131" s="122" t="s">
        <v>20</v>
      </c>
      <c r="B131" s="122"/>
      <c r="C131" s="122"/>
      <c r="D131" s="122"/>
      <c r="E131" s="122"/>
      <c r="F131" s="122"/>
      <c r="G131" s="122"/>
      <c r="H131" s="122"/>
      <c r="I131" s="122"/>
    </row>
  </sheetData>
  <mergeCells count="28">
    <mergeCell ref="A14:I14"/>
    <mergeCell ref="A3:I3"/>
    <mergeCell ref="A4:I4"/>
    <mergeCell ref="A5:I5"/>
    <mergeCell ref="A8:I8"/>
    <mergeCell ref="A10:I10"/>
    <mergeCell ref="A119:I119"/>
    <mergeCell ref="A15:I15"/>
    <mergeCell ref="A29:I29"/>
    <mergeCell ref="A46:I46"/>
    <mergeCell ref="A58:I58"/>
    <mergeCell ref="A99:I99"/>
    <mergeCell ref="A111:I111"/>
    <mergeCell ref="B112:G112"/>
    <mergeCell ref="B113:G113"/>
    <mergeCell ref="A115:I115"/>
    <mergeCell ref="A116:I116"/>
    <mergeCell ref="A117:I117"/>
    <mergeCell ref="A103:I103"/>
    <mergeCell ref="A129:I129"/>
    <mergeCell ref="A130:I130"/>
    <mergeCell ref="A131:I131"/>
    <mergeCell ref="C121:E121"/>
    <mergeCell ref="C122:E122"/>
    <mergeCell ref="C124:E124"/>
    <mergeCell ref="C125:E125"/>
    <mergeCell ref="A127:I127"/>
    <mergeCell ref="A128:I128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33"/>
  <sheetViews>
    <sheetView view="pageBreakPreview" topLeftCell="A107" zoomScale="60" workbookViewId="0">
      <selection activeCell="B107" sqref="B107:I10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220</v>
      </c>
      <c r="I1" s="18"/>
    </row>
    <row r="2" spans="1:9" ht="15.75">
      <c r="A2" s="20" t="s">
        <v>63</v>
      </c>
    </row>
    <row r="3" spans="1:9" ht="15.75">
      <c r="A3" s="144" t="s">
        <v>189</v>
      </c>
      <c r="B3" s="144"/>
      <c r="C3" s="144"/>
      <c r="D3" s="144"/>
      <c r="E3" s="144"/>
      <c r="F3" s="144"/>
      <c r="G3" s="144"/>
      <c r="H3" s="144"/>
      <c r="I3" s="144"/>
    </row>
    <row r="4" spans="1:9" ht="31.5" customHeight="1">
      <c r="A4" s="145" t="s">
        <v>154</v>
      </c>
      <c r="B4" s="145"/>
      <c r="C4" s="145"/>
      <c r="D4" s="145"/>
      <c r="E4" s="145"/>
      <c r="F4" s="145"/>
      <c r="G4" s="145"/>
      <c r="H4" s="145"/>
      <c r="I4" s="145"/>
    </row>
    <row r="5" spans="1:9" ht="15.75">
      <c r="A5" s="144" t="s">
        <v>251</v>
      </c>
      <c r="B5" s="146"/>
      <c r="C5" s="146"/>
      <c r="D5" s="146"/>
      <c r="E5" s="146"/>
      <c r="F5" s="146"/>
      <c r="G5" s="146"/>
      <c r="H5" s="146"/>
      <c r="I5" s="146"/>
    </row>
    <row r="6" spans="1:9" ht="15.75">
      <c r="A6" s="1"/>
      <c r="B6" s="82"/>
      <c r="C6" s="82"/>
      <c r="D6" s="82"/>
      <c r="E6" s="82"/>
      <c r="F6" s="82"/>
      <c r="G6" s="82"/>
      <c r="H6" s="82"/>
      <c r="I6" s="22">
        <v>43434</v>
      </c>
    </row>
    <row r="7" spans="1:9" ht="15.75">
      <c r="B7" s="84"/>
      <c r="C7" s="84"/>
      <c r="D7" s="84"/>
      <c r="E7" s="2"/>
      <c r="F7" s="2"/>
      <c r="G7" s="2"/>
      <c r="H7" s="2"/>
    </row>
    <row r="8" spans="1:9" ht="78.75" customHeight="1">
      <c r="A8" s="147" t="s">
        <v>222</v>
      </c>
      <c r="B8" s="147"/>
      <c r="C8" s="147"/>
      <c r="D8" s="147"/>
      <c r="E8" s="147"/>
      <c r="F8" s="147"/>
      <c r="G8" s="147"/>
      <c r="H8" s="147"/>
      <c r="I8" s="147"/>
    </row>
    <row r="9" spans="1:9" ht="15.75">
      <c r="A9" s="3"/>
    </row>
    <row r="10" spans="1:9" ht="47.25" customHeight="1">
      <c r="A10" s="148" t="s">
        <v>183</v>
      </c>
      <c r="B10" s="148"/>
      <c r="C10" s="148"/>
      <c r="D10" s="148"/>
      <c r="E10" s="148"/>
      <c r="F10" s="148"/>
      <c r="G10" s="148"/>
      <c r="H10" s="148"/>
      <c r="I10" s="148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3" t="s">
        <v>60</v>
      </c>
      <c r="B14" s="143"/>
      <c r="C14" s="143"/>
      <c r="D14" s="143"/>
      <c r="E14" s="143"/>
      <c r="F14" s="143"/>
      <c r="G14" s="143"/>
      <c r="H14" s="143"/>
      <c r="I14" s="143"/>
    </row>
    <row r="15" spans="1:9" ht="15.75" customHeight="1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</row>
    <row r="16" spans="1:9" ht="15.75" customHeight="1">
      <c r="A16" s="21">
        <v>1</v>
      </c>
      <c r="B16" s="40" t="s">
        <v>110</v>
      </c>
      <c r="C16" s="41" t="s">
        <v>89</v>
      </c>
      <c r="D16" s="40" t="s">
        <v>155</v>
      </c>
      <c r="E16" s="57">
        <v>70.7</v>
      </c>
      <c r="F16" s="42">
        <f>SUM(E16*156/100)</f>
        <v>110.292</v>
      </c>
      <c r="G16" s="42">
        <v>199.46</v>
      </c>
      <c r="H16" s="58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40" t="s">
        <v>121</v>
      </c>
      <c r="C17" s="41" t="s">
        <v>89</v>
      </c>
      <c r="D17" s="40" t="s">
        <v>156</v>
      </c>
      <c r="E17" s="57">
        <v>282.8</v>
      </c>
      <c r="F17" s="42">
        <f>SUM(E17*104/100)</f>
        <v>294.11200000000002</v>
      </c>
      <c r="G17" s="42">
        <v>199.46</v>
      </c>
      <c r="H17" s="58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40" t="s">
        <v>122</v>
      </c>
      <c r="C18" s="41" t="s">
        <v>89</v>
      </c>
      <c r="D18" s="40" t="s">
        <v>157</v>
      </c>
      <c r="E18" s="57">
        <f>SUM(E16+E17)</f>
        <v>353.5</v>
      </c>
      <c r="F18" s="42">
        <f>SUM(E18*24/100)</f>
        <v>84.84</v>
      </c>
      <c r="G18" s="42">
        <v>573.83000000000004</v>
      </c>
      <c r="H18" s="58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1"/>
      <c r="B19" s="40" t="s">
        <v>111</v>
      </c>
      <c r="C19" s="41" t="s">
        <v>112</v>
      </c>
      <c r="D19" s="40" t="s">
        <v>113</v>
      </c>
      <c r="E19" s="57">
        <v>40</v>
      </c>
      <c r="F19" s="42">
        <f>SUM(E19/10)</f>
        <v>4</v>
      </c>
      <c r="G19" s="42">
        <v>193.55</v>
      </c>
      <c r="H19" s="58">
        <f t="shared" si="0"/>
        <v>0.7742</v>
      </c>
      <c r="I19" s="10">
        <v>0</v>
      </c>
    </row>
    <row r="20" spans="1:9" ht="15.75" hidden="1" customHeight="1">
      <c r="A20" s="21"/>
      <c r="B20" s="40" t="s">
        <v>114</v>
      </c>
      <c r="C20" s="41" t="s">
        <v>89</v>
      </c>
      <c r="D20" s="40" t="s">
        <v>43</v>
      </c>
      <c r="E20" s="57">
        <v>10.5</v>
      </c>
      <c r="F20" s="42">
        <f>E20*2/100</f>
        <v>0.21</v>
      </c>
      <c r="G20" s="42">
        <v>247.82</v>
      </c>
      <c r="H20" s="58">
        <f t="shared" si="0"/>
        <v>5.2042199999999997E-2</v>
      </c>
      <c r="I20" s="10">
        <v>0</v>
      </c>
    </row>
    <row r="21" spans="1:9" ht="15.75" hidden="1" customHeight="1">
      <c r="A21" s="21"/>
      <c r="B21" s="40" t="s">
        <v>115</v>
      </c>
      <c r="C21" s="41" t="s">
        <v>89</v>
      </c>
      <c r="D21" s="40" t="s">
        <v>43</v>
      </c>
      <c r="E21" s="57">
        <v>2.7</v>
      </c>
      <c r="F21" s="42">
        <f>SUM(E21*2/100)</f>
        <v>5.4000000000000006E-2</v>
      </c>
      <c r="G21" s="42">
        <v>245.81</v>
      </c>
      <c r="H21" s="58">
        <f t="shared" si="0"/>
        <v>1.3273740000000003E-2</v>
      </c>
      <c r="I21" s="10">
        <v>0</v>
      </c>
    </row>
    <row r="22" spans="1:9" ht="15.75" hidden="1" customHeight="1">
      <c r="A22" s="21"/>
      <c r="B22" s="40" t="s">
        <v>116</v>
      </c>
      <c r="C22" s="41" t="s">
        <v>53</v>
      </c>
      <c r="D22" s="40" t="s">
        <v>113</v>
      </c>
      <c r="E22" s="57">
        <v>357</v>
      </c>
      <c r="F22" s="42">
        <f>SUM(E22/100)</f>
        <v>3.57</v>
      </c>
      <c r="G22" s="42">
        <v>306.26</v>
      </c>
      <c r="H22" s="58">
        <f t="shared" si="0"/>
        <v>1.0933481999999999</v>
      </c>
      <c r="I22" s="10">
        <v>0</v>
      </c>
    </row>
    <row r="23" spans="1:9" ht="15.75" hidden="1" customHeight="1">
      <c r="A23" s="21"/>
      <c r="B23" s="40" t="s">
        <v>117</v>
      </c>
      <c r="C23" s="41" t="s">
        <v>53</v>
      </c>
      <c r="D23" s="40" t="s">
        <v>113</v>
      </c>
      <c r="E23" s="60">
        <v>38.64</v>
      </c>
      <c r="F23" s="42">
        <f>SUM(E23/100)</f>
        <v>0.38640000000000002</v>
      </c>
      <c r="G23" s="42">
        <v>50.37</v>
      </c>
      <c r="H23" s="58">
        <f t="shared" si="0"/>
        <v>1.9462968000000001E-2</v>
      </c>
      <c r="I23" s="10">
        <v>0</v>
      </c>
    </row>
    <row r="24" spans="1:9" ht="15.75" hidden="1" customHeight="1">
      <c r="A24" s="21"/>
      <c r="B24" s="40" t="s">
        <v>118</v>
      </c>
      <c r="C24" s="41" t="s">
        <v>53</v>
      </c>
      <c r="D24" s="40" t="s">
        <v>123</v>
      </c>
      <c r="E24" s="57">
        <v>15</v>
      </c>
      <c r="F24" s="42">
        <f>E24/100</f>
        <v>0.15</v>
      </c>
      <c r="G24" s="42">
        <v>443.27</v>
      </c>
      <c r="H24" s="58">
        <f t="shared" si="0"/>
        <v>6.6490499999999994E-2</v>
      </c>
      <c r="I24" s="10">
        <v>0</v>
      </c>
    </row>
    <row r="25" spans="1:9" ht="15.75" hidden="1" customHeight="1">
      <c r="A25" s="21"/>
      <c r="B25" s="40" t="s">
        <v>124</v>
      </c>
      <c r="C25" s="41" t="s">
        <v>89</v>
      </c>
      <c r="D25" s="40" t="s">
        <v>54</v>
      </c>
      <c r="E25" s="57">
        <v>14.25</v>
      </c>
      <c r="F25" s="42">
        <v>0.1</v>
      </c>
      <c r="G25" s="42">
        <v>245.81</v>
      </c>
      <c r="H25" s="58">
        <v>3.1E-2</v>
      </c>
      <c r="I25" s="10">
        <v>0</v>
      </c>
    </row>
    <row r="26" spans="1:9" ht="15.75" hidden="1" customHeight="1">
      <c r="A26" s="21"/>
      <c r="B26" s="40" t="s">
        <v>125</v>
      </c>
      <c r="C26" s="41" t="s">
        <v>53</v>
      </c>
      <c r="D26" s="40" t="s">
        <v>113</v>
      </c>
      <c r="E26" s="57">
        <v>6.38</v>
      </c>
      <c r="F26" s="42">
        <f>SUM(E26/100)</f>
        <v>6.3799999999999996E-2</v>
      </c>
      <c r="G26" s="42">
        <v>592.37</v>
      </c>
      <c r="H26" s="58">
        <f t="shared" si="0"/>
        <v>3.7793205999999996E-2</v>
      </c>
      <c r="I26" s="10">
        <v>0</v>
      </c>
    </row>
    <row r="27" spans="1:9" ht="15.75" customHeight="1">
      <c r="A27" s="21">
        <v>4</v>
      </c>
      <c r="B27" s="40" t="s">
        <v>65</v>
      </c>
      <c r="C27" s="41" t="s">
        <v>33</v>
      </c>
      <c r="D27" s="40"/>
      <c r="E27" s="57">
        <v>0.1</v>
      </c>
      <c r="F27" s="42">
        <f>SUM(E27*365)</f>
        <v>36.5</v>
      </c>
      <c r="G27" s="42">
        <v>167.24</v>
      </c>
      <c r="H27" s="58">
        <f>SUM(F27*G27/1000)</f>
        <v>6.10426</v>
      </c>
      <c r="I27" s="10">
        <f>F27/12*G27</f>
        <v>508.68833333333333</v>
      </c>
    </row>
    <row r="28" spans="1:9" ht="15.75" hidden="1" customHeight="1">
      <c r="A28" s="21">
        <v>5</v>
      </c>
      <c r="B28" s="64" t="s">
        <v>23</v>
      </c>
      <c r="C28" s="41" t="s">
        <v>24</v>
      </c>
      <c r="D28" s="40"/>
      <c r="E28" s="57">
        <v>2661.7</v>
      </c>
      <c r="F28" s="42">
        <f>SUM(E28*12)</f>
        <v>31940.399999999998</v>
      </c>
      <c r="G28" s="42">
        <v>5.58</v>
      </c>
      <c r="H28" s="58">
        <f>SUM(F28*G28/1000)</f>
        <v>178.22743199999999</v>
      </c>
      <c r="I28" s="10">
        <f>F28/12*G28</f>
        <v>14852.286</v>
      </c>
    </row>
    <row r="29" spans="1:9" ht="15.75" customHeight="1">
      <c r="A29" s="129" t="s">
        <v>87</v>
      </c>
      <c r="B29" s="129"/>
      <c r="C29" s="129"/>
      <c r="D29" s="129"/>
      <c r="E29" s="129"/>
      <c r="F29" s="129"/>
      <c r="G29" s="129"/>
      <c r="H29" s="129"/>
      <c r="I29" s="129"/>
    </row>
    <row r="30" spans="1:9" ht="15.75" hidden="1" customHeight="1">
      <c r="A30" s="21"/>
      <c r="B30" s="78" t="s">
        <v>28</v>
      </c>
      <c r="C30" s="41"/>
      <c r="D30" s="40"/>
      <c r="E30" s="57"/>
      <c r="F30" s="42"/>
      <c r="G30" s="42"/>
      <c r="H30" s="58"/>
      <c r="I30" s="62"/>
    </row>
    <row r="31" spans="1:9" ht="15.75" hidden="1" customHeight="1">
      <c r="A31" s="21">
        <v>6</v>
      </c>
      <c r="B31" s="40" t="s">
        <v>97</v>
      </c>
      <c r="C31" s="41" t="s">
        <v>91</v>
      </c>
      <c r="D31" s="40" t="s">
        <v>187</v>
      </c>
      <c r="E31" s="42">
        <v>573.6</v>
      </c>
      <c r="F31" s="42">
        <f>SUM(E31*52/1000)</f>
        <v>29.827200000000001</v>
      </c>
      <c r="G31" s="42">
        <v>177.3</v>
      </c>
      <c r="H31" s="58">
        <f t="shared" ref="H31:H37" si="2">SUM(F31*G31/1000)</f>
        <v>5.2883625600000004</v>
      </c>
      <c r="I31" s="10">
        <f>F31/6*G31</f>
        <v>881.39376000000016</v>
      </c>
    </row>
    <row r="32" spans="1:9" ht="31.5" hidden="1" customHeight="1">
      <c r="A32" s="21">
        <v>7</v>
      </c>
      <c r="B32" s="40" t="s">
        <v>170</v>
      </c>
      <c r="C32" s="41" t="s">
        <v>91</v>
      </c>
      <c r="D32" s="40" t="s">
        <v>188</v>
      </c>
      <c r="E32" s="42">
        <v>200</v>
      </c>
      <c r="F32" s="42">
        <f>SUM(E32*78/1000)</f>
        <v>15.6</v>
      </c>
      <c r="G32" s="42">
        <v>294.17</v>
      </c>
      <c r="H32" s="58">
        <f t="shared" si="2"/>
        <v>4.5890520000000006</v>
      </c>
      <c r="I32" s="10">
        <f t="shared" ref="I32:I35" si="3">F32/6*G32</f>
        <v>764.8420000000001</v>
      </c>
    </row>
    <row r="33" spans="1:9" ht="15.75" hidden="1" customHeight="1">
      <c r="A33" s="21">
        <v>16</v>
      </c>
      <c r="B33" s="40" t="s">
        <v>27</v>
      </c>
      <c r="C33" s="41" t="s">
        <v>91</v>
      </c>
      <c r="D33" s="40" t="s">
        <v>54</v>
      </c>
      <c r="E33" s="42">
        <v>573.6</v>
      </c>
      <c r="F33" s="42">
        <f>SUM(E33/1000)</f>
        <v>0.5736</v>
      </c>
      <c r="G33" s="42">
        <v>3435.36</v>
      </c>
      <c r="H33" s="58">
        <f t="shared" si="2"/>
        <v>1.9705224960000001</v>
      </c>
      <c r="I33" s="10">
        <v>0</v>
      </c>
    </row>
    <row r="34" spans="1:9" ht="15.75" hidden="1" customHeight="1">
      <c r="A34" s="21">
        <v>8</v>
      </c>
      <c r="B34" s="40" t="s">
        <v>128</v>
      </c>
      <c r="C34" s="41" t="s">
        <v>41</v>
      </c>
      <c r="D34" s="40" t="s">
        <v>64</v>
      </c>
      <c r="E34" s="42">
        <v>1</v>
      </c>
      <c r="F34" s="42">
        <v>1.55</v>
      </c>
      <c r="G34" s="42">
        <v>1480.94</v>
      </c>
      <c r="H34" s="58">
        <f>G34*F34/1000</f>
        <v>2.2954570000000003</v>
      </c>
      <c r="I34" s="10">
        <f t="shared" si="3"/>
        <v>382.57616666666672</v>
      </c>
    </row>
    <row r="35" spans="1:9" ht="15.75" hidden="1" customHeight="1">
      <c r="A35" s="21">
        <v>9</v>
      </c>
      <c r="B35" s="40" t="s">
        <v>96</v>
      </c>
      <c r="C35" s="41" t="s">
        <v>31</v>
      </c>
      <c r="D35" s="40" t="s">
        <v>64</v>
      </c>
      <c r="E35" s="63">
        <v>0.33333333333333331</v>
      </c>
      <c r="F35" s="42">
        <f>155/3</f>
        <v>51.666666666666664</v>
      </c>
      <c r="G35" s="42">
        <v>64.48</v>
      </c>
      <c r="H35" s="58">
        <f>SUM(G35*155/3/1000)</f>
        <v>3.331466666666667</v>
      </c>
      <c r="I35" s="10">
        <f t="shared" si="3"/>
        <v>555.24444444444441</v>
      </c>
    </row>
    <row r="36" spans="1:9" ht="15.75" hidden="1" customHeight="1">
      <c r="A36" s="21"/>
      <c r="B36" s="40" t="s">
        <v>66</v>
      </c>
      <c r="C36" s="41" t="s">
        <v>33</v>
      </c>
      <c r="D36" s="40" t="s">
        <v>68</v>
      </c>
      <c r="E36" s="57"/>
      <c r="F36" s="42">
        <v>3</v>
      </c>
      <c r="G36" s="42">
        <v>217.61</v>
      </c>
      <c r="H36" s="58">
        <f t="shared" si="2"/>
        <v>0.65283000000000002</v>
      </c>
      <c r="I36" s="10">
        <v>0</v>
      </c>
    </row>
    <row r="37" spans="1:9" ht="15.75" hidden="1" customHeight="1">
      <c r="A37" s="21"/>
      <c r="B37" s="40" t="s">
        <v>67</v>
      </c>
      <c r="C37" s="41" t="s">
        <v>32</v>
      </c>
      <c r="D37" s="40" t="s">
        <v>68</v>
      </c>
      <c r="E37" s="57"/>
      <c r="F37" s="42">
        <v>2</v>
      </c>
      <c r="G37" s="42">
        <v>1292.47</v>
      </c>
      <c r="H37" s="58">
        <f t="shared" si="2"/>
        <v>2.58494</v>
      </c>
      <c r="I37" s="10">
        <v>0</v>
      </c>
    </row>
    <row r="38" spans="1:9" ht="15.75" customHeight="1">
      <c r="A38" s="21"/>
      <c r="B38" s="78" t="s">
        <v>5</v>
      </c>
      <c r="C38" s="41"/>
      <c r="D38" s="40"/>
      <c r="E38" s="57"/>
      <c r="F38" s="42"/>
      <c r="G38" s="42"/>
      <c r="H38" s="58" t="s">
        <v>166</v>
      </c>
      <c r="I38" s="62"/>
    </row>
    <row r="39" spans="1:9" ht="15.75" customHeight="1">
      <c r="A39" s="21">
        <v>5</v>
      </c>
      <c r="B39" s="40" t="s">
        <v>26</v>
      </c>
      <c r="C39" s="41" t="s">
        <v>32</v>
      </c>
      <c r="D39" s="40"/>
      <c r="E39" s="57"/>
      <c r="F39" s="42">
        <v>8</v>
      </c>
      <c r="G39" s="42">
        <v>1737.08</v>
      </c>
      <c r="H39" s="58">
        <f t="shared" ref="H39:H45" si="4">SUM(F39*G39/1000)</f>
        <v>13.89664</v>
      </c>
      <c r="I39" s="10">
        <f>F39/6*G39</f>
        <v>2316.1066666666666</v>
      </c>
    </row>
    <row r="40" spans="1:9" ht="15.75" customHeight="1">
      <c r="A40" s="21">
        <v>6</v>
      </c>
      <c r="B40" s="40" t="s">
        <v>69</v>
      </c>
      <c r="C40" s="41" t="s">
        <v>29</v>
      </c>
      <c r="D40" s="40" t="s">
        <v>105</v>
      </c>
      <c r="E40" s="42">
        <v>200</v>
      </c>
      <c r="F40" s="42">
        <f>SUM(E40*30/1000)</f>
        <v>6</v>
      </c>
      <c r="G40" s="42">
        <v>2391.67</v>
      </c>
      <c r="H40" s="58">
        <f t="shared" si="4"/>
        <v>14.350020000000001</v>
      </c>
      <c r="I40" s="10">
        <f>F40/6*G40</f>
        <v>2391.67</v>
      </c>
    </row>
    <row r="41" spans="1:9" ht="15.75" hidden="1" customHeight="1">
      <c r="A41" s="21"/>
      <c r="B41" s="40" t="s">
        <v>129</v>
      </c>
      <c r="C41" s="41" t="s">
        <v>55</v>
      </c>
      <c r="D41" s="40"/>
      <c r="E41" s="57"/>
      <c r="F41" s="42">
        <v>130</v>
      </c>
      <c r="G41" s="42">
        <v>226.84</v>
      </c>
      <c r="H41" s="58">
        <f t="shared" si="4"/>
        <v>29.4892</v>
      </c>
      <c r="I41" s="10">
        <v>0</v>
      </c>
    </row>
    <row r="42" spans="1:9" ht="15.75" customHeight="1">
      <c r="A42" s="21">
        <v>7</v>
      </c>
      <c r="B42" s="40" t="s">
        <v>70</v>
      </c>
      <c r="C42" s="41" t="s">
        <v>29</v>
      </c>
      <c r="D42" s="40" t="s">
        <v>90</v>
      </c>
      <c r="E42" s="42">
        <v>60</v>
      </c>
      <c r="F42" s="42">
        <f>SUM(E42*155/1000)</f>
        <v>9.3000000000000007</v>
      </c>
      <c r="G42" s="42">
        <v>398.95</v>
      </c>
      <c r="H42" s="58">
        <f t="shared" si="4"/>
        <v>3.7102349999999999</v>
      </c>
      <c r="I42" s="10">
        <f t="shared" ref="I42:I43" si="5">F42/6*G42</f>
        <v>618.37249999999995</v>
      </c>
    </row>
    <row r="43" spans="1:9" ht="47.25" customHeight="1">
      <c r="A43" s="21">
        <v>8</v>
      </c>
      <c r="B43" s="40" t="s">
        <v>86</v>
      </c>
      <c r="C43" s="41" t="s">
        <v>91</v>
      </c>
      <c r="D43" s="40" t="s">
        <v>130</v>
      </c>
      <c r="E43" s="42">
        <v>40.9</v>
      </c>
      <c r="F43" s="42">
        <f>SUM(E43*35/1000)</f>
        <v>1.4315</v>
      </c>
      <c r="G43" s="42">
        <v>6600.74</v>
      </c>
      <c r="H43" s="58">
        <f t="shared" si="4"/>
        <v>9.4489593099999993</v>
      </c>
      <c r="I43" s="10">
        <f t="shared" si="5"/>
        <v>1574.8265516666668</v>
      </c>
    </row>
    <row r="44" spans="1:9" ht="15.75" customHeight="1">
      <c r="A44" s="21">
        <v>9</v>
      </c>
      <c r="B44" s="40" t="s">
        <v>92</v>
      </c>
      <c r="C44" s="41" t="s">
        <v>91</v>
      </c>
      <c r="D44" s="40" t="s">
        <v>71</v>
      </c>
      <c r="E44" s="42">
        <v>60</v>
      </c>
      <c r="F44" s="42">
        <f>SUM(E44*45/1000)</f>
        <v>2.7</v>
      </c>
      <c r="G44" s="42">
        <v>487.61</v>
      </c>
      <c r="H44" s="58">
        <f t="shared" si="4"/>
        <v>1.3165470000000001</v>
      </c>
      <c r="I44" s="10">
        <f>F44/7.5*G44</f>
        <v>175.53960000000004</v>
      </c>
    </row>
    <row r="45" spans="1:9" ht="15.75" customHeight="1">
      <c r="A45" s="21">
        <v>10</v>
      </c>
      <c r="B45" s="40" t="s">
        <v>72</v>
      </c>
      <c r="C45" s="41" t="s">
        <v>33</v>
      </c>
      <c r="D45" s="40"/>
      <c r="E45" s="57"/>
      <c r="F45" s="42">
        <v>0.9</v>
      </c>
      <c r="G45" s="42">
        <v>907.65</v>
      </c>
      <c r="H45" s="58">
        <f t="shared" si="4"/>
        <v>0.81688499999999997</v>
      </c>
      <c r="I45" s="10">
        <f>F45/7.5*G45</f>
        <v>108.91800000000001</v>
      </c>
    </row>
    <row r="46" spans="1:9" ht="15.75" hidden="1" customHeight="1">
      <c r="A46" s="130" t="s">
        <v>159</v>
      </c>
      <c r="B46" s="131"/>
      <c r="C46" s="131"/>
      <c r="D46" s="131"/>
      <c r="E46" s="131"/>
      <c r="F46" s="131"/>
      <c r="G46" s="131"/>
      <c r="H46" s="131"/>
      <c r="I46" s="132"/>
    </row>
    <row r="47" spans="1:9" ht="15.75" hidden="1" customHeight="1">
      <c r="A47" s="21"/>
      <c r="B47" s="40" t="s">
        <v>167</v>
      </c>
      <c r="C47" s="41" t="s">
        <v>91</v>
      </c>
      <c r="D47" s="40" t="s">
        <v>43</v>
      </c>
      <c r="E47" s="57">
        <v>1300.5</v>
      </c>
      <c r="F47" s="42">
        <f>SUM(E47/1000)*2</f>
        <v>2.601</v>
      </c>
      <c r="G47" s="10">
        <v>1173.18</v>
      </c>
      <c r="H47" s="58">
        <f t="shared" ref="H47:H57" si="6">SUM(F47*G47/1000)</f>
        <v>3.0514411800000003</v>
      </c>
      <c r="I47" s="10">
        <v>0</v>
      </c>
    </row>
    <row r="48" spans="1:9" ht="15.75" hidden="1" customHeight="1">
      <c r="A48" s="21"/>
      <c r="B48" s="40" t="s">
        <v>36</v>
      </c>
      <c r="C48" s="41" t="s">
        <v>91</v>
      </c>
      <c r="D48" s="40" t="s">
        <v>43</v>
      </c>
      <c r="E48" s="57">
        <v>52</v>
      </c>
      <c r="F48" s="42">
        <f>SUM(E48*2/1000)</f>
        <v>0.104</v>
      </c>
      <c r="G48" s="10">
        <v>659.09</v>
      </c>
      <c r="H48" s="58">
        <f t="shared" si="6"/>
        <v>6.854536E-2</v>
      </c>
      <c r="I48" s="10">
        <v>0</v>
      </c>
    </row>
    <row r="49" spans="1:9" ht="15.75" hidden="1" customHeight="1">
      <c r="A49" s="21"/>
      <c r="B49" s="40" t="s">
        <v>37</v>
      </c>
      <c r="C49" s="41" t="s">
        <v>91</v>
      </c>
      <c r="D49" s="40" t="s">
        <v>43</v>
      </c>
      <c r="E49" s="57">
        <v>1483.1</v>
      </c>
      <c r="F49" s="42">
        <f>SUM(E49*2/1000)</f>
        <v>2.9661999999999997</v>
      </c>
      <c r="G49" s="10">
        <v>1564.24</v>
      </c>
      <c r="H49" s="58">
        <f t="shared" si="6"/>
        <v>4.6398486879999998</v>
      </c>
      <c r="I49" s="10">
        <v>0</v>
      </c>
    </row>
    <row r="50" spans="1:9" ht="15.75" hidden="1" customHeight="1">
      <c r="A50" s="21"/>
      <c r="B50" s="40" t="s">
        <v>38</v>
      </c>
      <c r="C50" s="41" t="s">
        <v>91</v>
      </c>
      <c r="D50" s="40" t="s">
        <v>43</v>
      </c>
      <c r="E50" s="57">
        <v>2320</v>
      </c>
      <c r="F50" s="42">
        <f>SUM(E50*2/1000)</f>
        <v>4.6399999999999997</v>
      </c>
      <c r="G50" s="10">
        <v>1078.3599999999999</v>
      </c>
      <c r="H50" s="58">
        <f t="shared" si="6"/>
        <v>5.0035903999999993</v>
      </c>
      <c r="I50" s="10">
        <v>0</v>
      </c>
    </row>
    <row r="51" spans="1:9" ht="15.75" hidden="1" customHeight="1">
      <c r="A51" s="21"/>
      <c r="B51" s="40" t="s">
        <v>34</v>
      </c>
      <c r="C51" s="41" t="s">
        <v>35</v>
      </c>
      <c r="D51" s="40" t="s">
        <v>43</v>
      </c>
      <c r="E51" s="57">
        <v>91.84</v>
      </c>
      <c r="F51" s="42">
        <f>SUM(E51*2/100)</f>
        <v>1.8368</v>
      </c>
      <c r="G51" s="10">
        <v>82.82</v>
      </c>
      <c r="H51" s="58">
        <f t="shared" si="6"/>
        <v>0.15212377599999999</v>
      </c>
      <c r="I51" s="10">
        <v>0</v>
      </c>
    </row>
    <row r="52" spans="1:9" ht="15.75" hidden="1" customHeight="1">
      <c r="A52" s="21">
        <v>12</v>
      </c>
      <c r="B52" s="40" t="s">
        <v>57</v>
      </c>
      <c r="C52" s="41" t="s">
        <v>91</v>
      </c>
      <c r="D52" s="40" t="s">
        <v>171</v>
      </c>
      <c r="E52" s="57">
        <v>1040.4000000000001</v>
      </c>
      <c r="F52" s="42">
        <f>SUM(E52*5/1000)</f>
        <v>5.202</v>
      </c>
      <c r="G52" s="10">
        <v>1564.24</v>
      </c>
      <c r="H52" s="58">
        <f>SUM(F52*G52/1000)</f>
        <v>8.1371764800000008</v>
      </c>
      <c r="I52" s="10">
        <f>F52/5*G52</f>
        <v>1627.4352960000001</v>
      </c>
    </row>
    <row r="53" spans="1:9" ht="31.5" hidden="1" customHeight="1">
      <c r="A53" s="21">
        <v>10</v>
      </c>
      <c r="B53" s="40" t="s">
        <v>93</v>
      </c>
      <c r="C53" s="41" t="s">
        <v>91</v>
      </c>
      <c r="D53" s="40" t="s">
        <v>43</v>
      </c>
      <c r="E53" s="57">
        <v>1040.4000000000001</v>
      </c>
      <c r="F53" s="42">
        <f>SUM(E53*2/1000)</f>
        <v>2.0808</v>
      </c>
      <c r="G53" s="10">
        <v>1380.31</v>
      </c>
      <c r="H53" s="58">
        <f t="shared" si="6"/>
        <v>2.8721490479999998</v>
      </c>
      <c r="I53" s="10">
        <f>F53/2*G53</f>
        <v>1436.0745239999999</v>
      </c>
    </row>
    <row r="54" spans="1:9" ht="31.5" hidden="1" customHeight="1">
      <c r="A54" s="21">
        <v>11</v>
      </c>
      <c r="B54" s="40" t="s">
        <v>94</v>
      </c>
      <c r="C54" s="41" t="s">
        <v>39</v>
      </c>
      <c r="D54" s="40" t="s">
        <v>43</v>
      </c>
      <c r="E54" s="57">
        <v>20</v>
      </c>
      <c r="F54" s="42">
        <f>SUM(E54*2/100)</f>
        <v>0.4</v>
      </c>
      <c r="G54" s="10">
        <v>3519.56</v>
      </c>
      <c r="H54" s="58">
        <f t="shared" si="6"/>
        <v>1.407824</v>
      </c>
      <c r="I54" s="10">
        <f t="shared" ref="I54:I55" si="7">F54/2*G54</f>
        <v>703.91200000000003</v>
      </c>
    </row>
    <row r="55" spans="1:9" ht="15.75" hidden="1" customHeight="1">
      <c r="A55" s="21">
        <v>12</v>
      </c>
      <c r="B55" s="40" t="s">
        <v>40</v>
      </c>
      <c r="C55" s="41" t="s">
        <v>41</v>
      </c>
      <c r="D55" s="40" t="s">
        <v>43</v>
      </c>
      <c r="E55" s="57">
        <v>1</v>
      </c>
      <c r="F55" s="42">
        <v>0.02</v>
      </c>
      <c r="G55" s="10">
        <v>6428.82</v>
      </c>
      <c r="H55" s="58">
        <f t="shared" si="6"/>
        <v>0.12857640000000001</v>
      </c>
      <c r="I55" s="10">
        <f t="shared" si="7"/>
        <v>64.288200000000003</v>
      </c>
    </row>
    <row r="56" spans="1:9" ht="15.75" hidden="1" customHeight="1">
      <c r="A56" s="21">
        <v>13</v>
      </c>
      <c r="B56" s="40" t="s">
        <v>103</v>
      </c>
      <c r="C56" s="41" t="s">
        <v>98</v>
      </c>
      <c r="D56" s="40" t="s">
        <v>73</v>
      </c>
      <c r="E56" s="57">
        <v>56</v>
      </c>
      <c r="F56" s="42">
        <f>SUM(E56*3)</f>
        <v>168</v>
      </c>
      <c r="G56" s="10">
        <v>160.51</v>
      </c>
      <c r="H56" s="58">
        <f t="shared" si="6"/>
        <v>26.965679999999999</v>
      </c>
      <c r="I56" s="10">
        <f>E56*G56</f>
        <v>8988.56</v>
      </c>
    </row>
    <row r="57" spans="1:9" ht="15.75" hidden="1" customHeight="1">
      <c r="A57" s="21">
        <v>14</v>
      </c>
      <c r="B57" s="40" t="s">
        <v>42</v>
      </c>
      <c r="C57" s="41" t="s">
        <v>98</v>
      </c>
      <c r="D57" s="40" t="s">
        <v>73</v>
      </c>
      <c r="E57" s="57">
        <v>112</v>
      </c>
      <c r="F57" s="42">
        <f>SUM(E57)*3</f>
        <v>336</v>
      </c>
      <c r="G57" s="10">
        <v>74.709999999999994</v>
      </c>
      <c r="H57" s="58">
        <f t="shared" si="6"/>
        <v>25.102559999999997</v>
      </c>
      <c r="I57" s="10">
        <f>E57*G57</f>
        <v>8367.5199999999986</v>
      </c>
    </row>
    <row r="58" spans="1:9" ht="15.75" customHeight="1">
      <c r="A58" s="130" t="s">
        <v>162</v>
      </c>
      <c r="B58" s="131"/>
      <c r="C58" s="131"/>
      <c r="D58" s="131"/>
      <c r="E58" s="131"/>
      <c r="F58" s="131"/>
      <c r="G58" s="131"/>
      <c r="H58" s="131"/>
      <c r="I58" s="132"/>
    </row>
    <row r="59" spans="1:9" ht="15.75" hidden="1" customHeight="1">
      <c r="A59" s="21"/>
      <c r="B59" s="78" t="s">
        <v>44</v>
      </c>
      <c r="C59" s="41"/>
      <c r="D59" s="40"/>
      <c r="E59" s="57"/>
      <c r="F59" s="42"/>
      <c r="G59" s="42"/>
      <c r="H59" s="58"/>
      <c r="I59" s="62"/>
    </row>
    <row r="60" spans="1:9" ht="31.5" hidden="1" customHeight="1">
      <c r="A60" s="21">
        <v>12</v>
      </c>
      <c r="B60" s="40" t="s">
        <v>106</v>
      </c>
      <c r="C60" s="41" t="s">
        <v>89</v>
      </c>
      <c r="D60" s="40" t="s">
        <v>168</v>
      </c>
      <c r="E60" s="57">
        <v>142.05000000000001</v>
      </c>
      <c r="F60" s="42">
        <f>SUM(E60*6/100)</f>
        <v>8.5230000000000015</v>
      </c>
      <c r="G60" s="10">
        <v>2108.4299999999998</v>
      </c>
      <c r="H60" s="58">
        <f>SUM(F60*G60/1000)</f>
        <v>17.970148890000001</v>
      </c>
      <c r="I60" s="10">
        <f>F60/6*G60</f>
        <v>2995.0248150000002</v>
      </c>
    </row>
    <row r="61" spans="1:9" ht="15.75" customHeight="1">
      <c r="A61" s="21"/>
      <c r="B61" s="78" t="s">
        <v>45</v>
      </c>
      <c r="C61" s="41"/>
      <c r="D61" s="40"/>
      <c r="E61" s="57"/>
      <c r="F61" s="58"/>
      <c r="G61" s="10"/>
      <c r="H61" s="65"/>
      <c r="I61" s="62"/>
    </row>
    <row r="62" spans="1:9" ht="15.75" hidden="1" customHeight="1">
      <c r="A62" s="21"/>
      <c r="B62" s="40" t="s">
        <v>169</v>
      </c>
      <c r="C62" s="41" t="s">
        <v>89</v>
      </c>
      <c r="D62" s="40" t="s">
        <v>54</v>
      </c>
      <c r="E62" s="57">
        <v>1040.4000000000001</v>
      </c>
      <c r="F62" s="58">
        <f>E62/100</f>
        <v>10.404000000000002</v>
      </c>
      <c r="G62" s="10">
        <v>902.66</v>
      </c>
      <c r="H62" s="65">
        <f>G62*F62/1000</f>
        <v>9.3912746400000007</v>
      </c>
      <c r="I62" s="10">
        <v>0</v>
      </c>
    </row>
    <row r="63" spans="1:9" ht="15.75" customHeight="1">
      <c r="A63" s="21">
        <v>11</v>
      </c>
      <c r="B63" s="40" t="s">
        <v>131</v>
      </c>
      <c r="C63" s="41" t="s">
        <v>25</v>
      </c>
      <c r="D63" s="40" t="s">
        <v>132</v>
      </c>
      <c r="E63" s="57">
        <v>240</v>
      </c>
      <c r="F63" s="42">
        <v>2880</v>
      </c>
      <c r="G63" s="52">
        <v>1.2</v>
      </c>
      <c r="H63" s="58">
        <f>F63*G63/1000</f>
        <v>3.456</v>
      </c>
      <c r="I63" s="10">
        <f>F63/12*G63</f>
        <v>288</v>
      </c>
    </row>
    <row r="64" spans="1:9" ht="15.75" customHeight="1">
      <c r="A64" s="21"/>
      <c r="B64" s="79" t="s">
        <v>46</v>
      </c>
      <c r="C64" s="66"/>
      <c r="D64" s="67"/>
      <c r="E64" s="68"/>
      <c r="F64" s="69"/>
      <c r="G64" s="69"/>
      <c r="H64" s="70" t="s">
        <v>166</v>
      </c>
      <c r="I64" s="62"/>
    </row>
    <row r="65" spans="1:9" ht="15.75" customHeight="1">
      <c r="A65" s="21">
        <v>12</v>
      </c>
      <c r="B65" s="11" t="s">
        <v>47</v>
      </c>
      <c r="C65" s="13" t="s">
        <v>41</v>
      </c>
      <c r="D65" s="40" t="s">
        <v>68</v>
      </c>
      <c r="E65" s="15">
        <v>15</v>
      </c>
      <c r="F65" s="42">
        <f>15/100</f>
        <v>0.15</v>
      </c>
      <c r="G65" s="10">
        <v>252.96</v>
      </c>
      <c r="H65" s="71">
        <f t="shared" ref="H65:H81" si="8">SUM(F65*G65/1000)</f>
        <v>3.7944000000000006E-2</v>
      </c>
      <c r="I65" s="10">
        <f>G65*2</f>
        <v>505.92</v>
      </c>
    </row>
    <row r="66" spans="1:9" ht="17.25" hidden="1" customHeight="1">
      <c r="A66" s="21"/>
      <c r="B66" s="11" t="s">
        <v>48</v>
      </c>
      <c r="C66" s="13" t="s">
        <v>41</v>
      </c>
      <c r="D66" s="40" t="s">
        <v>68</v>
      </c>
      <c r="E66" s="15">
        <v>10</v>
      </c>
      <c r="F66" s="42">
        <f>10/100</f>
        <v>0.1</v>
      </c>
      <c r="G66" s="10">
        <v>86.74</v>
      </c>
      <c r="H66" s="71">
        <f t="shared" si="8"/>
        <v>8.6739999999999994E-3</v>
      </c>
      <c r="I66" s="10">
        <v>0</v>
      </c>
    </row>
    <row r="67" spans="1:9" ht="14.25" hidden="1" customHeight="1">
      <c r="A67" s="21"/>
      <c r="B67" s="11" t="s">
        <v>49</v>
      </c>
      <c r="C67" s="13" t="s">
        <v>99</v>
      </c>
      <c r="D67" s="11" t="s">
        <v>54</v>
      </c>
      <c r="E67" s="57">
        <v>17532</v>
      </c>
      <c r="F67" s="10">
        <f>SUM(E67/100)</f>
        <v>175.32</v>
      </c>
      <c r="G67" s="10">
        <v>241.31</v>
      </c>
      <c r="H67" s="71">
        <f t="shared" si="8"/>
        <v>42.306469200000002</v>
      </c>
      <c r="I67" s="10">
        <f>F67*G67</f>
        <v>42306.4692</v>
      </c>
    </row>
    <row r="68" spans="1:9" ht="14.25" hidden="1" customHeight="1">
      <c r="A68" s="21"/>
      <c r="B68" s="11" t="s">
        <v>50</v>
      </c>
      <c r="C68" s="13" t="s">
        <v>100</v>
      </c>
      <c r="D68" s="11"/>
      <c r="E68" s="57">
        <v>17532</v>
      </c>
      <c r="F68" s="10">
        <f>SUM(E68/1000)</f>
        <v>17.532</v>
      </c>
      <c r="G68" s="10">
        <v>187.91</v>
      </c>
      <c r="H68" s="71">
        <f t="shared" si="8"/>
        <v>3.2944381199999997</v>
      </c>
      <c r="I68" s="10">
        <f>F68*G68</f>
        <v>3294.4381199999998</v>
      </c>
    </row>
    <row r="69" spans="1:9" ht="17.25" hidden="1" customHeight="1">
      <c r="A69" s="21"/>
      <c r="B69" s="11" t="s">
        <v>51</v>
      </c>
      <c r="C69" s="13" t="s">
        <v>80</v>
      </c>
      <c r="D69" s="11" t="s">
        <v>54</v>
      </c>
      <c r="E69" s="57">
        <v>1365</v>
      </c>
      <c r="F69" s="10">
        <f>SUM(E69/100)</f>
        <v>13.65</v>
      </c>
      <c r="G69" s="10">
        <v>2359.7199999999998</v>
      </c>
      <c r="H69" s="71">
        <f t="shared" si="8"/>
        <v>32.210177999999999</v>
      </c>
      <c r="I69" s="10">
        <f t="shared" ref="I69:I72" si="9">F69*G69</f>
        <v>32210.178</v>
      </c>
    </row>
    <row r="70" spans="1:9" ht="17.25" hidden="1" customHeight="1">
      <c r="A70" s="21"/>
      <c r="B70" s="72" t="s">
        <v>74</v>
      </c>
      <c r="C70" s="13" t="s">
        <v>33</v>
      </c>
      <c r="D70" s="11"/>
      <c r="E70" s="57">
        <v>15.6</v>
      </c>
      <c r="F70" s="10">
        <f>SUM(E70)</f>
        <v>15.6</v>
      </c>
      <c r="G70" s="10">
        <v>45.4</v>
      </c>
      <c r="H70" s="71">
        <f t="shared" si="8"/>
        <v>0.70823999999999998</v>
      </c>
      <c r="I70" s="10">
        <f t="shared" si="9"/>
        <v>708.24</v>
      </c>
    </row>
    <row r="71" spans="1:9" ht="18" hidden="1" customHeight="1">
      <c r="A71" s="21"/>
      <c r="B71" s="72" t="s">
        <v>172</v>
      </c>
      <c r="C71" s="13" t="s">
        <v>33</v>
      </c>
      <c r="D71" s="11"/>
      <c r="E71" s="57">
        <v>15.6</v>
      </c>
      <c r="F71" s="10">
        <f>SUM(E71)</f>
        <v>15.6</v>
      </c>
      <c r="G71" s="10">
        <v>42.35</v>
      </c>
      <c r="H71" s="71">
        <f t="shared" si="8"/>
        <v>0.66065999999999991</v>
      </c>
      <c r="I71" s="10">
        <f t="shared" si="9"/>
        <v>660.66</v>
      </c>
    </row>
    <row r="72" spans="1:9" ht="18" hidden="1" customHeight="1">
      <c r="A72" s="21"/>
      <c r="B72" s="11" t="s">
        <v>58</v>
      </c>
      <c r="C72" s="13" t="s">
        <v>59</v>
      </c>
      <c r="D72" s="11" t="s">
        <v>54</v>
      </c>
      <c r="E72" s="15">
        <v>4</v>
      </c>
      <c r="F72" s="42">
        <f>SUM(E72)</f>
        <v>4</v>
      </c>
      <c r="G72" s="10">
        <v>56.74</v>
      </c>
      <c r="H72" s="71">
        <f t="shared" si="8"/>
        <v>0.22696</v>
      </c>
      <c r="I72" s="10">
        <f t="shared" si="9"/>
        <v>226.96</v>
      </c>
    </row>
    <row r="73" spans="1:9" ht="15.75" customHeight="1">
      <c r="A73" s="21">
        <v>13</v>
      </c>
      <c r="B73" s="11" t="s">
        <v>133</v>
      </c>
      <c r="C73" s="13" t="s">
        <v>59</v>
      </c>
      <c r="D73" s="11" t="s">
        <v>30</v>
      </c>
      <c r="E73" s="15">
        <v>1</v>
      </c>
      <c r="F73" s="52">
        <v>12</v>
      </c>
      <c r="G73" s="10">
        <v>756.5</v>
      </c>
      <c r="H73" s="71">
        <f t="shared" si="8"/>
        <v>9.0779999999999994</v>
      </c>
      <c r="I73" s="10">
        <f>G73</f>
        <v>756.5</v>
      </c>
    </row>
    <row r="74" spans="1:9" ht="15.75" hidden="1" customHeight="1">
      <c r="A74" s="21"/>
      <c r="B74" s="81" t="s">
        <v>75</v>
      </c>
      <c r="C74" s="13"/>
      <c r="D74" s="11"/>
      <c r="E74" s="15"/>
      <c r="F74" s="10"/>
      <c r="G74" s="10"/>
      <c r="H74" s="71" t="s">
        <v>166</v>
      </c>
      <c r="I74" s="62"/>
    </row>
    <row r="75" spans="1:9" ht="15.75" hidden="1" customHeight="1">
      <c r="A75" s="21"/>
      <c r="B75" s="11" t="s">
        <v>134</v>
      </c>
      <c r="C75" s="13" t="s">
        <v>31</v>
      </c>
      <c r="D75" s="40" t="s">
        <v>68</v>
      </c>
      <c r="E75" s="15">
        <v>2</v>
      </c>
      <c r="F75" s="10">
        <v>2</v>
      </c>
      <c r="G75" s="10">
        <v>892.5</v>
      </c>
      <c r="H75" s="71">
        <f>G75*F75/1000</f>
        <v>1.7849999999999999</v>
      </c>
      <c r="I75" s="10">
        <v>0</v>
      </c>
    </row>
    <row r="76" spans="1:9" ht="15.75" hidden="1" customHeight="1">
      <c r="A76" s="21"/>
      <c r="B76" s="11" t="s">
        <v>119</v>
      </c>
      <c r="C76" s="13" t="s">
        <v>135</v>
      </c>
      <c r="D76" s="11"/>
      <c r="E76" s="15">
        <v>1</v>
      </c>
      <c r="F76" s="10">
        <v>1</v>
      </c>
      <c r="G76" s="10">
        <v>750</v>
      </c>
      <c r="H76" s="71">
        <f>G76*F76/1000</f>
        <v>0.75</v>
      </c>
      <c r="I76" s="10">
        <v>0</v>
      </c>
    </row>
    <row r="77" spans="1:9" ht="15.75" hidden="1" customHeight="1">
      <c r="A77" s="21"/>
      <c r="B77" s="11" t="s">
        <v>76</v>
      </c>
      <c r="C77" s="13" t="s">
        <v>78</v>
      </c>
      <c r="D77" s="11"/>
      <c r="E77" s="15">
        <v>2</v>
      </c>
      <c r="F77" s="10">
        <v>0.2</v>
      </c>
      <c r="G77" s="10">
        <v>570.54</v>
      </c>
      <c r="H77" s="71">
        <f t="shared" si="8"/>
        <v>0.114108</v>
      </c>
      <c r="I77" s="10">
        <v>0</v>
      </c>
    </row>
    <row r="78" spans="1:9" ht="15.75" hidden="1" customHeight="1">
      <c r="A78" s="21"/>
      <c r="B78" s="11" t="s">
        <v>77</v>
      </c>
      <c r="C78" s="13" t="s">
        <v>31</v>
      </c>
      <c r="D78" s="11"/>
      <c r="E78" s="15">
        <v>1</v>
      </c>
      <c r="F78" s="52">
        <v>1</v>
      </c>
      <c r="G78" s="10">
        <v>970.21</v>
      </c>
      <c r="H78" s="71">
        <f t="shared" si="8"/>
        <v>0.97021000000000002</v>
      </c>
      <c r="I78" s="10">
        <v>0</v>
      </c>
    </row>
    <row r="79" spans="1:9" ht="15.75" hidden="1" customHeight="1">
      <c r="A79" s="21">
        <v>15</v>
      </c>
      <c r="B79" s="11" t="s">
        <v>136</v>
      </c>
      <c r="C79" s="13" t="s">
        <v>98</v>
      </c>
      <c r="D79" s="11"/>
      <c r="E79" s="15">
        <v>1</v>
      </c>
      <c r="F79" s="42">
        <f>SUM(E79)</f>
        <v>1</v>
      </c>
      <c r="G79" s="10">
        <v>407.79</v>
      </c>
      <c r="H79" s="71">
        <f t="shared" si="8"/>
        <v>0.40779000000000004</v>
      </c>
      <c r="I79" s="10">
        <f>G79</f>
        <v>407.79</v>
      </c>
    </row>
    <row r="80" spans="1:9" ht="15.75" hidden="1" customHeight="1">
      <c r="A80" s="21"/>
      <c r="B80" s="76" t="s">
        <v>79</v>
      </c>
      <c r="C80" s="13"/>
      <c r="D80" s="11"/>
      <c r="E80" s="15"/>
      <c r="F80" s="10"/>
      <c r="G80" s="10" t="s">
        <v>166</v>
      </c>
      <c r="H80" s="71" t="s">
        <v>166</v>
      </c>
      <c r="I80" s="62"/>
    </row>
    <row r="81" spans="1:9" ht="15.75" hidden="1" customHeight="1">
      <c r="A81" s="21"/>
      <c r="B81" s="34" t="s">
        <v>104</v>
      </c>
      <c r="C81" s="13" t="s">
        <v>80</v>
      </c>
      <c r="D81" s="11"/>
      <c r="E81" s="15"/>
      <c r="F81" s="10">
        <v>0.6</v>
      </c>
      <c r="G81" s="10">
        <v>3138.65</v>
      </c>
      <c r="H81" s="71">
        <f t="shared" si="8"/>
        <v>1.8831900000000001</v>
      </c>
      <c r="I81" s="10">
        <v>0</v>
      </c>
    </row>
    <row r="82" spans="1:9" ht="15.75" hidden="1" customHeight="1">
      <c r="A82" s="21"/>
      <c r="B82" s="81" t="s">
        <v>95</v>
      </c>
      <c r="C82" s="13"/>
      <c r="D82" s="11"/>
      <c r="E82" s="53"/>
      <c r="F82" s="10"/>
      <c r="G82" s="10"/>
      <c r="H82" s="71"/>
      <c r="I82" s="10"/>
    </row>
    <row r="83" spans="1:9" ht="15.75" hidden="1" customHeight="1">
      <c r="A83" s="21"/>
      <c r="B83" s="40" t="s">
        <v>101</v>
      </c>
      <c r="C83" s="13"/>
      <c r="D83" s="11"/>
      <c r="E83" s="53"/>
      <c r="F83" s="10">
        <v>1</v>
      </c>
      <c r="G83" s="10">
        <v>21095</v>
      </c>
      <c r="H83" s="71">
        <f>G83*F83/1000</f>
        <v>21.094999999999999</v>
      </c>
      <c r="I83" s="10">
        <v>0</v>
      </c>
    </row>
    <row r="84" spans="1:9" ht="15.75" customHeight="1">
      <c r="A84" s="21"/>
      <c r="B84" s="80" t="s">
        <v>107</v>
      </c>
      <c r="C84" s="76"/>
      <c r="D84" s="23"/>
      <c r="E84" s="24"/>
      <c r="F84" s="75"/>
      <c r="G84" s="75"/>
      <c r="H84" s="73"/>
      <c r="I84" s="61"/>
    </row>
    <row r="85" spans="1:9" ht="31.5" hidden="1" customHeight="1">
      <c r="A85" s="21"/>
      <c r="B85" s="77" t="s">
        <v>137</v>
      </c>
      <c r="C85" s="13" t="s">
        <v>138</v>
      </c>
      <c r="D85" s="40" t="s">
        <v>68</v>
      </c>
      <c r="E85" s="15">
        <v>10</v>
      </c>
      <c r="F85" s="10">
        <v>10</v>
      </c>
      <c r="G85" s="10">
        <v>271.88</v>
      </c>
      <c r="H85" s="71">
        <f t="shared" ref="H85:H98" si="10">F85*G85/1000</f>
        <v>2.7188000000000003</v>
      </c>
      <c r="I85" s="10">
        <v>0</v>
      </c>
    </row>
    <row r="86" spans="1:9" ht="15" customHeight="1">
      <c r="A86" s="21">
        <v>14</v>
      </c>
      <c r="B86" s="77" t="s">
        <v>108</v>
      </c>
      <c r="C86" s="13" t="s">
        <v>84</v>
      </c>
      <c r="D86" s="40" t="s">
        <v>68</v>
      </c>
      <c r="E86" s="15">
        <v>100</v>
      </c>
      <c r="F86" s="10">
        <v>100</v>
      </c>
      <c r="G86" s="10">
        <v>111.84</v>
      </c>
      <c r="H86" s="71">
        <f t="shared" si="10"/>
        <v>11.183999999999999</v>
      </c>
      <c r="I86" s="10">
        <f>G86*7</f>
        <v>782.88</v>
      </c>
    </row>
    <row r="87" spans="1:9" ht="15.75" hidden="1" customHeight="1">
      <c r="A87" s="21">
        <v>16</v>
      </c>
      <c r="B87" s="77" t="s">
        <v>139</v>
      </c>
      <c r="C87" s="13" t="s">
        <v>140</v>
      </c>
      <c r="D87" s="40" t="s">
        <v>68</v>
      </c>
      <c r="E87" s="15">
        <v>30</v>
      </c>
      <c r="F87" s="10">
        <v>10</v>
      </c>
      <c r="G87" s="10">
        <v>972.09</v>
      </c>
      <c r="H87" s="71">
        <f t="shared" si="10"/>
        <v>9.7209000000000003</v>
      </c>
      <c r="I87" s="10">
        <f>G87*((15+15)/3)</f>
        <v>9720.9</v>
      </c>
    </row>
    <row r="88" spans="1:9" ht="15.75" hidden="1" customHeight="1">
      <c r="A88" s="21"/>
      <c r="B88" s="77" t="s">
        <v>141</v>
      </c>
      <c r="C88" s="13" t="s">
        <v>53</v>
      </c>
      <c r="D88" s="40" t="s">
        <v>68</v>
      </c>
      <c r="E88" s="15">
        <v>100</v>
      </c>
      <c r="F88" s="10">
        <v>1</v>
      </c>
      <c r="G88" s="10">
        <v>1829.52</v>
      </c>
      <c r="H88" s="71">
        <f t="shared" si="10"/>
        <v>1.82952</v>
      </c>
      <c r="I88" s="10">
        <v>0</v>
      </c>
    </row>
    <row r="89" spans="1:9" ht="31.5" hidden="1" customHeight="1">
      <c r="A89" s="21">
        <v>17</v>
      </c>
      <c r="B89" s="77" t="s">
        <v>142</v>
      </c>
      <c r="C89" s="13" t="s">
        <v>143</v>
      </c>
      <c r="D89" s="40" t="s">
        <v>68</v>
      </c>
      <c r="E89" s="15">
        <v>40</v>
      </c>
      <c r="F89" s="10">
        <v>4</v>
      </c>
      <c r="G89" s="10">
        <v>272.39</v>
      </c>
      <c r="H89" s="71">
        <f t="shared" si="10"/>
        <v>1.0895599999999999</v>
      </c>
      <c r="I89" s="10">
        <f>G89*0.8</f>
        <v>217.91200000000001</v>
      </c>
    </row>
    <row r="90" spans="1:9" ht="31.5" hidden="1" customHeight="1">
      <c r="A90" s="21"/>
      <c r="B90" s="77" t="s">
        <v>144</v>
      </c>
      <c r="C90" s="13" t="s">
        <v>84</v>
      </c>
      <c r="D90" s="40" t="s">
        <v>68</v>
      </c>
      <c r="E90" s="15">
        <v>15</v>
      </c>
      <c r="F90" s="10">
        <v>15</v>
      </c>
      <c r="G90" s="10">
        <v>1430.02</v>
      </c>
      <c r="H90" s="71">
        <f t="shared" si="10"/>
        <v>21.450299999999999</v>
      </c>
      <c r="I90" s="10">
        <v>0</v>
      </c>
    </row>
    <row r="91" spans="1:9" ht="31.5" hidden="1" customHeight="1">
      <c r="A91" s="21"/>
      <c r="B91" s="77" t="s">
        <v>145</v>
      </c>
      <c r="C91" s="13" t="s">
        <v>84</v>
      </c>
      <c r="D91" s="40" t="s">
        <v>68</v>
      </c>
      <c r="E91" s="15">
        <v>10</v>
      </c>
      <c r="F91" s="10">
        <v>10</v>
      </c>
      <c r="G91" s="10">
        <v>1743.04</v>
      </c>
      <c r="H91" s="71">
        <f t="shared" si="10"/>
        <v>17.430400000000002</v>
      </c>
      <c r="I91" s="10">
        <v>0</v>
      </c>
    </row>
    <row r="92" spans="1:9" ht="31.5" hidden="1" customHeight="1">
      <c r="A92" s="21"/>
      <c r="B92" s="77" t="s">
        <v>146</v>
      </c>
      <c r="C92" s="13" t="s">
        <v>84</v>
      </c>
      <c r="D92" s="40" t="s">
        <v>68</v>
      </c>
      <c r="E92" s="15">
        <v>20</v>
      </c>
      <c r="F92" s="10">
        <v>20</v>
      </c>
      <c r="G92" s="10">
        <v>607.27</v>
      </c>
      <c r="H92" s="71">
        <f t="shared" si="10"/>
        <v>12.1454</v>
      </c>
      <c r="I92" s="10">
        <v>0</v>
      </c>
    </row>
    <row r="93" spans="1:9" ht="31.5" hidden="1" customHeight="1">
      <c r="A93" s="21"/>
      <c r="B93" s="77" t="s">
        <v>147</v>
      </c>
      <c r="C93" s="13" t="s">
        <v>84</v>
      </c>
      <c r="D93" s="40" t="s">
        <v>68</v>
      </c>
      <c r="E93" s="15">
        <v>30</v>
      </c>
      <c r="F93" s="10">
        <v>30</v>
      </c>
      <c r="G93" s="10">
        <v>711.93</v>
      </c>
      <c r="H93" s="71">
        <f t="shared" si="10"/>
        <v>21.357899999999997</v>
      </c>
      <c r="I93" s="10">
        <v>0</v>
      </c>
    </row>
    <row r="94" spans="1:9" ht="15.75" hidden="1" customHeight="1">
      <c r="A94" s="21"/>
      <c r="B94" s="77" t="s">
        <v>109</v>
      </c>
      <c r="C94" s="13" t="s">
        <v>31</v>
      </c>
      <c r="D94" s="40" t="s">
        <v>68</v>
      </c>
      <c r="E94" s="15">
        <v>10</v>
      </c>
      <c r="F94" s="10">
        <v>10</v>
      </c>
      <c r="G94" s="10">
        <v>455.31</v>
      </c>
      <c r="H94" s="71">
        <f t="shared" si="10"/>
        <v>4.5531000000000006</v>
      </c>
      <c r="I94" s="10">
        <v>0</v>
      </c>
    </row>
    <row r="95" spans="1:9" ht="31.5" hidden="1" customHeight="1">
      <c r="A95" s="21"/>
      <c r="B95" s="77" t="s">
        <v>148</v>
      </c>
      <c r="C95" s="13" t="s">
        <v>84</v>
      </c>
      <c r="D95" s="40" t="s">
        <v>68</v>
      </c>
      <c r="E95" s="15">
        <v>30</v>
      </c>
      <c r="F95" s="10">
        <v>30</v>
      </c>
      <c r="G95" s="10">
        <v>1155.7</v>
      </c>
      <c r="H95" s="71">
        <f t="shared" si="10"/>
        <v>34.670999999999999</v>
      </c>
      <c r="I95" s="10">
        <v>0</v>
      </c>
    </row>
    <row r="96" spans="1:9" ht="31.5" hidden="1" customHeight="1">
      <c r="A96" s="21"/>
      <c r="B96" s="77" t="s">
        <v>149</v>
      </c>
      <c r="C96" s="13" t="s">
        <v>29</v>
      </c>
      <c r="D96" s="11" t="s">
        <v>43</v>
      </c>
      <c r="E96" s="15">
        <v>1040.4000000000001</v>
      </c>
      <c r="F96" s="10">
        <f>E96*2/1000</f>
        <v>2.0808</v>
      </c>
      <c r="G96" s="10">
        <v>1560.98</v>
      </c>
      <c r="H96" s="71">
        <f t="shared" si="10"/>
        <v>3.2480871840000001</v>
      </c>
      <c r="I96" s="10">
        <v>0</v>
      </c>
    </row>
    <row r="97" spans="1:9" ht="31.5" hidden="1" customHeight="1">
      <c r="A97" s="21"/>
      <c r="B97" s="77" t="s">
        <v>150</v>
      </c>
      <c r="C97" s="21" t="s">
        <v>152</v>
      </c>
      <c r="D97" s="40" t="s">
        <v>68</v>
      </c>
      <c r="E97" s="15">
        <v>100</v>
      </c>
      <c r="F97" s="10">
        <v>1</v>
      </c>
      <c r="G97" s="10">
        <v>12859.93</v>
      </c>
      <c r="H97" s="71">
        <f t="shared" si="10"/>
        <v>12.85993</v>
      </c>
      <c r="I97" s="10">
        <v>0</v>
      </c>
    </row>
    <row r="98" spans="1:9" ht="15.75" hidden="1" customHeight="1">
      <c r="A98" s="21"/>
      <c r="B98" s="77" t="s">
        <v>151</v>
      </c>
      <c r="C98" s="13" t="s">
        <v>29</v>
      </c>
      <c r="D98" s="11" t="s">
        <v>43</v>
      </c>
      <c r="E98" s="15">
        <v>1040.4000000000001</v>
      </c>
      <c r="F98" s="10">
        <v>2.08</v>
      </c>
      <c r="G98" s="10">
        <v>1453.29</v>
      </c>
      <c r="H98" s="71">
        <f t="shared" si="10"/>
        <v>3.0228432000000001</v>
      </c>
      <c r="I98" s="10">
        <v>0</v>
      </c>
    </row>
    <row r="99" spans="1:9" ht="15.75" customHeight="1">
      <c r="A99" s="133" t="s">
        <v>163</v>
      </c>
      <c r="B99" s="134"/>
      <c r="C99" s="134"/>
      <c r="D99" s="134"/>
      <c r="E99" s="134"/>
      <c r="F99" s="134"/>
      <c r="G99" s="134"/>
      <c r="H99" s="134"/>
      <c r="I99" s="135"/>
    </row>
    <row r="100" spans="1:9" ht="15.75" customHeight="1">
      <c r="A100" s="21">
        <v>15</v>
      </c>
      <c r="B100" s="77" t="s">
        <v>102</v>
      </c>
      <c r="C100" s="13" t="s">
        <v>55</v>
      </c>
      <c r="D100" s="51" t="s">
        <v>56</v>
      </c>
      <c r="E100" s="10">
        <v>3455.3</v>
      </c>
      <c r="F100" s="10">
        <v>41463.599999999999</v>
      </c>
      <c r="G100" s="10">
        <v>2.7</v>
      </c>
      <c r="H100" s="71">
        <f>SUM(F100*G100/1000)</f>
        <v>111.95171999999999</v>
      </c>
      <c r="I100" s="10">
        <f>F100/12*G100</f>
        <v>9329.31</v>
      </c>
    </row>
    <row r="101" spans="1:9" ht="31.5" customHeight="1">
      <c r="A101" s="21">
        <v>16</v>
      </c>
      <c r="B101" s="11" t="s">
        <v>81</v>
      </c>
      <c r="C101" s="13"/>
      <c r="D101" s="51" t="s">
        <v>56</v>
      </c>
      <c r="E101" s="57">
        <f>E100</f>
        <v>3455.3</v>
      </c>
      <c r="F101" s="10">
        <f>E101*12</f>
        <v>41463.600000000006</v>
      </c>
      <c r="G101" s="10">
        <v>3.05</v>
      </c>
      <c r="H101" s="71">
        <f>F101*G101/1000</f>
        <v>126.46398000000001</v>
      </c>
      <c r="I101" s="10">
        <f>F101/12*G101</f>
        <v>10538.665000000001</v>
      </c>
    </row>
    <row r="102" spans="1:9" ht="15.75" customHeight="1">
      <c r="A102" s="21"/>
      <c r="B102" s="27" t="s">
        <v>83</v>
      </c>
      <c r="C102" s="76"/>
      <c r="D102" s="74"/>
      <c r="E102" s="75"/>
      <c r="F102" s="75"/>
      <c r="G102" s="75"/>
      <c r="H102" s="73">
        <f>SUM(H101)</f>
        <v>126.46398000000001</v>
      </c>
      <c r="I102" s="75">
        <f>I101+I100+I86+I73+I65+I63+I45+I44+I43+I42+I40+I39+I27+I18+I17+I16</f>
        <v>40674.243238333329</v>
      </c>
    </row>
    <row r="103" spans="1:9" ht="15.75" customHeight="1">
      <c r="A103" s="140" t="s">
        <v>61</v>
      </c>
      <c r="B103" s="141"/>
      <c r="C103" s="141"/>
      <c r="D103" s="141"/>
      <c r="E103" s="141"/>
      <c r="F103" s="141"/>
      <c r="G103" s="141"/>
      <c r="H103" s="141"/>
      <c r="I103" s="142"/>
    </row>
    <row r="104" spans="1:9" ht="30.75" customHeight="1">
      <c r="A104" s="21">
        <v>17</v>
      </c>
      <c r="B104" s="11" t="s">
        <v>252</v>
      </c>
      <c r="C104" s="13" t="s">
        <v>98</v>
      </c>
      <c r="D104" s="34"/>
      <c r="E104" s="10"/>
      <c r="F104" s="10">
        <v>6</v>
      </c>
      <c r="G104" s="26">
        <v>2012.33</v>
      </c>
      <c r="H104" s="71">
        <f t="shared" ref="H104" si="11">G104*F104/1000</f>
        <v>12.073979999999999</v>
      </c>
      <c r="I104" s="10">
        <f>G104*1</f>
        <v>2012.33</v>
      </c>
    </row>
    <row r="105" spans="1:9" ht="31.5" customHeight="1">
      <c r="A105" s="21">
        <v>18</v>
      </c>
      <c r="B105" s="119" t="s">
        <v>201</v>
      </c>
      <c r="C105" s="120" t="s">
        <v>39</v>
      </c>
      <c r="D105" s="34"/>
      <c r="E105" s="10"/>
      <c r="F105" s="10"/>
      <c r="G105" s="121">
        <v>3724.37</v>
      </c>
      <c r="H105" s="71"/>
      <c r="I105" s="10">
        <f>G105*0.02</f>
        <v>74.487399999999994</v>
      </c>
    </row>
    <row r="106" spans="1:9" ht="15.75" customHeight="1">
      <c r="A106" s="21">
        <v>19</v>
      </c>
      <c r="B106" s="39" t="s">
        <v>254</v>
      </c>
      <c r="C106" s="88" t="s">
        <v>253</v>
      </c>
      <c r="D106" s="34"/>
      <c r="E106" s="10"/>
      <c r="F106" s="10"/>
      <c r="G106" s="111">
        <v>1275.68</v>
      </c>
      <c r="H106" s="71"/>
      <c r="I106" s="10">
        <f>G106*0.1</f>
        <v>127.56800000000001</v>
      </c>
    </row>
    <row r="107" spans="1:9" ht="32.25" customHeight="1">
      <c r="A107" s="21">
        <v>20</v>
      </c>
      <c r="B107" s="39" t="s">
        <v>255</v>
      </c>
      <c r="C107" s="88" t="s">
        <v>29</v>
      </c>
      <c r="D107" s="34"/>
      <c r="E107" s="10"/>
      <c r="F107" s="10"/>
      <c r="G107" s="111">
        <v>18798.34</v>
      </c>
      <c r="H107" s="71"/>
      <c r="I107" s="10">
        <f>G107*0.599*5/1000</f>
        <v>56.301028299999999</v>
      </c>
    </row>
    <row r="108" spans="1:9" ht="27.75" customHeight="1">
      <c r="A108" s="21">
        <v>21</v>
      </c>
      <c r="B108" s="39" t="s">
        <v>256</v>
      </c>
      <c r="C108" s="88" t="s">
        <v>98</v>
      </c>
      <c r="D108" s="34"/>
      <c r="E108" s="10"/>
      <c r="F108" s="10"/>
      <c r="G108" s="110">
        <v>86.69</v>
      </c>
      <c r="H108" s="71"/>
      <c r="I108" s="10">
        <f>G108*1</f>
        <v>86.69</v>
      </c>
    </row>
    <row r="109" spans="1:9" ht="17.25" customHeight="1">
      <c r="A109" s="21">
        <v>22</v>
      </c>
      <c r="B109" s="39" t="s">
        <v>240</v>
      </c>
      <c r="C109" s="88" t="s">
        <v>231</v>
      </c>
      <c r="D109" s="34"/>
      <c r="E109" s="10"/>
      <c r="F109" s="10"/>
      <c r="G109" s="110">
        <v>45</v>
      </c>
      <c r="H109" s="71"/>
      <c r="I109" s="10">
        <f>G109*25</f>
        <v>1125</v>
      </c>
    </row>
    <row r="110" spans="1:9">
      <c r="A110" s="21"/>
      <c r="B110" s="32" t="s">
        <v>52</v>
      </c>
      <c r="C110" s="28"/>
      <c r="D110" s="35"/>
      <c r="E110" s="28">
        <v>1</v>
      </c>
      <c r="F110" s="28"/>
      <c r="G110" s="28"/>
      <c r="H110" s="28"/>
      <c r="I110" s="24">
        <f>SUM(I104:I109)</f>
        <v>3482.3764283</v>
      </c>
    </row>
    <row r="111" spans="1:9">
      <c r="A111" s="21"/>
      <c r="B111" s="34" t="s">
        <v>82</v>
      </c>
      <c r="C111" s="12"/>
      <c r="D111" s="12"/>
      <c r="E111" s="29"/>
      <c r="F111" s="29"/>
      <c r="G111" s="30"/>
      <c r="H111" s="30"/>
      <c r="I111" s="14">
        <v>0</v>
      </c>
    </row>
    <row r="112" spans="1:9" ht="15.75" customHeight="1">
      <c r="A112" s="36"/>
      <c r="B112" s="33" t="s">
        <v>184</v>
      </c>
      <c r="C112" s="25"/>
      <c r="D112" s="25"/>
      <c r="E112" s="25"/>
      <c r="F112" s="25"/>
      <c r="G112" s="25"/>
      <c r="H112" s="25"/>
      <c r="I112" s="31">
        <f>I102+I110</f>
        <v>44156.619666633327</v>
      </c>
    </row>
    <row r="113" spans="1:9" ht="15.75">
      <c r="A113" s="136" t="s">
        <v>257</v>
      </c>
      <c r="B113" s="136"/>
      <c r="C113" s="136"/>
      <c r="D113" s="136"/>
      <c r="E113" s="136"/>
      <c r="F113" s="136"/>
      <c r="G113" s="136"/>
      <c r="H113" s="136"/>
      <c r="I113" s="136"/>
    </row>
    <row r="114" spans="1:9" ht="15.75">
      <c r="A114" s="50"/>
      <c r="B114" s="137" t="s">
        <v>258</v>
      </c>
      <c r="C114" s="137"/>
      <c r="D114" s="137"/>
      <c r="E114" s="137"/>
      <c r="F114" s="137"/>
      <c r="G114" s="137"/>
      <c r="H114" s="56"/>
      <c r="I114" s="2"/>
    </row>
    <row r="115" spans="1:9">
      <c r="A115" s="86"/>
      <c r="B115" s="124" t="s">
        <v>6</v>
      </c>
      <c r="C115" s="124"/>
      <c r="D115" s="124"/>
      <c r="E115" s="124"/>
      <c r="F115" s="124"/>
      <c r="G115" s="124"/>
      <c r="H115" s="16"/>
      <c r="I115" s="4"/>
    </row>
    <row r="116" spans="1:9">
      <c r="A116" s="7"/>
      <c r="B116" s="7"/>
      <c r="C116" s="7"/>
      <c r="D116" s="7"/>
      <c r="E116" s="7"/>
      <c r="F116" s="7"/>
      <c r="G116" s="7"/>
      <c r="H116" s="7"/>
      <c r="I116" s="7"/>
    </row>
    <row r="117" spans="1:9" ht="15.75" customHeight="1">
      <c r="A117" s="138" t="s">
        <v>7</v>
      </c>
      <c r="B117" s="138"/>
      <c r="C117" s="138"/>
      <c r="D117" s="138"/>
      <c r="E117" s="138"/>
      <c r="F117" s="138"/>
      <c r="G117" s="138"/>
      <c r="H117" s="138"/>
      <c r="I117" s="138"/>
    </row>
    <row r="118" spans="1:9" ht="15.75" customHeight="1">
      <c r="A118" s="138" t="s">
        <v>8</v>
      </c>
      <c r="B118" s="138"/>
      <c r="C118" s="138"/>
      <c r="D118" s="138"/>
      <c r="E118" s="138"/>
      <c r="F118" s="138"/>
      <c r="G118" s="138"/>
      <c r="H118" s="138"/>
      <c r="I118" s="138"/>
    </row>
    <row r="119" spans="1:9" ht="15.75" customHeight="1">
      <c r="A119" s="139" t="s">
        <v>62</v>
      </c>
      <c r="B119" s="139"/>
      <c r="C119" s="139"/>
      <c r="D119" s="139"/>
      <c r="E119" s="139"/>
      <c r="F119" s="139"/>
      <c r="G119" s="139"/>
      <c r="H119" s="139"/>
      <c r="I119" s="139"/>
    </row>
    <row r="120" spans="1:9" ht="7.5" customHeight="1">
      <c r="A120" s="8"/>
    </row>
    <row r="121" spans="1:9" ht="15.75" customHeight="1">
      <c r="A121" s="128" t="s">
        <v>9</v>
      </c>
      <c r="B121" s="128"/>
      <c r="C121" s="128"/>
      <c r="D121" s="128"/>
      <c r="E121" s="128"/>
      <c r="F121" s="128"/>
      <c r="G121" s="128"/>
      <c r="H121" s="128"/>
      <c r="I121" s="128"/>
    </row>
    <row r="122" spans="1:9" ht="15.75" customHeight="1">
      <c r="A122" s="3"/>
    </row>
    <row r="123" spans="1:9" ht="15.75" customHeight="1">
      <c r="B123" s="84" t="s">
        <v>10</v>
      </c>
      <c r="C123" s="123" t="s">
        <v>158</v>
      </c>
      <c r="D123" s="123"/>
      <c r="E123" s="123"/>
      <c r="F123" s="54"/>
      <c r="I123" s="85"/>
    </row>
    <row r="124" spans="1:9">
      <c r="A124" s="86"/>
      <c r="C124" s="124" t="s">
        <v>11</v>
      </c>
      <c r="D124" s="124"/>
      <c r="E124" s="124"/>
      <c r="F124" s="16"/>
      <c r="I124" s="83" t="s">
        <v>12</v>
      </c>
    </row>
    <row r="125" spans="1:9" ht="8.25" customHeight="1">
      <c r="A125" s="17"/>
      <c r="C125" s="9"/>
      <c r="D125" s="9"/>
      <c r="G125" s="9"/>
      <c r="H125" s="9"/>
    </row>
    <row r="126" spans="1:9" ht="15.75">
      <c r="B126" s="84" t="s">
        <v>13</v>
      </c>
      <c r="C126" s="125"/>
      <c r="D126" s="125"/>
      <c r="E126" s="125"/>
      <c r="F126" s="55"/>
      <c r="I126" s="85"/>
    </row>
    <row r="127" spans="1:9">
      <c r="A127" s="86"/>
      <c r="C127" s="126" t="s">
        <v>11</v>
      </c>
      <c r="D127" s="126"/>
      <c r="E127" s="126"/>
      <c r="F127" s="86"/>
      <c r="I127" s="83" t="s">
        <v>12</v>
      </c>
    </row>
    <row r="128" spans="1:9" ht="15.75">
      <c r="A128" s="3" t="s">
        <v>14</v>
      </c>
    </row>
    <row r="129" spans="1:9">
      <c r="A129" s="127" t="s">
        <v>15</v>
      </c>
      <c r="B129" s="127"/>
      <c r="C129" s="127"/>
      <c r="D129" s="127"/>
      <c r="E129" s="127"/>
      <c r="F129" s="127"/>
      <c r="G129" s="127"/>
      <c r="H129" s="127"/>
      <c r="I129" s="127"/>
    </row>
    <row r="130" spans="1:9" ht="45" customHeight="1">
      <c r="A130" s="122" t="s">
        <v>16</v>
      </c>
      <c r="B130" s="122"/>
      <c r="C130" s="122"/>
      <c r="D130" s="122"/>
      <c r="E130" s="122"/>
      <c r="F130" s="122"/>
      <c r="G130" s="122"/>
      <c r="H130" s="122"/>
      <c r="I130" s="122"/>
    </row>
    <row r="131" spans="1:9" ht="30" customHeight="1">
      <c r="A131" s="122" t="s">
        <v>17</v>
      </c>
      <c r="B131" s="122"/>
      <c r="C131" s="122"/>
      <c r="D131" s="122"/>
      <c r="E131" s="122"/>
      <c r="F131" s="122"/>
      <c r="G131" s="122"/>
      <c r="H131" s="122"/>
      <c r="I131" s="122"/>
    </row>
    <row r="132" spans="1:9" ht="30" customHeight="1">
      <c r="A132" s="122" t="s">
        <v>21</v>
      </c>
      <c r="B132" s="122"/>
      <c r="C132" s="122"/>
      <c r="D132" s="122"/>
      <c r="E132" s="122"/>
      <c r="F132" s="122"/>
      <c r="G132" s="122"/>
      <c r="H132" s="122"/>
      <c r="I132" s="122"/>
    </row>
    <row r="133" spans="1:9" ht="15" customHeight="1">
      <c r="A133" s="122" t="s">
        <v>20</v>
      </c>
      <c r="B133" s="122"/>
      <c r="C133" s="122"/>
      <c r="D133" s="122"/>
      <c r="E133" s="122"/>
      <c r="F133" s="122"/>
      <c r="G133" s="122"/>
      <c r="H133" s="122"/>
      <c r="I133" s="122"/>
    </row>
  </sheetData>
  <mergeCells count="28">
    <mergeCell ref="A130:I130"/>
    <mergeCell ref="A131:I131"/>
    <mergeCell ref="A132:I132"/>
    <mergeCell ref="A133:I133"/>
    <mergeCell ref="A121:I121"/>
    <mergeCell ref="C123:E123"/>
    <mergeCell ref="C124:E124"/>
    <mergeCell ref="C126:E126"/>
    <mergeCell ref="C127:E127"/>
    <mergeCell ref="A129:I129"/>
    <mergeCell ref="A119:I119"/>
    <mergeCell ref="A15:I15"/>
    <mergeCell ref="A29:I29"/>
    <mergeCell ref="A46:I46"/>
    <mergeCell ref="A58:I58"/>
    <mergeCell ref="A99:I99"/>
    <mergeCell ref="A103:I103"/>
    <mergeCell ref="A113:I113"/>
    <mergeCell ref="B114:G114"/>
    <mergeCell ref="B115:G115"/>
    <mergeCell ref="A117:I117"/>
    <mergeCell ref="A118:I118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5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29"/>
  <sheetViews>
    <sheetView tabSelected="1" topLeftCell="A73" workbookViewId="0">
      <selection activeCell="B110" sqref="B110:G1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259</v>
      </c>
      <c r="I1" s="18"/>
    </row>
    <row r="2" spans="1:9" ht="15.75">
      <c r="A2" s="20" t="s">
        <v>63</v>
      </c>
    </row>
    <row r="3" spans="1:9" ht="15.75">
      <c r="A3" s="144" t="s">
        <v>190</v>
      </c>
      <c r="B3" s="144"/>
      <c r="C3" s="144"/>
      <c r="D3" s="144"/>
      <c r="E3" s="144"/>
      <c r="F3" s="144"/>
      <c r="G3" s="144"/>
      <c r="H3" s="144"/>
      <c r="I3" s="144"/>
    </row>
    <row r="4" spans="1:9" ht="31.5" customHeight="1">
      <c r="A4" s="145" t="s">
        <v>154</v>
      </c>
      <c r="B4" s="145"/>
      <c r="C4" s="145"/>
      <c r="D4" s="145"/>
      <c r="E4" s="145"/>
      <c r="F4" s="145"/>
      <c r="G4" s="145"/>
      <c r="H4" s="145"/>
      <c r="I4" s="145"/>
    </row>
    <row r="5" spans="1:9" ht="15.75">
      <c r="A5" s="144" t="s">
        <v>260</v>
      </c>
      <c r="B5" s="146"/>
      <c r="C5" s="146"/>
      <c r="D5" s="146"/>
      <c r="E5" s="146"/>
      <c r="F5" s="146"/>
      <c r="G5" s="146"/>
      <c r="H5" s="146"/>
      <c r="I5" s="146"/>
    </row>
    <row r="6" spans="1:9" ht="15.75">
      <c r="A6" s="1"/>
      <c r="B6" s="82"/>
      <c r="C6" s="82"/>
      <c r="D6" s="82"/>
      <c r="E6" s="82"/>
      <c r="F6" s="82"/>
      <c r="G6" s="82"/>
      <c r="H6" s="82"/>
      <c r="I6" s="22">
        <v>43465</v>
      </c>
    </row>
    <row r="7" spans="1:9" ht="15.75">
      <c r="B7" s="84"/>
      <c r="C7" s="84"/>
      <c r="D7" s="84"/>
      <c r="E7" s="2"/>
      <c r="F7" s="2"/>
      <c r="G7" s="2"/>
      <c r="H7" s="2"/>
    </row>
    <row r="8" spans="1:9" ht="78.75" customHeight="1">
      <c r="A8" s="147" t="s">
        <v>222</v>
      </c>
      <c r="B8" s="147"/>
      <c r="C8" s="147"/>
      <c r="D8" s="147"/>
      <c r="E8" s="147"/>
      <c r="F8" s="147"/>
      <c r="G8" s="147"/>
      <c r="H8" s="147"/>
      <c r="I8" s="147"/>
    </row>
    <row r="9" spans="1:9" ht="15.75">
      <c r="A9" s="3"/>
    </row>
    <row r="10" spans="1:9" ht="47.25" customHeight="1">
      <c r="A10" s="148" t="s">
        <v>183</v>
      </c>
      <c r="B10" s="148"/>
      <c r="C10" s="148"/>
      <c r="D10" s="148"/>
      <c r="E10" s="148"/>
      <c r="F10" s="148"/>
      <c r="G10" s="148"/>
      <c r="H10" s="148"/>
      <c r="I10" s="148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3" t="s">
        <v>60</v>
      </c>
      <c r="B14" s="143"/>
      <c r="C14" s="143"/>
      <c r="D14" s="143"/>
      <c r="E14" s="143"/>
      <c r="F14" s="143"/>
      <c r="G14" s="143"/>
      <c r="H14" s="143"/>
      <c r="I14" s="143"/>
    </row>
    <row r="15" spans="1:9" ht="15.75" customHeight="1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</row>
    <row r="16" spans="1:9" ht="15.75" customHeight="1">
      <c r="A16" s="21">
        <v>1</v>
      </c>
      <c r="B16" s="40" t="s">
        <v>110</v>
      </c>
      <c r="C16" s="41" t="s">
        <v>89</v>
      </c>
      <c r="D16" s="40" t="s">
        <v>155</v>
      </c>
      <c r="E16" s="57">
        <v>70.7</v>
      </c>
      <c r="F16" s="42">
        <f>SUM(E16*156/100)</f>
        <v>110.292</v>
      </c>
      <c r="G16" s="42">
        <v>199.46</v>
      </c>
      <c r="H16" s="58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40" t="s">
        <v>121</v>
      </c>
      <c r="C17" s="41" t="s">
        <v>89</v>
      </c>
      <c r="D17" s="40" t="s">
        <v>156</v>
      </c>
      <c r="E17" s="57">
        <v>282.8</v>
      </c>
      <c r="F17" s="42">
        <f>SUM(E17*104/100)</f>
        <v>294.11200000000002</v>
      </c>
      <c r="G17" s="42">
        <v>199.46</v>
      </c>
      <c r="H17" s="58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40" t="s">
        <v>122</v>
      </c>
      <c r="C18" s="41" t="s">
        <v>89</v>
      </c>
      <c r="D18" s="40" t="s">
        <v>157</v>
      </c>
      <c r="E18" s="57">
        <f>SUM(E16+E17)</f>
        <v>353.5</v>
      </c>
      <c r="F18" s="42">
        <f>SUM(E18*24/100)</f>
        <v>84.84</v>
      </c>
      <c r="G18" s="42">
        <v>573.83000000000004</v>
      </c>
      <c r="H18" s="58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1"/>
      <c r="B19" s="40" t="s">
        <v>111</v>
      </c>
      <c r="C19" s="41" t="s">
        <v>112</v>
      </c>
      <c r="D19" s="40" t="s">
        <v>113</v>
      </c>
      <c r="E19" s="57">
        <v>40</v>
      </c>
      <c r="F19" s="42">
        <f>SUM(E19/10)</f>
        <v>4</v>
      </c>
      <c r="G19" s="42">
        <v>193.55</v>
      </c>
      <c r="H19" s="58">
        <f t="shared" si="0"/>
        <v>0.7742</v>
      </c>
      <c r="I19" s="10">
        <v>0</v>
      </c>
    </row>
    <row r="20" spans="1:9" ht="15.75" hidden="1" customHeight="1">
      <c r="A20" s="21"/>
      <c r="B20" s="40" t="s">
        <v>114</v>
      </c>
      <c r="C20" s="41" t="s">
        <v>89</v>
      </c>
      <c r="D20" s="40" t="s">
        <v>43</v>
      </c>
      <c r="E20" s="57">
        <v>10.5</v>
      </c>
      <c r="F20" s="42">
        <f>E20*2/100</f>
        <v>0.21</v>
      </c>
      <c r="G20" s="42">
        <v>247.82</v>
      </c>
      <c r="H20" s="58">
        <f t="shared" si="0"/>
        <v>5.2042199999999997E-2</v>
      </c>
      <c r="I20" s="10">
        <v>0</v>
      </c>
    </row>
    <row r="21" spans="1:9" ht="15.75" hidden="1" customHeight="1">
      <c r="A21" s="21"/>
      <c r="B21" s="40" t="s">
        <v>115</v>
      </c>
      <c r="C21" s="41" t="s">
        <v>89</v>
      </c>
      <c r="D21" s="40" t="s">
        <v>43</v>
      </c>
      <c r="E21" s="57">
        <v>2.7</v>
      </c>
      <c r="F21" s="42">
        <f>SUM(E21*2/100)</f>
        <v>5.4000000000000006E-2</v>
      </c>
      <c r="G21" s="42">
        <v>245.81</v>
      </c>
      <c r="H21" s="58">
        <f t="shared" si="0"/>
        <v>1.3273740000000003E-2</v>
      </c>
      <c r="I21" s="10">
        <v>0</v>
      </c>
    </row>
    <row r="22" spans="1:9" ht="15.75" hidden="1" customHeight="1">
      <c r="A22" s="21"/>
      <c r="B22" s="40" t="s">
        <v>116</v>
      </c>
      <c r="C22" s="41" t="s">
        <v>53</v>
      </c>
      <c r="D22" s="40" t="s">
        <v>113</v>
      </c>
      <c r="E22" s="57">
        <v>357</v>
      </c>
      <c r="F22" s="42">
        <f>SUM(E22/100)</f>
        <v>3.57</v>
      </c>
      <c r="G22" s="42">
        <v>306.26</v>
      </c>
      <c r="H22" s="58">
        <f t="shared" si="0"/>
        <v>1.0933481999999999</v>
      </c>
      <c r="I22" s="10">
        <v>0</v>
      </c>
    </row>
    <row r="23" spans="1:9" ht="15.75" hidden="1" customHeight="1">
      <c r="A23" s="21"/>
      <c r="B23" s="40" t="s">
        <v>117</v>
      </c>
      <c r="C23" s="41" t="s">
        <v>53</v>
      </c>
      <c r="D23" s="40" t="s">
        <v>113</v>
      </c>
      <c r="E23" s="60">
        <v>38.64</v>
      </c>
      <c r="F23" s="42">
        <f>SUM(E23/100)</f>
        <v>0.38640000000000002</v>
      </c>
      <c r="G23" s="42">
        <v>50.37</v>
      </c>
      <c r="H23" s="58">
        <f t="shared" si="0"/>
        <v>1.9462968000000001E-2</v>
      </c>
      <c r="I23" s="10">
        <v>0</v>
      </c>
    </row>
    <row r="24" spans="1:9" ht="15.75" hidden="1" customHeight="1">
      <c r="A24" s="21"/>
      <c r="B24" s="40" t="s">
        <v>118</v>
      </c>
      <c r="C24" s="41" t="s">
        <v>53</v>
      </c>
      <c r="D24" s="40" t="s">
        <v>123</v>
      </c>
      <c r="E24" s="57">
        <v>15</v>
      </c>
      <c r="F24" s="42">
        <f>E24/100</f>
        <v>0.15</v>
      </c>
      <c r="G24" s="42">
        <v>443.27</v>
      </c>
      <c r="H24" s="58">
        <f t="shared" si="0"/>
        <v>6.6490499999999994E-2</v>
      </c>
      <c r="I24" s="10">
        <v>0</v>
      </c>
    </row>
    <row r="25" spans="1:9" ht="15.75" hidden="1" customHeight="1">
      <c r="A25" s="21"/>
      <c r="B25" s="40" t="s">
        <v>124</v>
      </c>
      <c r="C25" s="41" t="s">
        <v>89</v>
      </c>
      <c r="D25" s="40" t="s">
        <v>54</v>
      </c>
      <c r="E25" s="57">
        <v>14.25</v>
      </c>
      <c r="F25" s="42">
        <v>0.1</v>
      </c>
      <c r="G25" s="42">
        <v>245.81</v>
      </c>
      <c r="H25" s="58">
        <v>3.1E-2</v>
      </c>
      <c r="I25" s="10">
        <v>0</v>
      </c>
    </row>
    <row r="26" spans="1:9" ht="15.75" hidden="1" customHeight="1">
      <c r="A26" s="21"/>
      <c r="B26" s="40" t="s">
        <v>125</v>
      </c>
      <c r="C26" s="41" t="s">
        <v>53</v>
      </c>
      <c r="D26" s="40" t="s">
        <v>113</v>
      </c>
      <c r="E26" s="57">
        <v>6.38</v>
      </c>
      <c r="F26" s="42">
        <f>SUM(E26/100)</f>
        <v>6.3799999999999996E-2</v>
      </c>
      <c r="G26" s="42">
        <v>592.37</v>
      </c>
      <c r="H26" s="58">
        <f t="shared" si="0"/>
        <v>3.7793205999999996E-2</v>
      </c>
      <c r="I26" s="10">
        <v>0</v>
      </c>
    </row>
    <row r="27" spans="1:9" ht="15.75" customHeight="1">
      <c r="A27" s="21">
        <v>4</v>
      </c>
      <c r="B27" s="40" t="s">
        <v>65</v>
      </c>
      <c r="C27" s="41" t="s">
        <v>33</v>
      </c>
      <c r="D27" s="40"/>
      <c r="E27" s="57">
        <v>0.1</v>
      </c>
      <c r="F27" s="42">
        <f>SUM(E27*365)</f>
        <v>36.5</v>
      </c>
      <c r="G27" s="42">
        <v>167.24</v>
      </c>
      <c r="H27" s="58">
        <f>SUM(F27*G27/1000)</f>
        <v>6.10426</v>
      </c>
      <c r="I27" s="10">
        <f>F27/12*G27</f>
        <v>508.68833333333333</v>
      </c>
    </row>
    <row r="28" spans="1:9" ht="15.75" hidden="1" customHeight="1">
      <c r="A28" s="21">
        <v>5</v>
      </c>
      <c r="B28" s="64" t="s">
        <v>23</v>
      </c>
      <c r="C28" s="41" t="s">
        <v>24</v>
      </c>
      <c r="D28" s="40"/>
      <c r="E28" s="57">
        <v>2661.7</v>
      </c>
      <c r="F28" s="42">
        <f>SUM(E28*12)</f>
        <v>31940.399999999998</v>
      </c>
      <c r="G28" s="42">
        <v>5.58</v>
      </c>
      <c r="H28" s="58">
        <f>SUM(F28*G28/1000)</f>
        <v>178.22743199999999</v>
      </c>
      <c r="I28" s="10">
        <f>F28/12*G28</f>
        <v>14852.286</v>
      </c>
    </row>
    <row r="29" spans="1:9" ht="15.75" customHeight="1">
      <c r="A29" s="129" t="s">
        <v>87</v>
      </c>
      <c r="B29" s="129"/>
      <c r="C29" s="129"/>
      <c r="D29" s="129"/>
      <c r="E29" s="129"/>
      <c r="F29" s="129"/>
      <c r="G29" s="129"/>
      <c r="H29" s="129"/>
      <c r="I29" s="129"/>
    </row>
    <row r="30" spans="1:9" ht="15.75" hidden="1" customHeight="1">
      <c r="A30" s="21"/>
      <c r="B30" s="78" t="s">
        <v>28</v>
      </c>
      <c r="C30" s="41"/>
      <c r="D30" s="40"/>
      <c r="E30" s="57"/>
      <c r="F30" s="42"/>
      <c r="G30" s="42"/>
      <c r="H30" s="58"/>
      <c r="I30" s="62"/>
    </row>
    <row r="31" spans="1:9" ht="15.75" hidden="1" customHeight="1">
      <c r="A31" s="21">
        <v>6</v>
      </c>
      <c r="B31" s="40" t="s">
        <v>97</v>
      </c>
      <c r="C31" s="41" t="s">
        <v>91</v>
      </c>
      <c r="D31" s="40" t="s">
        <v>187</v>
      </c>
      <c r="E31" s="42">
        <v>573.6</v>
      </c>
      <c r="F31" s="42">
        <f>SUM(E31*52/1000)</f>
        <v>29.827200000000001</v>
      </c>
      <c r="G31" s="42">
        <v>177.3</v>
      </c>
      <c r="H31" s="58">
        <f t="shared" ref="H31:H37" si="2">SUM(F31*G31/1000)</f>
        <v>5.2883625600000004</v>
      </c>
      <c r="I31" s="10">
        <f>F31/6*G31</f>
        <v>881.39376000000016</v>
      </c>
    </row>
    <row r="32" spans="1:9" ht="31.5" hidden="1" customHeight="1">
      <c r="A32" s="21">
        <v>7</v>
      </c>
      <c r="B32" s="40" t="s">
        <v>170</v>
      </c>
      <c r="C32" s="41" t="s">
        <v>91</v>
      </c>
      <c r="D32" s="40" t="s">
        <v>188</v>
      </c>
      <c r="E32" s="42">
        <v>200</v>
      </c>
      <c r="F32" s="42">
        <f>SUM(E32*78/1000)</f>
        <v>15.6</v>
      </c>
      <c r="G32" s="42">
        <v>294.17</v>
      </c>
      <c r="H32" s="58">
        <f t="shared" si="2"/>
        <v>4.5890520000000006</v>
      </c>
      <c r="I32" s="10">
        <f t="shared" ref="I32:I35" si="3">F32/6*G32</f>
        <v>764.8420000000001</v>
      </c>
    </row>
    <row r="33" spans="1:9" ht="15.75" hidden="1" customHeight="1">
      <c r="A33" s="21">
        <v>16</v>
      </c>
      <c r="B33" s="40" t="s">
        <v>27</v>
      </c>
      <c r="C33" s="41" t="s">
        <v>91</v>
      </c>
      <c r="D33" s="40" t="s">
        <v>54</v>
      </c>
      <c r="E33" s="42">
        <v>573.6</v>
      </c>
      <c r="F33" s="42">
        <f>SUM(E33/1000)</f>
        <v>0.5736</v>
      </c>
      <c r="G33" s="42">
        <v>3435.36</v>
      </c>
      <c r="H33" s="58">
        <f t="shared" si="2"/>
        <v>1.9705224960000001</v>
      </c>
      <c r="I33" s="10">
        <v>0</v>
      </c>
    </row>
    <row r="34" spans="1:9" ht="15.75" hidden="1" customHeight="1">
      <c r="A34" s="21">
        <v>8</v>
      </c>
      <c r="B34" s="40" t="s">
        <v>128</v>
      </c>
      <c r="C34" s="41" t="s">
        <v>41</v>
      </c>
      <c r="D34" s="40" t="s">
        <v>64</v>
      </c>
      <c r="E34" s="42">
        <v>1</v>
      </c>
      <c r="F34" s="42">
        <v>1.55</v>
      </c>
      <c r="G34" s="42">
        <v>1480.94</v>
      </c>
      <c r="H34" s="58">
        <f>G34*F34/1000</f>
        <v>2.2954570000000003</v>
      </c>
      <c r="I34" s="10">
        <f t="shared" si="3"/>
        <v>382.57616666666672</v>
      </c>
    </row>
    <row r="35" spans="1:9" ht="15.75" hidden="1" customHeight="1">
      <c r="A35" s="21">
        <v>9</v>
      </c>
      <c r="B35" s="40" t="s">
        <v>96</v>
      </c>
      <c r="C35" s="41" t="s">
        <v>31</v>
      </c>
      <c r="D35" s="40" t="s">
        <v>64</v>
      </c>
      <c r="E35" s="63">
        <v>0.33333333333333331</v>
      </c>
      <c r="F35" s="42">
        <f>155/3</f>
        <v>51.666666666666664</v>
      </c>
      <c r="G35" s="42">
        <v>64.48</v>
      </c>
      <c r="H35" s="58">
        <f>SUM(G35*155/3/1000)</f>
        <v>3.331466666666667</v>
      </c>
      <c r="I35" s="10">
        <f t="shared" si="3"/>
        <v>555.24444444444441</v>
      </c>
    </row>
    <row r="36" spans="1:9" ht="15.75" hidden="1" customHeight="1">
      <c r="A36" s="21"/>
      <c r="B36" s="40" t="s">
        <v>66</v>
      </c>
      <c r="C36" s="41" t="s">
        <v>33</v>
      </c>
      <c r="D36" s="40" t="s">
        <v>68</v>
      </c>
      <c r="E36" s="57"/>
      <c r="F36" s="42">
        <v>3</v>
      </c>
      <c r="G36" s="42">
        <v>217.61</v>
      </c>
      <c r="H36" s="58">
        <f t="shared" si="2"/>
        <v>0.65283000000000002</v>
      </c>
      <c r="I36" s="10">
        <v>0</v>
      </c>
    </row>
    <row r="37" spans="1:9" ht="15.75" hidden="1" customHeight="1">
      <c r="A37" s="21"/>
      <c r="B37" s="40" t="s">
        <v>67</v>
      </c>
      <c r="C37" s="41" t="s">
        <v>32</v>
      </c>
      <c r="D37" s="40" t="s">
        <v>68</v>
      </c>
      <c r="E37" s="57"/>
      <c r="F37" s="42">
        <v>2</v>
      </c>
      <c r="G37" s="42">
        <v>1292.47</v>
      </c>
      <c r="H37" s="58">
        <f t="shared" si="2"/>
        <v>2.58494</v>
      </c>
      <c r="I37" s="10">
        <v>0</v>
      </c>
    </row>
    <row r="38" spans="1:9" ht="15.75" customHeight="1">
      <c r="A38" s="21"/>
      <c r="B38" s="78" t="s">
        <v>5</v>
      </c>
      <c r="C38" s="41"/>
      <c r="D38" s="40"/>
      <c r="E38" s="57"/>
      <c r="F38" s="42"/>
      <c r="G38" s="42"/>
      <c r="H38" s="58" t="s">
        <v>166</v>
      </c>
      <c r="I38" s="62"/>
    </row>
    <row r="39" spans="1:9" ht="15.75" customHeight="1">
      <c r="A39" s="21">
        <v>5</v>
      </c>
      <c r="B39" s="40" t="s">
        <v>26</v>
      </c>
      <c r="C39" s="41" t="s">
        <v>32</v>
      </c>
      <c r="D39" s="40"/>
      <c r="E39" s="57"/>
      <c r="F39" s="42">
        <v>8</v>
      </c>
      <c r="G39" s="42">
        <v>1737.08</v>
      </c>
      <c r="H39" s="58">
        <f t="shared" ref="H39:H45" si="4">SUM(F39*G39/1000)</f>
        <v>13.89664</v>
      </c>
      <c r="I39" s="10">
        <f>F39/6*G39</f>
        <v>2316.1066666666666</v>
      </c>
    </row>
    <row r="40" spans="1:9" ht="15.75" customHeight="1">
      <c r="A40" s="21">
        <v>6</v>
      </c>
      <c r="B40" s="40" t="s">
        <v>69</v>
      </c>
      <c r="C40" s="41" t="s">
        <v>29</v>
      </c>
      <c r="D40" s="40" t="s">
        <v>105</v>
      </c>
      <c r="E40" s="42">
        <v>200</v>
      </c>
      <c r="F40" s="42">
        <f>SUM(E40*30/1000)</f>
        <v>6</v>
      </c>
      <c r="G40" s="42">
        <v>2391.67</v>
      </c>
      <c r="H40" s="58">
        <f t="shared" si="4"/>
        <v>14.350020000000001</v>
      </c>
      <c r="I40" s="10">
        <f>F40/6*G40</f>
        <v>2391.67</v>
      </c>
    </row>
    <row r="41" spans="1:9" ht="15.75" hidden="1" customHeight="1">
      <c r="A41" s="21"/>
      <c r="B41" s="40" t="s">
        <v>129</v>
      </c>
      <c r="C41" s="41" t="s">
        <v>55</v>
      </c>
      <c r="D41" s="40"/>
      <c r="E41" s="57"/>
      <c r="F41" s="42">
        <v>130</v>
      </c>
      <c r="G41" s="42">
        <v>226.84</v>
      </c>
      <c r="H41" s="58">
        <f t="shared" si="4"/>
        <v>29.4892</v>
      </c>
      <c r="I41" s="10">
        <v>0</v>
      </c>
    </row>
    <row r="42" spans="1:9" ht="15.75" customHeight="1">
      <c r="A42" s="21">
        <v>7</v>
      </c>
      <c r="B42" s="40" t="s">
        <v>70</v>
      </c>
      <c r="C42" s="41" t="s">
        <v>29</v>
      </c>
      <c r="D42" s="40" t="s">
        <v>90</v>
      </c>
      <c r="E42" s="42">
        <v>60</v>
      </c>
      <c r="F42" s="42">
        <f>SUM(E42*155/1000)</f>
        <v>9.3000000000000007</v>
      </c>
      <c r="G42" s="42">
        <v>398.95</v>
      </c>
      <c r="H42" s="58">
        <f t="shared" si="4"/>
        <v>3.7102349999999999</v>
      </c>
      <c r="I42" s="10">
        <f t="shared" ref="I42:I43" si="5">F42/6*G42</f>
        <v>618.37249999999995</v>
      </c>
    </row>
    <row r="43" spans="1:9" ht="47.25" customHeight="1">
      <c r="A43" s="21">
        <v>8</v>
      </c>
      <c r="B43" s="40" t="s">
        <v>86</v>
      </c>
      <c r="C43" s="41" t="s">
        <v>91</v>
      </c>
      <c r="D43" s="40" t="s">
        <v>130</v>
      </c>
      <c r="E43" s="42">
        <v>40.9</v>
      </c>
      <c r="F43" s="42">
        <f>SUM(E43*35/1000)</f>
        <v>1.4315</v>
      </c>
      <c r="G43" s="42">
        <v>6600.74</v>
      </c>
      <c r="H43" s="58">
        <f t="shared" si="4"/>
        <v>9.4489593099999993</v>
      </c>
      <c r="I43" s="10">
        <f t="shared" si="5"/>
        <v>1574.8265516666668</v>
      </c>
    </row>
    <row r="44" spans="1:9" ht="15.75" customHeight="1">
      <c r="A44" s="21">
        <v>9</v>
      </c>
      <c r="B44" s="40" t="s">
        <v>92</v>
      </c>
      <c r="C44" s="41" t="s">
        <v>91</v>
      </c>
      <c r="D44" s="40" t="s">
        <v>71</v>
      </c>
      <c r="E44" s="42">
        <v>60</v>
      </c>
      <c r="F44" s="42">
        <f>SUM(E44*45/1000)</f>
        <v>2.7</v>
      </c>
      <c r="G44" s="42">
        <v>487.61</v>
      </c>
      <c r="H44" s="58">
        <f t="shared" si="4"/>
        <v>1.3165470000000001</v>
      </c>
      <c r="I44" s="10">
        <f>F44/7.5*1.5*G44</f>
        <v>263.30940000000004</v>
      </c>
    </row>
    <row r="45" spans="1:9" ht="15.75" customHeight="1">
      <c r="A45" s="21">
        <v>10</v>
      </c>
      <c r="B45" s="40" t="s">
        <v>72</v>
      </c>
      <c r="C45" s="41" t="s">
        <v>33</v>
      </c>
      <c r="D45" s="40"/>
      <c r="E45" s="57"/>
      <c r="F45" s="42">
        <v>0.9</v>
      </c>
      <c r="G45" s="42">
        <v>907.65</v>
      </c>
      <c r="H45" s="58">
        <f t="shared" si="4"/>
        <v>0.81688499999999997</v>
      </c>
      <c r="I45" s="10">
        <f>F45/7.5*1.5*G45</f>
        <v>163.37700000000001</v>
      </c>
    </row>
    <row r="46" spans="1:9" ht="15.75" customHeight="1">
      <c r="A46" s="130" t="s">
        <v>159</v>
      </c>
      <c r="B46" s="131"/>
      <c r="C46" s="131"/>
      <c r="D46" s="131"/>
      <c r="E46" s="131"/>
      <c r="F46" s="131"/>
      <c r="G46" s="131"/>
      <c r="H46" s="131"/>
      <c r="I46" s="132"/>
    </row>
    <row r="47" spans="1:9" ht="15.75" hidden="1" customHeight="1">
      <c r="A47" s="21"/>
      <c r="B47" s="40" t="s">
        <v>167</v>
      </c>
      <c r="C47" s="41" t="s">
        <v>91</v>
      </c>
      <c r="D47" s="40" t="s">
        <v>43</v>
      </c>
      <c r="E47" s="57">
        <v>1300.5</v>
      </c>
      <c r="F47" s="42">
        <f>SUM(E47/1000)*2</f>
        <v>2.601</v>
      </c>
      <c r="G47" s="10">
        <v>1173.18</v>
      </c>
      <c r="H47" s="58">
        <f t="shared" ref="H47:H57" si="6">SUM(F47*G47/1000)</f>
        <v>3.0514411800000003</v>
      </c>
      <c r="I47" s="10">
        <v>0</v>
      </c>
    </row>
    <row r="48" spans="1:9" ht="15.75" hidden="1" customHeight="1">
      <c r="A48" s="21"/>
      <c r="B48" s="40" t="s">
        <v>36</v>
      </c>
      <c r="C48" s="41" t="s">
        <v>91</v>
      </c>
      <c r="D48" s="40" t="s">
        <v>43</v>
      </c>
      <c r="E48" s="57">
        <v>52</v>
      </c>
      <c r="F48" s="42">
        <f>SUM(E48*2/1000)</f>
        <v>0.104</v>
      </c>
      <c r="G48" s="10">
        <v>659.09</v>
      </c>
      <c r="H48" s="58">
        <f t="shared" si="6"/>
        <v>6.854536E-2</v>
      </c>
      <c r="I48" s="10">
        <v>0</v>
      </c>
    </row>
    <row r="49" spans="1:9" ht="15.75" hidden="1" customHeight="1">
      <c r="A49" s="21"/>
      <c r="B49" s="40" t="s">
        <v>37</v>
      </c>
      <c r="C49" s="41" t="s">
        <v>91</v>
      </c>
      <c r="D49" s="40" t="s">
        <v>43</v>
      </c>
      <c r="E49" s="57">
        <v>1483.1</v>
      </c>
      <c r="F49" s="42">
        <f>SUM(E49*2/1000)</f>
        <v>2.9661999999999997</v>
      </c>
      <c r="G49" s="10">
        <v>1564.24</v>
      </c>
      <c r="H49" s="58">
        <f t="shared" si="6"/>
        <v>4.6398486879999998</v>
      </c>
      <c r="I49" s="10">
        <v>0</v>
      </c>
    </row>
    <row r="50" spans="1:9" ht="15.75" hidden="1" customHeight="1">
      <c r="A50" s="21"/>
      <c r="B50" s="40" t="s">
        <v>38</v>
      </c>
      <c r="C50" s="41" t="s">
        <v>91</v>
      </c>
      <c r="D50" s="40" t="s">
        <v>43</v>
      </c>
      <c r="E50" s="57">
        <v>2320</v>
      </c>
      <c r="F50" s="42">
        <f>SUM(E50*2/1000)</f>
        <v>4.6399999999999997</v>
      </c>
      <c r="G50" s="10">
        <v>1078.3599999999999</v>
      </c>
      <c r="H50" s="58">
        <f t="shared" si="6"/>
        <v>5.0035903999999993</v>
      </c>
      <c r="I50" s="10">
        <v>0</v>
      </c>
    </row>
    <row r="51" spans="1:9" ht="15.75" hidden="1" customHeight="1">
      <c r="A51" s="21"/>
      <c r="B51" s="40" t="s">
        <v>34</v>
      </c>
      <c r="C51" s="41" t="s">
        <v>35</v>
      </c>
      <c r="D51" s="40" t="s">
        <v>43</v>
      </c>
      <c r="E51" s="57">
        <v>91.84</v>
      </c>
      <c r="F51" s="42">
        <f>SUM(E51*2/100)</f>
        <v>1.8368</v>
      </c>
      <c r="G51" s="10">
        <v>82.82</v>
      </c>
      <c r="H51" s="58">
        <f t="shared" si="6"/>
        <v>0.15212377599999999</v>
      </c>
      <c r="I51" s="10">
        <v>0</v>
      </c>
    </row>
    <row r="52" spans="1:9" ht="15.75" customHeight="1">
      <c r="A52" s="21">
        <v>11</v>
      </c>
      <c r="B52" s="40" t="s">
        <v>57</v>
      </c>
      <c r="C52" s="41" t="s">
        <v>91</v>
      </c>
      <c r="D52" s="40" t="s">
        <v>171</v>
      </c>
      <c r="E52" s="57">
        <v>1040.4000000000001</v>
      </c>
      <c r="F52" s="42">
        <f>SUM(E52*5/1000)</f>
        <v>5.202</v>
      </c>
      <c r="G52" s="10">
        <v>1564.24</v>
      </c>
      <c r="H52" s="58">
        <f>SUM(F52*G52/1000)</f>
        <v>8.1371764800000008</v>
      </c>
      <c r="I52" s="10">
        <f>F52/5*G52</f>
        <v>1627.4352960000001</v>
      </c>
    </row>
    <row r="53" spans="1:9" ht="31.5" hidden="1" customHeight="1">
      <c r="A53" s="21">
        <v>10</v>
      </c>
      <c r="B53" s="40" t="s">
        <v>93</v>
      </c>
      <c r="C53" s="41" t="s">
        <v>91</v>
      </c>
      <c r="D53" s="40" t="s">
        <v>43</v>
      </c>
      <c r="E53" s="57">
        <v>1040.4000000000001</v>
      </c>
      <c r="F53" s="42">
        <f>SUM(E53*2/1000)</f>
        <v>2.0808</v>
      </c>
      <c r="G53" s="10">
        <v>1380.31</v>
      </c>
      <c r="H53" s="58">
        <f t="shared" si="6"/>
        <v>2.8721490479999998</v>
      </c>
      <c r="I53" s="10">
        <f>F53/2*G53</f>
        <v>1436.0745239999999</v>
      </c>
    </row>
    <row r="54" spans="1:9" ht="31.5" hidden="1" customHeight="1">
      <c r="A54" s="21">
        <v>11</v>
      </c>
      <c r="B54" s="40" t="s">
        <v>94</v>
      </c>
      <c r="C54" s="41" t="s">
        <v>39</v>
      </c>
      <c r="D54" s="40" t="s">
        <v>43</v>
      </c>
      <c r="E54" s="57">
        <v>20</v>
      </c>
      <c r="F54" s="42">
        <f>SUM(E54*2/100)</f>
        <v>0.4</v>
      </c>
      <c r="G54" s="10">
        <v>3519.56</v>
      </c>
      <c r="H54" s="58">
        <f t="shared" si="6"/>
        <v>1.407824</v>
      </c>
      <c r="I54" s="10">
        <f t="shared" ref="I54:I55" si="7">F54/2*G54</f>
        <v>703.91200000000003</v>
      </c>
    </row>
    <row r="55" spans="1:9" ht="15.75" hidden="1" customHeight="1">
      <c r="A55" s="21">
        <v>12</v>
      </c>
      <c r="B55" s="40" t="s">
        <v>40</v>
      </c>
      <c r="C55" s="41" t="s">
        <v>41</v>
      </c>
      <c r="D55" s="40" t="s">
        <v>43</v>
      </c>
      <c r="E55" s="57">
        <v>1</v>
      </c>
      <c r="F55" s="42">
        <v>0.02</v>
      </c>
      <c r="G55" s="10">
        <v>6428.82</v>
      </c>
      <c r="H55" s="58">
        <f t="shared" si="6"/>
        <v>0.12857640000000001</v>
      </c>
      <c r="I55" s="10">
        <f t="shared" si="7"/>
        <v>64.288200000000003</v>
      </c>
    </row>
    <row r="56" spans="1:9" ht="15.75" hidden="1" customHeight="1">
      <c r="A56" s="21">
        <v>13</v>
      </c>
      <c r="B56" s="40" t="s">
        <v>103</v>
      </c>
      <c r="C56" s="41" t="s">
        <v>98</v>
      </c>
      <c r="D56" s="40" t="s">
        <v>73</v>
      </c>
      <c r="E56" s="57">
        <v>56</v>
      </c>
      <c r="F56" s="42">
        <f>SUM(E56*3)</f>
        <v>168</v>
      </c>
      <c r="G56" s="10">
        <v>160.51</v>
      </c>
      <c r="H56" s="58">
        <f t="shared" si="6"/>
        <v>26.965679999999999</v>
      </c>
      <c r="I56" s="10">
        <f>E56*G56</f>
        <v>8988.56</v>
      </c>
    </row>
    <row r="57" spans="1:9" ht="15.75" hidden="1" customHeight="1">
      <c r="A57" s="21">
        <v>14</v>
      </c>
      <c r="B57" s="40" t="s">
        <v>42</v>
      </c>
      <c r="C57" s="41" t="s">
        <v>98</v>
      </c>
      <c r="D57" s="40" t="s">
        <v>73</v>
      </c>
      <c r="E57" s="57">
        <v>112</v>
      </c>
      <c r="F57" s="42">
        <f>SUM(E57)*3</f>
        <v>336</v>
      </c>
      <c r="G57" s="10">
        <v>74.709999999999994</v>
      </c>
      <c r="H57" s="58">
        <f t="shared" si="6"/>
        <v>25.102559999999997</v>
      </c>
      <c r="I57" s="10">
        <f>E57*G57</f>
        <v>8367.5199999999986</v>
      </c>
    </row>
    <row r="58" spans="1:9" ht="15.75" customHeight="1">
      <c r="A58" s="130" t="s">
        <v>160</v>
      </c>
      <c r="B58" s="131"/>
      <c r="C58" s="131"/>
      <c r="D58" s="131"/>
      <c r="E58" s="131"/>
      <c r="F58" s="131"/>
      <c r="G58" s="131"/>
      <c r="H58" s="131"/>
      <c r="I58" s="132"/>
    </row>
    <row r="59" spans="1:9" ht="15.75" hidden="1" customHeight="1">
      <c r="A59" s="21"/>
      <c r="B59" s="78" t="s">
        <v>44</v>
      </c>
      <c r="C59" s="41"/>
      <c r="D59" s="40"/>
      <c r="E59" s="57"/>
      <c r="F59" s="42"/>
      <c r="G59" s="42"/>
      <c r="H59" s="58"/>
      <c r="I59" s="62"/>
    </row>
    <row r="60" spans="1:9" ht="31.5" hidden="1" customHeight="1">
      <c r="A60" s="21">
        <v>13</v>
      </c>
      <c r="B60" s="40" t="s">
        <v>106</v>
      </c>
      <c r="C60" s="41" t="s">
        <v>89</v>
      </c>
      <c r="D60" s="40" t="s">
        <v>168</v>
      </c>
      <c r="E60" s="57">
        <v>142.05000000000001</v>
      </c>
      <c r="F60" s="42">
        <f>SUM(E60*6/100)</f>
        <v>8.5230000000000015</v>
      </c>
      <c r="G60" s="10">
        <v>2108.4299999999998</v>
      </c>
      <c r="H60" s="58">
        <f>SUM(F60*G60/1000)</f>
        <v>17.970148890000001</v>
      </c>
      <c r="I60" s="10">
        <f>F60/6*G60</f>
        <v>2995.0248150000002</v>
      </c>
    </row>
    <row r="61" spans="1:9" ht="15.75" customHeight="1">
      <c r="A61" s="21"/>
      <c r="B61" s="78" t="s">
        <v>45</v>
      </c>
      <c r="C61" s="41"/>
      <c r="D61" s="40"/>
      <c r="E61" s="57"/>
      <c r="F61" s="58"/>
      <c r="G61" s="10"/>
      <c r="H61" s="65"/>
      <c r="I61" s="62"/>
    </row>
    <row r="62" spans="1:9" ht="15.75" hidden="1" customHeight="1">
      <c r="A62" s="21"/>
      <c r="B62" s="40" t="s">
        <v>169</v>
      </c>
      <c r="C62" s="41" t="s">
        <v>89</v>
      </c>
      <c r="D62" s="40" t="s">
        <v>54</v>
      </c>
      <c r="E62" s="57">
        <v>1040.4000000000001</v>
      </c>
      <c r="F62" s="58">
        <f>E62/100</f>
        <v>10.404000000000002</v>
      </c>
      <c r="G62" s="10">
        <v>902.66</v>
      </c>
      <c r="H62" s="65">
        <f>G62*F62/1000</f>
        <v>9.3912746400000007</v>
      </c>
      <c r="I62" s="10">
        <v>0</v>
      </c>
    </row>
    <row r="63" spans="1:9" ht="15.75" customHeight="1">
      <c r="A63" s="21">
        <v>12</v>
      </c>
      <c r="B63" s="40" t="s">
        <v>131</v>
      </c>
      <c r="C63" s="41" t="s">
        <v>25</v>
      </c>
      <c r="D63" s="40" t="s">
        <v>132</v>
      </c>
      <c r="E63" s="57">
        <v>240</v>
      </c>
      <c r="F63" s="42">
        <v>2880</v>
      </c>
      <c r="G63" s="52">
        <v>1.2</v>
      </c>
      <c r="H63" s="58">
        <f>F63*G63/1000</f>
        <v>3.456</v>
      </c>
      <c r="I63" s="10">
        <f>F63/12*G63</f>
        <v>288</v>
      </c>
    </row>
    <row r="64" spans="1:9" ht="15.75" customHeight="1">
      <c r="A64" s="21"/>
      <c r="B64" s="79" t="s">
        <v>46</v>
      </c>
      <c r="C64" s="66"/>
      <c r="D64" s="67"/>
      <c r="E64" s="68"/>
      <c r="F64" s="69"/>
      <c r="G64" s="69"/>
      <c r="H64" s="70" t="s">
        <v>166</v>
      </c>
      <c r="I64" s="62"/>
    </row>
    <row r="65" spans="1:9" ht="15.75" hidden="1" customHeight="1">
      <c r="A65" s="21">
        <v>15</v>
      </c>
      <c r="B65" s="11" t="s">
        <v>47</v>
      </c>
      <c r="C65" s="13" t="s">
        <v>41</v>
      </c>
      <c r="D65" s="40" t="s">
        <v>68</v>
      </c>
      <c r="E65" s="15">
        <v>15</v>
      </c>
      <c r="F65" s="42">
        <f>15/100</f>
        <v>0.15</v>
      </c>
      <c r="G65" s="10">
        <v>252.96</v>
      </c>
      <c r="H65" s="71">
        <f t="shared" ref="H65:H81" si="8">SUM(F65*G65/1000)</f>
        <v>3.7944000000000006E-2</v>
      </c>
      <c r="I65" s="10">
        <f>G65</f>
        <v>252.96</v>
      </c>
    </row>
    <row r="66" spans="1:9" ht="15.75" hidden="1" customHeight="1">
      <c r="A66" s="21"/>
      <c r="B66" s="11" t="s">
        <v>48</v>
      </c>
      <c r="C66" s="13" t="s">
        <v>41</v>
      </c>
      <c r="D66" s="40" t="s">
        <v>68</v>
      </c>
      <c r="E66" s="15">
        <v>10</v>
      </c>
      <c r="F66" s="42">
        <f>10/100</f>
        <v>0.1</v>
      </c>
      <c r="G66" s="10">
        <v>86.74</v>
      </c>
      <c r="H66" s="71">
        <f t="shared" si="8"/>
        <v>8.6739999999999994E-3</v>
      </c>
      <c r="I66" s="10">
        <v>0</v>
      </c>
    </row>
    <row r="67" spans="1:9" ht="15.75" hidden="1" customHeight="1">
      <c r="A67" s="21"/>
      <c r="B67" s="11" t="s">
        <v>49</v>
      </c>
      <c r="C67" s="13" t="s">
        <v>99</v>
      </c>
      <c r="D67" s="11" t="s">
        <v>54</v>
      </c>
      <c r="E67" s="57">
        <v>17532</v>
      </c>
      <c r="F67" s="10">
        <f>SUM(E67/100)</f>
        <v>175.32</v>
      </c>
      <c r="G67" s="10">
        <v>241.31</v>
      </c>
      <c r="H67" s="71">
        <f t="shared" si="8"/>
        <v>42.306469200000002</v>
      </c>
      <c r="I67" s="10">
        <f>F67*G67</f>
        <v>42306.4692</v>
      </c>
    </row>
    <row r="68" spans="1:9" ht="15.75" hidden="1" customHeight="1">
      <c r="A68" s="21"/>
      <c r="B68" s="11" t="s">
        <v>50</v>
      </c>
      <c r="C68" s="13" t="s">
        <v>100</v>
      </c>
      <c r="D68" s="11"/>
      <c r="E68" s="57">
        <v>17532</v>
      </c>
      <c r="F68" s="10">
        <f>SUM(E68/1000)</f>
        <v>17.532</v>
      </c>
      <c r="G68" s="10">
        <v>187.91</v>
      </c>
      <c r="H68" s="71">
        <f t="shared" si="8"/>
        <v>3.2944381199999997</v>
      </c>
      <c r="I68" s="10">
        <f>F68*G68</f>
        <v>3294.4381199999998</v>
      </c>
    </row>
    <row r="69" spans="1:9" ht="15.75" hidden="1" customHeight="1">
      <c r="A69" s="21"/>
      <c r="B69" s="11" t="s">
        <v>51</v>
      </c>
      <c r="C69" s="13" t="s">
        <v>80</v>
      </c>
      <c r="D69" s="11" t="s">
        <v>54</v>
      </c>
      <c r="E69" s="57">
        <v>1365</v>
      </c>
      <c r="F69" s="10">
        <f>SUM(E69/100)</f>
        <v>13.65</v>
      </c>
      <c r="G69" s="10">
        <v>2359.7199999999998</v>
      </c>
      <c r="H69" s="71">
        <f t="shared" si="8"/>
        <v>32.210177999999999</v>
      </c>
      <c r="I69" s="10">
        <f t="shared" ref="I69:I72" si="9">F69*G69</f>
        <v>32210.178</v>
      </c>
    </row>
    <row r="70" spans="1:9" ht="15.75" hidden="1" customHeight="1">
      <c r="A70" s="21"/>
      <c r="B70" s="72" t="s">
        <v>74</v>
      </c>
      <c r="C70" s="13" t="s">
        <v>33</v>
      </c>
      <c r="D70" s="11"/>
      <c r="E70" s="57">
        <v>15.6</v>
      </c>
      <c r="F70" s="10">
        <f>SUM(E70)</f>
        <v>15.6</v>
      </c>
      <c r="G70" s="10">
        <v>45.4</v>
      </c>
      <c r="H70" s="71">
        <f t="shared" si="8"/>
        <v>0.70823999999999998</v>
      </c>
      <c r="I70" s="10">
        <f t="shared" si="9"/>
        <v>708.24</v>
      </c>
    </row>
    <row r="71" spans="1:9" ht="15.75" hidden="1" customHeight="1">
      <c r="A71" s="21"/>
      <c r="B71" s="72" t="s">
        <v>172</v>
      </c>
      <c r="C71" s="13" t="s">
        <v>33</v>
      </c>
      <c r="D71" s="11"/>
      <c r="E71" s="57">
        <v>15.6</v>
      </c>
      <c r="F71" s="10">
        <f>SUM(E71)</f>
        <v>15.6</v>
      </c>
      <c r="G71" s="10">
        <v>42.35</v>
      </c>
      <c r="H71" s="71">
        <f t="shared" si="8"/>
        <v>0.66065999999999991</v>
      </c>
      <c r="I71" s="10">
        <f t="shared" si="9"/>
        <v>660.66</v>
      </c>
    </row>
    <row r="72" spans="1:9" ht="15.75" hidden="1" customHeight="1">
      <c r="A72" s="21"/>
      <c r="B72" s="11" t="s">
        <v>58</v>
      </c>
      <c r="C72" s="13" t="s">
        <v>59</v>
      </c>
      <c r="D72" s="11" t="s">
        <v>54</v>
      </c>
      <c r="E72" s="15">
        <v>4</v>
      </c>
      <c r="F72" s="42">
        <f>SUM(E72)</f>
        <v>4</v>
      </c>
      <c r="G72" s="10">
        <v>56.74</v>
      </c>
      <c r="H72" s="71">
        <f t="shared" si="8"/>
        <v>0.22696</v>
      </c>
      <c r="I72" s="10">
        <f t="shared" si="9"/>
        <v>226.96</v>
      </c>
    </row>
    <row r="73" spans="1:9" ht="15.75" customHeight="1">
      <c r="A73" s="21">
        <v>13</v>
      </c>
      <c r="B73" s="11" t="s">
        <v>133</v>
      </c>
      <c r="C73" s="13" t="s">
        <v>59</v>
      </c>
      <c r="D73" s="11" t="s">
        <v>30</v>
      </c>
      <c r="E73" s="15">
        <v>1</v>
      </c>
      <c r="F73" s="52">
        <v>12</v>
      </c>
      <c r="G73" s="10">
        <v>756.5</v>
      </c>
      <c r="H73" s="71">
        <f t="shared" si="8"/>
        <v>9.0779999999999994</v>
      </c>
      <c r="I73" s="10">
        <f>G73</f>
        <v>756.5</v>
      </c>
    </row>
    <row r="74" spans="1:9" ht="15.75" hidden="1" customHeight="1">
      <c r="A74" s="21"/>
      <c r="B74" s="81" t="s">
        <v>75</v>
      </c>
      <c r="C74" s="13"/>
      <c r="D74" s="11"/>
      <c r="E74" s="15"/>
      <c r="F74" s="10"/>
      <c r="G74" s="10"/>
      <c r="H74" s="71" t="s">
        <v>166</v>
      </c>
      <c r="I74" s="62"/>
    </row>
    <row r="75" spans="1:9" ht="15.75" hidden="1" customHeight="1">
      <c r="A75" s="21"/>
      <c r="B75" s="11" t="s">
        <v>134</v>
      </c>
      <c r="C75" s="13" t="s">
        <v>31</v>
      </c>
      <c r="D75" s="40" t="s">
        <v>68</v>
      </c>
      <c r="E75" s="15">
        <v>2</v>
      </c>
      <c r="F75" s="10">
        <v>2</v>
      </c>
      <c r="G75" s="10">
        <v>892.5</v>
      </c>
      <c r="H75" s="71">
        <f>G75*F75/1000</f>
        <v>1.7849999999999999</v>
      </c>
      <c r="I75" s="10">
        <v>0</v>
      </c>
    </row>
    <row r="76" spans="1:9" ht="15.75" hidden="1" customHeight="1">
      <c r="A76" s="21"/>
      <c r="B76" s="11" t="s">
        <v>119</v>
      </c>
      <c r="C76" s="13" t="s">
        <v>135</v>
      </c>
      <c r="D76" s="11"/>
      <c r="E76" s="15">
        <v>1</v>
      </c>
      <c r="F76" s="10">
        <v>1</v>
      </c>
      <c r="G76" s="10">
        <v>750</v>
      </c>
      <c r="H76" s="71">
        <f>G76*F76/1000</f>
        <v>0.75</v>
      </c>
      <c r="I76" s="10">
        <v>0</v>
      </c>
    </row>
    <row r="77" spans="1:9" ht="15.75" hidden="1" customHeight="1">
      <c r="A77" s="21"/>
      <c r="B77" s="11" t="s">
        <v>76</v>
      </c>
      <c r="C77" s="13" t="s">
        <v>78</v>
      </c>
      <c r="D77" s="11"/>
      <c r="E77" s="15">
        <v>2</v>
      </c>
      <c r="F77" s="10">
        <v>0.2</v>
      </c>
      <c r="G77" s="10">
        <v>570.54</v>
      </c>
      <c r="H77" s="71">
        <f t="shared" si="8"/>
        <v>0.114108</v>
      </c>
      <c r="I77" s="10">
        <v>0</v>
      </c>
    </row>
    <row r="78" spans="1:9" ht="15.75" hidden="1" customHeight="1">
      <c r="A78" s="21"/>
      <c r="B78" s="11" t="s">
        <v>77</v>
      </c>
      <c r="C78" s="13" t="s">
        <v>31</v>
      </c>
      <c r="D78" s="11"/>
      <c r="E78" s="15">
        <v>1</v>
      </c>
      <c r="F78" s="52">
        <v>1</v>
      </c>
      <c r="G78" s="10">
        <v>970.21</v>
      </c>
      <c r="H78" s="71">
        <f t="shared" si="8"/>
        <v>0.97021000000000002</v>
      </c>
      <c r="I78" s="10">
        <v>0</v>
      </c>
    </row>
    <row r="79" spans="1:9" ht="15.75" hidden="1" customHeight="1">
      <c r="A79" s="21">
        <v>15</v>
      </c>
      <c r="B79" s="11" t="s">
        <v>136</v>
      </c>
      <c r="C79" s="13" t="s">
        <v>98</v>
      </c>
      <c r="D79" s="11"/>
      <c r="E79" s="15">
        <v>1</v>
      </c>
      <c r="F79" s="42">
        <f>SUM(E79)</f>
        <v>1</v>
      </c>
      <c r="G79" s="10">
        <v>407.79</v>
      </c>
      <c r="H79" s="71">
        <f t="shared" si="8"/>
        <v>0.40779000000000004</v>
      </c>
      <c r="I79" s="10">
        <f>G79</f>
        <v>407.79</v>
      </c>
    </row>
    <row r="80" spans="1:9" ht="15.75" hidden="1" customHeight="1">
      <c r="A80" s="21"/>
      <c r="B80" s="76" t="s">
        <v>79</v>
      </c>
      <c r="C80" s="13"/>
      <c r="D80" s="11"/>
      <c r="E80" s="15"/>
      <c r="F80" s="10"/>
      <c r="G80" s="10" t="s">
        <v>166</v>
      </c>
      <c r="H80" s="71" t="s">
        <v>166</v>
      </c>
      <c r="I80" s="62"/>
    </row>
    <row r="81" spans="1:9" ht="15.75" hidden="1" customHeight="1">
      <c r="A81" s="21"/>
      <c r="B81" s="34" t="s">
        <v>104</v>
      </c>
      <c r="C81" s="13" t="s">
        <v>80</v>
      </c>
      <c r="D81" s="11"/>
      <c r="E81" s="15"/>
      <c r="F81" s="10">
        <v>0.6</v>
      </c>
      <c r="G81" s="10">
        <v>3138.65</v>
      </c>
      <c r="H81" s="71">
        <f t="shared" si="8"/>
        <v>1.8831900000000001</v>
      </c>
      <c r="I81" s="10">
        <v>0</v>
      </c>
    </row>
    <row r="82" spans="1:9" ht="15.75" hidden="1" customHeight="1">
      <c r="A82" s="21"/>
      <c r="B82" s="81" t="s">
        <v>95</v>
      </c>
      <c r="C82" s="13"/>
      <c r="D82" s="11"/>
      <c r="E82" s="53"/>
      <c r="F82" s="10"/>
      <c r="G82" s="10"/>
      <c r="H82" s="71"/>
      <c r="I82" s="10"/>
    </row>
    <row r="83" spans="1:9" ht="15.75" hidden="1" customHeight="1">
      <c r="A83" s="21"/>
      <c r="B83" s="40" t="s">
        <v>101</v>
      </c>
      <c r="C83" s="13"/>
      <c r="D83" s="11"/>
      <c r="E83" s="53"/>
      <c r="F83" s="10">
        <v>1</v>
      </c>
      <c r="G83" s="10">
        <v>21095</v>
      </c>
      <c r="H83" s="71">
        <f>G83*F83/1000</f>
        <v>21.094999999999999</v>
      </c>
      <c r="I83" s="10">
        <v>0</v>
      </c>
    </row>
    <row r="84" spans="1:9" ht="15.75" hidden="1" customHeight="1">
      <c r="A84" s="21"/>
      <c r="B84" s="80" t="s">
        <v>107</v>
      </c>
      <c r="C84" s="76"/>
      <c r="D84" s="23"/>
      <c r="E84" s="24"/>
      <c r="F84" s="75"/>
      <c r="G84" s="75"/>
      <c r="H84" s="73"/>
      <c r="I84" s="61"/>
    </row>
    <row r="85" spans="1:9" ht="31.5" hidden="1" customHeight="1">
      <c r="A85" s="21"/>
      <c r="B85" s="77" t="s">
        <v>137</v>
      </c>
      <c r="C85" s="13" t="s">
        <v>138</v>
      </c>
      <c r="D85" s="40" t="s">
        <v>68</v>
      </c>
      <c r="E85" s="15">
        <v>10</v>
      </c>
      <c r="F85" s="10">
        <v>10</v>
      </c>
      <c r="G85" s="10">
        <v>271.88</v>
      </c>
      <c r="H85" s="71">
        <f t="shared" ref="H85:H98" si="10">F85*G85/1000</f>
        <v>2.7188000000000003</v>
      </c>
      <c r="I85" s="10">
        <v>0</v>
      </c>
    </row>
    <row r="86" spans="1:9" ht="15.75" hidden="1" customHeight="1">
      <c r="A86" s="21"/>
      <c r="B86" s="77" t="s">
        <v>108</v>
      </c>
      <c r="C86" s="13" t="s">
        <v>84</v>
      </c>
      <c r="D86" s="40" t="s">
        <v>68</v>
      </c>
      <c r="E86" s="15">
        <v>100</v>
      </c>
      <c r="F86" s="10">
        <v>100</v>
      </c>
      <c r="G86" s="10">
        <v>111.84</v>
      </c>
      <c r="H86" s="71">
        <f t="shared" si="10"/>
        <v>11.183999999999999</v>
      </c>
      <c r="I86" s="10">
        <v>0</v>
      </c>
    </row>
    <row r="87" spans="1:9" ht="15.75" hidden="1" customHeight="1">
      <c r="A87" s="21">
        <v>17</v>
      </c>
      <c r="B87" s="77" t="s">
        <v>139</v>
      </c>
      <c r="C87" s="13" t="s">
        <v>140</v>
      </c>
      <c r="D87" s="40" t="s">
        <v>68</v>
      </c>
      <c r="E87" s="15">
        <v>30</v>
      </c>
      <c r="F87" s="10">
        <v>10</v>
      </c>
      <c r="G87" s="10">
        <v>972.09</v>
      </c>
      <c r="H87" s="71">
        <f t="shared" si="10"/>
        <v>9.7209000000000003</v>
      </c>
      <c r="I87" s="10">
        <f>G87*((10+10+12)/3)</f>
        <v>10368.959999999999</v>
      </c>
    </row>
    <row r="88" spans="1:9" ht="15.75" hidden="1" customHeight="1">
      <c r="A88" s="21"/>
      <c r="B88" s="77" t="s">
        <v>141</v>
      </c>
      <c r="C88" s="13" t="s">
        <v>53</v>
      </c>
      <c r="D88" s="40" t="s">
        <v>68</v>
      </c>
      <c r="E88" s="15">
        <v>100</v>
      </c>
      <c r="F88" s="10">
        <v>1</v>
      </c>
      <c r="G88" s="10">
        <v>1829.52</v>
      </c>
      <c r="H88" s="71">
        <f t="shared" si="10"/>
        <v>1.82952</v>
      </c>
      <c r="I88" s="10">
        <v>0</v>
      </c>
    </row>
    <row r="89" spans="1:9" ht="31.5" hidden="1" customHeight="1">
      <c r="A89" s="21">
        <v>18</v>
      </c>
      <c r="B89" s="77" t="s">
        <v>142</v>
      </c>
      <c r="C89" s="13" t="s">
        <v>143</v>
      </c>
      <c r="D89" s="40" t="s">
        <v>68</v>
      </c>
      <c r="E89" s="15">
        <v>40</v>
      </c>
      <c r="F89" s="10">
        <v>4</v>
      </c>
      <c r="G89" s="10">
        <v>272.39</v>
      </c>
      <c r="H89" s="71">
        <f t="shared" si="10"/>
        <v>1.0895599999999999</v>
      </c>
      <c r="I89" s="10">
        <f>G89*(4/10)</f>
        <v>108.956</v>
      </c>
    </row>
    <row r="90" spans="1:9" ht="31.5" hidden="1" customHeight="1">
      <c r="A90" s="21"/>
      <c r="B90" s="77" t="s">
        <v>144</v>
      </c>
      <c r="C90" s="13" t="s">
        <v>84</v>
      </c>
      <c r="D90" s="40" t="s">
        <v>68</v>
      </c>
      <c r="E90" s="15">
        <v>15</v>
      </c>
      <c r="F90" s="10">
        <v>15</v>
      </c>
      <c r="G90" s="10">
        <v>1430.02</v>
      </c>
      <c r="H90" s="71">
        <f t="shared" si="10"/>
        <v>21.450299999999999</v>
      </c>
      <c r="I90" s="10">
        <v>0</v>
      </c>
    </row>
    <row r="91" spans="1:9" ht="31.5" hidden="1" customHeight="1">
      <c r="A91" s="21"/>
      <c r="B91" s="77" t="s">
        <v>145</v>
      </c>
      <c r="C91" s="13" t="s">
        <v>84</v>
      </c>
      <c r="D91" s="40" t="s">
        <v>68</v>
      </c>
      <c r="E91" s="15">
        <v>10</v>
      </c>
      <c r="F91" s="10">
        <v>10</v>
      </c>
      <c r="G91" s="10">
        <v>1743.04</v>
      </c>
      <c r="H91" s="71">
        <f t="shared" si="10"/>
        <v>17.430400000000002</v>
      </c>
      <c r="I91" s="10">
        <v>0</v>
      </c>
    </row>
    <row r="92" spans="1:9" ht="31.5" hidden="1" customHeight="1">
      <c r="A92" s="21"/>
      <c r="B92" s="77" t="s">
        <v>146</v>
      </c>
      <c r="C92" s="13" t="s">
        <v>84</v>
      </c>
      <c r="D92" s="40" t="s">
        <v>68</v>
      </c>
      <c r="E92" s="15">
        <v>20</v>
      </c>
      <c r="F92" s="10">
        <v>20</v>
      </c>
      <c r="G92" s="10">
        <v>607.27</v>
      </c>
      <c r="H92" s="71">
        <f t="shared" si="10"/>
        <v>12.1454</v>
      </c>
      <c r="I92" s="10">
        <v>0</v>
      </c>
    </row>
    <row r="93" spans="1:9" ht="31.5" hidden="1" customHeight="1">
      <c r="A93" s="21"/>
      <c r="B93" s="77" t="s">
        <v>147</v>
      </c>
      <c r="C93" s="13" t="s">
        <v>84</v>
      </c>
      <c r="D93" s="40" t="s">
        <v>68</v>
      </c>
      <c r="E93" s="15">
        <v>30</v>
      </c>
      <c r="F93" s="10">
        <v>30</v>
      </c>
      <c r="G93" s="10">
        <v>711.93</v>
      </c>
      <c r="H93" s="71">
        <f t="shared" si="10"/>
        <v>21.357899999999997</v>
      </c>
      <c r="I93" s="10">
        <v>0</v>
      </c>
    </row>
    <row r="94" spans="1:9" ht="15.75" hidden="1" customHeight="1">
      <c r="A94" s="21"/>
      <c r="B94" s="77" t="s">
        <v>109</v>
      </c>
      <c r="C94" s="13" t="s">
        <v>31</v>
      </c>
      <c r="D94" s="40" t="s">
        <v>68</v>
      </c>
      <c r="E94" s="15">
        <v>10</v>
      </c>
      <c r="F94" s="10">
        <v>10</v>
      </c>
      <c r="G94" s="10">
        <v>455.31</v>
      </c>
      <c r="H94" s="71">
        <f t="shared" si="10"/>
        <v>4.5531000000000006</v>
      </c>
      <c r="I94" s="10">
        <v>0</v>
      </c>
    </row>
    <row r="95" spans="1:9" ht="31.5" hidden="1" customHeight="1">
      <c r="A95" s="21"/>
      <c r="B95" s="77" t="s">
        <v>148</v>
      </c>
      <c r="C95" s="13" t="s">
        <v>84</v>
      </c>
      <c r="D95" s="40" t="s">
        <v>68</v>
      </c>
      <c r="E95" s="15">
        <v>30</v>
      </c>
      <c r="F95" s="10">
        <v>30</v>
      </c>
      <c r="G95" s="10">
        <v>1155.7</v>
      </c>
      <c r="H95" s="71">
        <f t="shared" si="10"/>
        <v>34.670999999999999</v>
      </c>
      <c r="I95" s="10">
        <v>0</v>
      </c>
    </row>
    <row r="96" spans="1:9" ht="31.5" hidden="1" customHeight="1">
      <c r="A96" s="21"/>
      <c r="B96" s="77" t="s">
        <v>149</v>
      </c>
      <c r="C96" s="13" t="s">
        <v>29</v>
      </c>
      <c r="D96" s="11" t="s">
        <v>43</v>
      </c>
      <c r="E96" s="15">
        <v>1040.4000000000001</v>
      </c>
      <c r="F96" s="10">
        <f>E96*2/1000</f>
        <v>2.0808</v>
      </c>
      <c r="G96" s="10">
        <v>1560.98</v>
      </c>
      <c r="H96" s="71">
        <f t="shared" si="10"/>
        <v>3.2480871840000001</v>
      </c>
      <c r="I96" s="10">
        <v>0</v>
      </c>
    </row>
    <row r="97" spans="1:9" ht="31.5" hidden="1" customHeight="1">
      <c r="A97" s="21"/>
      <c r="B97" s="77" t="s">
        <v>150</v>
      </c>
      <c r="C97" s="21" t="s">
        <v>152</v>
      </c>
      <c r="D97" s="40" t="s">
        <v>68</v>
      </c>
      <c r="E97" s="15">
        <v>100</v>
      </c>
      <c r="F97" s="10">
        <v>1</v>
      </c>
      <c r="G97" s="10">
        <v>12859.93</v>
      </c>
      <c r="H97" s="71">
        <f t="shared" si="10"/>
        <v>12.85993</v>
      </c>
      <c r="I97" s="10">
        <v>0</v>
      </c>
    </row>
    <row r="98" spans="1:9" ht="15.75" hidden="1" customHeight="1">
      <c r="A98" s="21"/>
      <c r="B98" s="77" t="s">
        <v>151</v>
      </c>
      <c r="C98" s="13" t="s">
        <v>29</v>
      </c>
      <c r="D98" s="11" t="s">
        <v>43</v>
      </c>
      <c r="E98" s="15">
        <v>1040.4000000000001</v>
      </c>
      <c r="F98" s="10">
        <v>2.08</v>
      </c>
      <c r="G98" s="10">
        <v>1453.29</v>
      </c>
      <c r="H98" s="71">
        <f t="shared" si="10"/>
        <v>3.0228432000000001</v>
      </c>
      <c r="I98" s="10">
        <v>0</v>
      </c>
    </row>
    <row r="99" spans="1:9" ht="15.75" customHeight="1">
      <c r="A99" s="133" t="s">
        <v>161</v>
      </c>
      <c r="B99" s="134"/>
      <c r="C99" s="134"/>
      <c r="D99" s="134"/>
      <c r="E99" s="134"/>
      <c r="F99" s="134"/>
      <c r="G99" s="134"/>
      <c r="H99" s="134"/>
      <c r="I99" s="135"/>
    </row>
    <row r="100" spans="1:9" ht="15.75" customHeight="1">
      <c r="A100" s="21">
        <v>14</v>
      </c>
      <c r="B100" s="77" t="s">
        <v>102</v>
      </c>
      <c r="C100" s="13" t="s">
        <v>55</v>
      </c>
      <c r="D100" s="51" t="s">
        <v>56</v>
      </c>
      <c r="E100" s="10">
        <v>3455.3</v>
      </c>
      <c r="F100" s="10">
        <v>41463.599999999999</v>
      </c>
      <c r="G100" s="10">
        <v>2.7</v>
      </c>
      <c r="H100" s="71">
        <f>SUM(F100*G100/1000)</f>
        <v>111.95171999999999</v>
      </c>
      <c r="I100" s="10">
        <f>F100/12*G100</f>
        <v>9329.31</v>
      </c>
    </row>
    <row r="101" spans="1:9" ht="31.5" customHeight="1">
      <c r="A101" s="21">
        <v>15</v>
      </c>
      <c r="B101" s="11" t="s">
        <v>81</v>
      </c>
      <c r="C101" s="13"/>
      <c r="D101" s="51" t="s">
        <v>56</v>
      </c>
      <c r="E101" s="57">
        <f>E100</f>
        <v>3455.3</v>
      </c>
      <c r="F101" s="10">
        <f>E101*12</f>
        <v>41463.600000000006</v>
      </c>
      <c r="G101" s="10">
        <v>3.05</v>
      </c>
      <c r="H101" s="71">
        <f>F101*G101/1000</f>
        <v>126.46398000000001</v>
      </c>
      <c r="I101" s="10">
        <f>F101/12*G101</f>
        <v>10538.665000000001</v>
      </c>
    </row>
    <row r="102" spans="1:9" ht="15.75" customHeight="1">
      <c r="A102" s="21"/>
      <c r="B102" s="27" t="s">
        <v>83</v>
      </c>
      <c r="C102" s="76"/>
      <c r="D102" s="74"/>
      <c r="E102" s="75"/>
      <c r="F102" s="75"/>
      <c r="G102" s="75"/>
      <c r="H102" s="73">
        <f>SUM(H101)</f>
        <v>126.46398000000001</v>
      </c>
      <c r="I102" s="75">
        <f>I101+I100+I73+I63+I52+I45+I44+I43+I42+I40+I39+I27+I18+I17+I16</f>
        <v>41155.107334333326</v>
      </c>
    </row>
    <row r="103" spans="1:9" ht="15.75" customHeight="1">
      <c r="A103" s="140" t="s">
        <v>61</v>
      </c>
      <c r="B103" s="141"/>
      <c r="C103" s="141"/>
      <c r="D103" s="141"/>
      <c r="E103" s="141"/>
      <c r="F103" s="141"/>
      <c r="G103" s="141"/>
      <c r="H103" s="141"/>
      <c r="I103" s="142"/>
    </row>
    <row r="104" spans="1:9" ht="31.5" customHeight="1">
      <c r="A104" s="21">
        <v>16</v>
      </c>
      <c r="B104" s="39" t="s">
        <v>255</v>
      </c>
      <c r="C104" s="88" t="s">
        <v>29</v>
      </c>
      <c r="D104" s="34"/>
      <c r="E104" s="10"/>
      <c r="F104" s="10"/>
      <c r="G104" s="111">
        <v>18798.34</v>
      </c>
      <c r="H104" s="71"/>
      <c r="I104" s="10">
        <f>G104*0.599*10/1000</f>
        <v>112.6020566</v>
      </c>
    </row>
    <row r="105" spans="1:9" ht="28.5" customHeight="1">
      <c r="A105" s="21">
        <v>17</v>
      </c>
      <c r="B105" s="39" t="s">
        <v>261</v>
      </c>
      <c r="C105" s="88" t="s">
        <v>29</v>
      </c>
      <c r="D105" s="34"/>
      <c r="E105" s="10"/>
      <c r="F105" s="10">
        <v>7.5</v>
      </c>
      <c r="G105" s="110">
        <v>1655.27</v>
      </c>
      <c r="H105" s="71">
        <f t="shared" ref="H105" si="11">G105*F105/1000</f>
        <v>12.414524999999999</v>
      </c>
      <c r="I105" s="10">
        <f>G105*0.012</f>
        <v>19.863240000000001</v>
      </c>
    </row>
    <row r="106" spans="1:9">
      <c r="A106" s="21"/>
      <c r="B106" s="32" t="s">
        <v>52</v>
      </c>
      <c r="C106" s="28"/>
      <c r="D106" s="35"/>
      <c r="E106" s="28">
        <v>1</v>
      </c>
      <c r="F106" s="28"/>
      <c r="G106" s="28"/>
      <c r="H106" s="28"/>
      <c r="I106" s="24">
        <f>SUM(I104:I105)</f>
        <v>132.46529659999999</v>
      </c>
    </row>
    <row r="107" spans="1:9">
      <c r="A107" s="21"/>
      <c r="B107" s="34" t="s">
        <v>82</v>
      </c>
      <c r="C107" s="12"/>
      <c r="D107" s="12"/>
      <c r="E107" s="29"/>
      <c r="F107" s="29"/>
      <c r="G107" s="30"/>
      <c r="H107" s="30"/>
      <c r="I107" s="14">
        <v>0</v>
      </c>
    </row>
    <row r="108" spans="1:9" ht="15.75" customHeight="1">
      <c r="A108" s="36"/>
      <c r="B108" s="33" t="s">
        <v>184</v>
      </c>
      <c r="C108" s="25"/>
      <c r="D108" s="25"/>
      <c r="E108" s="25"/>
      <c r="F108" s="25"/>
      <c r="G108" s="25"/>
      <c r="H108" s="25"/>
      <c r="I108" s="31">
        <f>I102+I106</f>
        <v>41287.572630933326</v>
      </c>
    </row>
    <row r="109" spans="1:9" ht="15.75">
      <c r="A109" s="136" t="s">
        <v>262</v>
      </c>
      <c r="B109" s="136"/>
      <c r="C109" s="136"/>
      <c r="D109" s="136"/>
      <c r="E109" s="136"/>
      <c r="F109" s="136"/>
      <c r="G109" s="136"/>
      <c r="H109" s="136"/>
      <c r="I109" s="136"/>
    </row>
    <row r="110" spans="1:9" ht="15.75">
      <c r="A110" s="50"/>
      <c r="B110" s="137" t="s">
        <v>263</v>
      </c>
      <c r="C110" s="137"/>
      <c r="D110" s="137"/>
      <c r="E110" s="137"/>
      <c r="F110" s="137"/>
      <c r="G110" s="137"/>
      <c r="H110" s="56"/>
      <c r="I110" s="2"/>
    </row>
    <row r="111" spans="1:9">
      <c r="A111" s="86"/>
      <c r="B111" s="124" t="s">
        <v>6</v>
      </c>
      <c r="C111" s="124"/>
      <c r="D111" s="124"/>
      <c r="E111" s="124"/>
      <c r="F111" s="124"/>
      <c r="G111" s="124"/>
      <c r="H111" s="16"/>
      <c r="I111" s="4"/>
    </row>
    <row r="112" spans="1:9">
      <c r="A112" s="7"/>
      <c r="B112" s="7"/>
      <c r="C112" s="7"/>
      <c r="D112" s="7"/>
      <c r="E112" s="7"/>
      <c r="F112" s="7"/>
      <c r="G112" s="7"/>
      <c r="H112" s="7"/>
      <c r="I112" s="7"/>
    </row>
    <row r="113" spans="1:9" ht="15.75" customHeight="1">
      <c r="A113" s="138" t="s">
        <v>7</v>
      </c>
      <c r="B113" s="138"/>
      <c r="C113" s="138"/>
      <c r="D113" s="138"/>
      <c r="E113" s="138"/>
      <c r="F113" s="138"/>
      <c r="G113" s="138"/>
      <c r="H113" s="138"/>
      <c r="I113" s="138"/>
    </row>
    <row r="114" spans="1:9" ht="15.75" customHeight="1">
      <c r="A114" s="138" t="s">
        <v>8</v>
      </c>
      <c r="B114" s="138"/>
      <c r="C114" s="138"/>
      <c r="D114" s="138"/>
      <c r="E114" s="138"/>
      <c r="F114" s="138"/>
      <c r="G114" s="138"/>
      <c r="H114" s="138"/>
      <c r="I114" s="138"/>
    </row>
    <row r="115" spans="1:9" ht="15.75" customHeight="1">
      <c r="A115" s="139" t="s">
        <v>62</v>
      </c>
      <c r="B115" s="139"/>
      <c r="C115" s="139"/>
      <c r="D115" s="139"/>
      <c r="E115" s="139"/>
      <c r="F115" s="139"/>
      <c r="G115" s="139"/>
      <c r="H115" s="139"/>
      <c r="I115" s="139"/>
    </row>
    <row r="116" spans="1:9" ht="7.5" customHeight="1">
      <c r="A116" s="8"/>
    </row>
    <row r="117" spans="1:9" ht="15.75" customHeight="1">
      <c r="A117" s="128" t="s">
        <v>9</v>
      </c>
      <c r="B117" s="128"/>
      <c r="C117" s="128"/>
      <c r="D117" s="128"/>
      <c r="E117" s="128"/>
      <c r="F117" s="128"/>
      <c r="G117" s="128"/>
      <c r="H117" s="128"/>
      <c r="I117" s="128"/>
    </row>
    <row r="118" spans="1:9" ht="15.75" customHeight="1">
      <c r="A118" s="3"/>
    </row>
    <row r="119" spans="1:9" ht="15.75" customHeight="1">
      <c r="B119" s="84" t="s">
        <v>10</v>
      </c>
      <c r="C119" s="123" t="s">
        <v>158</v>
      </c>
      <c r="D119" s="123"/>
      <c r="E119" s="123"/>
      <c r="F119" s="54"/>
      <c r="I119" s="85"/>
    </row>
    <row r="120" spans="1:9">
      <c r="A120" s="86"/>
      <c r="C120" s="124" t="s">
        <v>11</v>
      </c>
      <c r="D120" s="124"/>
      <c r="E120" s="124"/>
      <c r="F120" s="16"/>
      <c r="I120" s="83" t="s">
        <v>12</v>
      </c>
    </row>
    <row r="121" spans="1:9" ht="8.25" customHeight="1">
      <c r="A121" s="17"/>
      <c r="C121" s="9"/>
      <c r="D121" s="9"/>
      <c r="G121" s="9"/>
      <c r="H121" s="9"/>
    </row>
    <row r="122" spans="1:9" ht="15.75">
      <c r="B122" s="84" t="s">
        <v>13</v>
      </c>
      <c r="C122" s="125"/>
      <c r="D122" s="125"/>
      <c r="E122" s="125"/>
      <c r="F122" s="55"/>
      <c r="I122" s="85"/>
    </row>
    <row r="123" spans="1:9">
      <c r="A123" s="86"/>
      <c r="C123" s="126" t="s">
        <v>11</v>
      </c>
      <c r="D123" s="126"/>
      <c r="E123" s="126"/>
      <c r="F123" s="86"/>
      <c r="I123" s="83" t="s">
        <v>12</v>
      </c>
    </row>
    <row r="124" spans="1:9" ht="15.75">
      <c r="A124" s="3" t="s">
        <v>14</v>
      </c>
    </row>
    <row r="125" spans="1:9">
      <c r="A125" s="127" t="s">
        <v>15</v>
      </c>
      <c r="B125" s="127"/>
      <c r="C125" s="127"/>
      <c r="D125" s="127"/>
      <c r="E125" s="127"/>
      <c r="F125" s="127"/>
      <c r="G125" s="127"/>
      <c r="H125" s="127"/>
      <c r="I125" s="127"/>
    </row>
    <row r="126" spans="1:9" ht="45" customHeight="1">
      <c r="A126" s="122" t="s">
        <v>16</v>
      </c>
      <c r="B126" s="122"/>
      <c r="C126" s="122"/>
      <c r="D126" s="122"/>
      <c r="E126" s="122"/>
      <c r="F126" s="122"/>
      <c r="G126" s="122"/>
      <c r="H126" s="122"/>
      <c r="I126" s="122"/>
    </row>
    <row r="127" spans="1:9" ht="30" customHeight="1">
      <c r="A127" s="122" t="s">
        <v>17</v>
      </c>
      <c r="B127" s="122"/>
      <c r="C127" s="122"/>
      <c r="D127" s="122"/>
      <c r="E127" s="122"/>
      <c r="F127" s="122"/>
      <c r="G127" s="122"/>
      <c r="H127" s="122"/>
      <c r="I127" s="122"/>
    </row>
    <row r="128" spans="1:9" ht="30" customHeight="1">
      <c r="A128" s="122" t="s">
        <v>21</v>
      </c>
      <c r="B128" s="122"/>
      <c r="C128" s="122"/>
      <c r="D128" s="122"/>
      <c r="E128" s="122"/>
      <c r="F128" s="122"/>
      <c r="G128" s="122"/>
      <c r="H128" s="122"/>
      <c r="I128" s="122"/>
    </row>
    <row r="129" spans="1:9" ht="15" customHeight="1">
      <c r="A129" s="122" t="s">
        <v>20</v>
      </c>
      <c r="B129" s="122"/>
      <c r="C129" s="122"/>
      <c r="D129" s="122"/>
      <c r="E129" s="122"/>
      <c r="F129" s="122"/>
      <c r="G129" s="122"/>
      <c r="H129" s="122"/>
      <c r="I129" s="122"/>
    </row>
  </sheetData>
  <mergeCells count="28">
    <mergeCell ref="A126:I126"/>
    <mergeCell ref="A127:I127"/>
    <mergeCell ref="A128:I128"/>
    <mergeCell ref="A129:I129"/>
    <mergeCell ref="A117:I117"/>
    <mergeCell ref="C119:E119"/>
    <mergeCell ref="C120:E120"/>
    <mergeCell ref="C122:E122"/>
    <mergeCell ref="C123:E123"/>
    <mergeCell ref="A125:I125"/>
    <mergeCell ref="A115:I115"/>
    <mergeCell ref="A15:I15"/>
    <mergeCell ref="A29:I29"/>
    <mergeCell ref="A46:I46"/>
    <mergeCell ref="A58:I58"/>
    <mergeCell ref="A99:I99"/>
    <mergeCell ref="A103:I103"/>
    <mergeCell ref="A109:I109"/>
    <mergeCell ref="B110:G110"/>
    <mergeCell ref="B111:G111"/>
    <mergeCell ref="A113:I113"/>
    <mergeCell ref="A114:I114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9"/>
  <sheetViews>
    <sheetView topLeftCell="A61" workbookViewId="0">
      <selection activeCell="K110" sqref="K1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88</v>
      </c>
      <c r="I1" s="18"/>
    </row>
    <row r="2" spans="1:9" ht="15.75">
      <c r="A2" s="20" t="s">
        <v>63</v>
      </c>
    </row>
    <row r="3" spans="1:9" ht="15.75">
      <c r="A3" s="144" t="s">
        <v>173</v>
      </c>
      <c r="B3" s="144"/>
      <c r="C3" s="144"/>
      <c r="D3" s="144"/>
      <c r="E3" s="144"/>
      <c r="F3" s="144"/>
      <c r="G3" s="144"/>
      <c r="H3" s="144"/>
      <c r="I3" s="144"/>
    </row>
    <row r="4" spans="1:9" ht="31.5" customHeight="1">
      <c r="A4" s="145" t="s">
        <v>154</v>
      </c>
      <c r="B4" s="145"/>
      <c r="C4" s="145"/>
      <c r="D4" s="145"/>
      <c r="E4" s="145"/>
      <c r="F4" s="145"/>
      <c r="G4" s="145"/>
      <c r="H4" s="145"/>
      <c r="I4" s="145"/>
    </row>
    <row r="5" spans="1:9" ht="15.75">
      <c r="A5" s="144" t="s">
        <v>192</v>
      </c>
      <c r="B5" s="146"/>
      <c r="C5" s="146"/>
      <c r="D5" s="146"/>
      <c r="E5" s="146"/>
      <c r="F5" s="146"/>
      <c r="G5" s="146"/>
      <c r="H5" s="146"/>
      <c r="I5" s="146"/>
    </row>
    <row r="6" spans="1:9" ht="15.75">
      <c r="A6" s="1"/>
      <c r="B6" s="47"/>
      <c r="C6" s="47"/>
      <c r="D6" s="47"/>
      <c r="E6" s="47"/>
      <c r="F6" s="47"/>
      <c r="G6" s="47"/>
      <c r="H6" s="47"/>
      <c r="I6" s="22">
        <v>43159</v>
      </c>
    </row>
    <row r="7" spans="1:9" ht="15.75">
      <c r="B7" s="46"/>
      <c r="C7" s="46"/>
      <c r="D7" s="46"/>
      <c r="E7" s="2"/>
      <c r="F7" s="2"/>
      <c r="G7" s="2"/>
      <c r="H7" s="2"/>
    </row>
    <row r="8" spans="1:9" ht="78.75" customHeight="1">
      <c r="A8" s="147" t="s">
        <v>182</v>
      </c>
      <c r="B8" s="147"/>
      <c r="C8" s="147"/>
      <c r="D8" s="147"/>
      <c r="E8" s="147"/>
      <c r="F8" s="147"/>
      <c r="G8" s="147"/>
      <c r="H8" s="147"/>
      <c r="I8" s="147"/>
    </row>
    <row r="9" spans="1:9" ht="15.75">
      <c r="A9" s="3"/>
    </row>
    <row r="10" spans="1:9" ht="47.25" customHeight="1">
      <c r="A10" s="148" t="s">
        <v>183</v>
      </c>
      <c r="B10" s="148"/>
      <c r="C10" s="148"/>
      <c r="D10" s="148"/>
      <c r="E10" s="148"/>
      <c r="F10" s="148"/>
      <c r="G10" s="148"/>
      <c r="H10" s="148"/>
      <c r="I10" s="148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3" t="s">
        <v>60</v>
      </c>
      <c r="B14" s="143"/>
      <c r="C14" s="143"/>
      <c r="D14" s="143"/>
      <c r="E14" s="143"/>
      <c r="F14" s="143"/>
      <c r="G14" s="143"/>
      <c r="H14" s="143"/>
      <c r="I14" s="143"/>
    </row>
    <row r="15" spans="1:9" ht="15.75" customHeight="1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</row>
    <row r="16" spans="1:9" ht="15.75" customHeight="1">
      <c r="A16" s="21">
        <v>1</v>
      </c>
      <c r="B16" s="40" t="s">
        <v>110</v>
      </c>
      <c r="C16" s="41" t="s">
        <v>89</v>
      </c>
      <c r="D16" s="40" t="s">
        <v>155</v>
      </c>
      <c r="E16" s="57">
        <v>70.7</v>
      </c>
      <c r="F16" s="42">
        <f>SUM(E16*156/100)</f>
        <v>110.292</v>
      </c>
      <c r="G16" s="42">
        <v>199.46</v>
      </c>
      <c r="H16" s="58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40" t="s">
        <v>121</v>
      </c>
      <c r="C17" s="41" t="s">
        <v>89</v>
      </c>
      <c r="D17" s="40" t="s">
        <v>156</v>
      </c>
      <c r="E17" s="57">
        <v>282.8</v>
      </c>
      <c r="F17" s="42">
        <f>SUM(E17*104/100)</f>
        <v>294.11200000000002</v>
      </c>
      <c r="G17" s="42">
        <v>199.46</v>
      </c>
      <c r="H17" s="58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40" t="s">
        <v>122</v>
      </c>
      <c r="C18" s="41" t="s">
        <v>89</v>
      </c>
      <c r="D18" s="40" t="s">
        <v>157</v>
      </c>
      <c r="E18" s="57">
        <f>SUM(E16+E17)</f>
        <v>353.5</v>
      </c>
      <c r="F18" s="42">
        <f>SUM(E18*24/100)</f>
        <v>84.84</v>
      </c>
      <c r="G18" s="42">
        <v>573.83000000000004</v>
      </c>
      <c r="H18" s="58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1"/>
      <c r="B19" s="40" t="s">
        <v>111</v>
      </c>
      <c r="C19" s="41" t="s">
        <v>112</v>
      </c>
      <c r="D19" s="40" t="s">
        <v>113</v>
      </c>
      <c r="E19" s="57">
        <v>40</v>
      </c>
      <c r="F19" s="42">
        <f>SUM(E19/10)</f>
        <v>4</v>
      </c>
      <c r="G19" s="42">
        <v>193.55</v>
      </c>
      <c r="H19" s="58">
        <f t="shared" si="0"/>
        <v>0.7742</v>
      </c>
      <c r="I19" s="10">
        <v>0</v>
      </c>
    </row>
    <row r="20" spans="1:9" ht="15.75" hidden="1" customHeight="1">
      <c r="A20" s="21"/>
      <c r="B20" s="40" t="s">
        <v>114</v>
      </c>
      <c r="C20" s="41" t="s">
        <v>89</v>
      </c>
      <c r="D20" s="40" t="s">
        <v>43</v>
      </c>
      <c r="E20" s="57">
        <v>10.5</v>
      </c>
      <c r="F20" s="42">
        <f>E20*2/100</f>
        <v>0.21</v>
      </c>
      <c r="G20" s="42">
        <v>247.82</v>
      </c>
      <c r="H20" s="58">
        <f t="shared" si="0"/>
        <v>5.2042199999999997E-2</v>
      </c>
      <c r="I20" s="10">
        <v>0</v>
      </c>
    </row>
    <row r="21" spans="1:9" ht="15.75" hidden="1" customHeight="1">
      <c r="A21" s="21"/>
      <c r="B21" s="40" t="s">
        <v>115</v>
      </c>
      <c r="C21" s="41" t="s">
        <v>89</v>
      </c>
      <c r="D21" s="40" t="s">
        <v>43</v>
      </c>
      <c r="E21" s="57">
        <v>2.7</v>
      </c>
      <c r="F21" s="42">
        <f>SUM(E21*2/100)</f>
        <v>5.4000000000000006E-2</v>
      </c>
      <c r="G21" s="42">
        <v>245.81</v>
      </c>
      <c r="H21" s="58">
        <f t="shared" si="0"/>
        <v>1.3273740000000003E-2</v>
      </c>
      <c r="I21" s="10">
        <v>0</v>
      </c>
    </row>
    <row r="22" spans="1:9" ht="15.75" hidden="1" customHeight="1">
      <c r="A22" s="21"/>
      <c r="B22" s="40" t="s">
        <v>116</v>
      </c>
      <c r="C22" s="41" t="s">
        <v>53</v>
      </c>
      <c r="D22" s="40" t="s">
        <v>113</v>
      </c>
      <c r="E22" s="57">
        <v>357</v>
      </c>
      <c r="F22" s="42">
        <f>SUM(E22/100)</f>
        <v>3.57</v>
      </c>
      <c r="G22" s="42">
        <v>306.26</v>
      </c>
      <c r="H22" s="58">
        <f t="shared" si="0"/>
        <v>1.0933481999999999</v>
      </c>
      <c r="I22" s="10">
        <v>0</v>
      </c>
    </row>
    <row r="23" spans="1:9" ht="15.75" hidden="1" customHeight="1">
      <c r="A23" s="21"/>
      <c r="B23" s="40" t="s">
        <v>117</v>
      </c>
      <c r="C23" s="41" t="s">
        <v>53</v>
      </c>
      <c r="D23" s="40" t="s">
        <v>113</v>
      </c>
      <c r="E23" s="60">
        <v>38.64</v>
      </c>
      <c r="F23" s="42">
        <f>SUM(E23/100)</f>
        <v>0.38640000000000002</v>
      </c>
      <c r="G23" s="42">
        <v>50.37</v>
      </c>
      <c r="H23" s="58">
        <f t="shared" si="0"/>
        <v>1.9462968000000001E-2</v>
      </c>
      <c r="I23" s="10">
        <v>0</v>
      </c>
    </row>
    <row r="24" spans="1:9" ht="15.75" hidden="1" customHeight="1">
      <c r="A24" s="21"/>
      <c r="B24" s="40" t="s">
        <v>118</v>
      </c>
      <c r="C24" s="41" t="s">
        <v>53</v>
      </c>
      <c r="D24" s="40" t="s">
        <v>123</v>
      </c>
      <c r="E24" s="57">
        <v>15</v>
      </c>
      <c r="F24" s="42">
        <f>E24/100</f>
        <v>0.15</v>
      </c>
      <c r="G24" s="42">
        <v>443.27</v>
      </c>
      <c r="H24" s="58">
        <f t="shared" si="0"/>
        <v>6.6490499999999994E-2</v>
      </c>
      <c r="I24" s="10">
        <v>0</v>
      </c>
    </row>
    <row r="25" spans="1:9" ht="15.75" hidden="1" customHeight="1">
      <c r="A25" s="21"/>
      <c r="B25" s="40" t="s">
        <v>124</v>
      </c>
      <c r="C25" s="41" t="s">
        <v>89</v>
      </c>
      <c r="D25" s="40" t="s">
        <v>54</v>
      </c>
      <c r="E25" s="57">
        <v>14.25</v>
      </c>
      <c r="F25" s="42">
        <v>0.1</v>
      </c>
      <c r="G25" s="42">
        <v>245.81</v>
      </c>
      <c r="H25" s="58">
        <v>3.1E-2</v>
      </c>
      <c r="I25" s="10">
        <v>0</v>
      </c>
    </row>
    <row r="26" spans="1:9" ht="15.75" hidden="1" customHeight="1">
      <c r="A26" s="21"/>
      <c r="B26" s="40" t="s">
        <v>125</v>
      </c>
      <c r="C26" s="41" t="s">
        <v>53</v>
      </c>
      <c r="D26" s="40" t="s">
        <v>113</v>
      </c>
      <c r="E26" s="57">
        <v>6.38</v>
      </c>
      <c r="F26" s="42">
        <f>SUM(E26/100)</f>
        <v>6.3799999999999996E-2</v>
      </c>
      <c r="G26" s="42">
        <v>592.37</v>
      </c>
      <c r="H26" s="58">
        <f t="shared" si="0"/>
        <v>3.7793205999999996E-2</v>
      </c>
      <c r="I26" s="10">
        <v>0</v>
      </c>
    </row>
    <row r="27" spans="1:9" ht="15.75" customHeight="1">
      <c r="A27" s="21">
        <v>4</v>
      </c>
      <c r="B27" s="40" t="s">
        <v>65</v>
      </c>
      <c r="C27" s="41" t="s">
        <v>33</v>
      </c>
      <c r="D27" s="40"/>
      <c r="E27" s="57">
        <v>0.1</v>
      </c>
      <c r="F27" s="42">
        <f>SUM(E27*365)</f>
        <v>36.5</v>
      </c>
      <c r="G27" s="42">
        <v>167.24</v>
      </c>
      <c r="H27" s="58">
        <f>SUM(F27*G27/1000)</f>
        <v>6.10426</v>
      </c>
      <c r="I27" s="10">
        <f>F27/12*G27</f>
        <v>508.68833333333333</v>
      </c>
    </row>
    <row r="28" spans="1:9" ht="15.75" customHeight="1">
      <c r="A28" s="21">
        <v>5</v>
      </c>
      <c r="B28" s="64" t="s">
        <v>23</v>
      </c>
      <c r="C28" s="41" t="s">
        <v>24</v>
      </c>
      <c r="D28" s="40"/>
      <c r="E28" s="57">
        <v>2661.7</v>
      </c>
      <c r="F28" s="42">
        <f>SUM(E28*12)</f>
        <v>31940.399999999998</v>
      </c>
      <c r="G28" s="42">
        <v>5.58</v>
      </c>
      <c r="H28" s="58">
        <f>SUM(F28*G28/1000)</f>
        <v>178.22743199999999</v>
      </c>
      <c r="I28" s="10">
        <f>F28/12*G28</f>
        <v>14852.286</v>
      </c>
    </row>
    <row r="29" spans="1:9" ht="15.75" customHeight="1">
      <c r="A29" s="129" t="s">
        <v>87</v>
      </c>
      <c r="B29" s="129"/>
      <c r="C29" s="129"/>
      <c r="D29" s="129"/>
      <c r="E29" s="129"/>
      <c r="F29" s="129"/>
      <c r="G29" s="129"/>
      <c r="H29" s="129"/>
      <c r="I29" s="129"/>
    </row>
    <row r="30" spans="1:9" ht="15.75" hidden="1" customHeight="1">
      <c r="A30" s="21"/>
      <c r="B30" s="78" t="s">
        <v>28</v>
      </c>
      <c r="C30" s="41"/>
      <c r="D30" s="40"/>
      <c r="E30" s="57"/>
      <c r="F30" s="42"/>
      <c r="G30" s="42"/>
      <c r="H30" s="58"/>
      <c r="I30" s="62"/>
    </row>
    <row r="31" spans="1:9" ht="31.5" hidden="1" customHeight="1">
      <c r="A31" s="21">
        <v>6</v>
      </c>
      <c r="B31" s="40" t="s">
        <v>97</v>
      </c>
      <c r="C31" s="41" t="s">
        <v>91</v>
      </c>
      <c r="D31" s="40" t="s">
        <v>126</v>
      </c>
      <c r="E31" s="42">
        <v>573.6</v>
      </c>
      <c r="F31" s="42">
        <f>SUM(E31*52/1000)</f>
        <v>29.827200000000001</v>
      </c>
      <c r="G31" s="42">
        <v>177.3</v>
      </c>
      <c r="H31" s="58">
        <f t="shared" ref="H31:H37" si="2">SUM(F31*G31/1000)</f>
        <v>5.2883625600000004</v>
      </c>
      <c r="I31" s="10">
        <v>0</v>
      </c>
    </row>
    <row r="32" spans="1:9" ht="31.5" hidden="1" customHeight="1">
      <c r="A32" s="21">
        <v>7</v>
      </c>
      <c r="B32" s="40" t="s">
        <v>170</v>
      </c>
      <c r="C32" s="41" t="s">
        <v>91</v>
      </c>
      <c r="D32" s="40" t="s">
        <v>127</v>
      </c>
      <c r="E32" s="42">
        <v>200</v>
      </c>
      <c r="F32" s="42">
        <f>SUM(E32*78/1000)</f>
        <v>15.6</v>
      </c>
      <c r="G32" s="42">
        <v>294.17</v>
      </c>
      <c r="H32" s="58">
        <f t="shared" si="2"/>
        <v>4.5890520000000006</v>
      </c>
      <c r="I32" s="10">
        <v>0</v>
      </c>
    </row>
    <row r="33" spans="1:9" ht="15.75" hidden="1" customHeight="1">
      <c r="A33" s="21">
        <v>16</v>
      </c>
      <c r="B33" s="40" t="s">
        <v>27</v>
      </c>
      <c r="C33" s="41" t="s">
        <v>91</v>
      </c>
      <c r="D33" s="40" t="s">
        <v>54</v>
      </c>
      <c r="E33" s="42">
        <v>573.6</v>
      </c>
      <c r="F33" s="42">
        <f>SUM(E33/1000)</f>
        <v>0.5736</v>
      </c>
      <c r="G33" s="42">
        <v>3435.36</v>
      </c>
      <c r="H33" s="58">
        <f t="shared" si="2"/>
        <v>1.9705224960000001</v>
      </c>
      <c r="I33" s="10">
        <v>0</v>
      </c>
    </row>
    <row r="34" spans="1:9" ht="15.75" hidden="1" customHeight="1">
      <c r="A34" s="21">
        <v>8</v>
      </c>
      <c r="B34" s="40" t="s">
        <v>128</v>
      </c>
      <c r="C34" s="41" t="s">
        <v>41</v>
      </c>
      <c r="D34" s="40" t="s">
        <v>64</v>
      </c>
      <c r="E34" s="42">
        <v>1</v>
      </c>
      <c r="F34" s="42">
        <v>1.55</v>
      </c>
      <c r="G34" s="42">
        <v>1480.94</v>
      </c>
      <c r="H34" s="58">
        <f>G34*F34/1000</f>
        <v>2.2954570000000003</v>
      </c>
      <c r="I34" s="10">
        <v>0</v>
      </c>
    </row>
    <row r="35" spans="1:9" ht="15.75" hidden="1" customHeight="1">
      <c r="A35" s="21">
        <v>9</v>
      </c>
      <c r="B35" s="40" t="s">
        <v>165</v>
      </c>
      <c r="C35" s="41" t="s">
        <v>31</v>
      </c>
      <c r="D35" s="40" t="s">
        <v>64</v>
      </c>
      <c r="E35" s="63">
        <v>0.33333333333333331</v>
      </c>
      <c r="F35" s="42">
        <f>155/3</f>
        <v>51.666666666666664</v>
      </c>
      <c r="G35" s="42">
        <v>64.48</v>
      </c>
      <c r="H35" s="58">
        <f>SUM(G35*155/3/1000)</f>
        <v>3.331466666666667</v>
      </c>
      <c r="I35" s="10">
        <v>0</v>
      </c>
    </row>
    <row r="36" spans="1:9" ht="15.75" hidden="1" customHeight="1">
      <c r="A36" s="21"/>
      <c r="B36" s="40" t="s">
        <v>66</v>
      </c>
      <c r="C36" s="41" t="s">
        <v>33</v>
      </c>
      <c r="D36" s="40" t="s">
        <v>68</v>
      </c>
      <c r="E36" s="57"/>
      <c r="F36" s="42">
        <v>3</v>
      </c>
      <c r="G36" s="42">
        <v>217.61</v>
      </c>
      <c r="H36" s="58">
        <f t="shared" si="2"/>
        <v>0.65283000000000002</v>
      </c>
      <c r="I36" s="10">
        <v>0</v>
      </c>
    </row>
    <row r="37" spans="1:9" ht="15.75" hidden="1" customHeight="1">
      <c r="A37" s="21"/>
      <c r="B37" s="40" t="s">
        <v>67</v>
      </c>
      <c r="C37" s="41" t="s">
        <v>32</v>
      </c>
      <c r="D37" s="40" t="s">
        <v>68</v>
      </c>
      <c r="E37" s="57"/>
      <c r="F37" s="42">
        <v>2</v>
      </c>
      <c r="G37" s="42">
        <v>1292.47</v>
      </c>
      <c r="H37" s="58">
        <f t="shared" si="2"/>
        <v>2.58494</v>
      </c>
      <c r="I37" s="10">
        <v>0</v>
      </c>
    </row>
    <row r="38" spans="1:9" ht="15.75" customHeight="1">
      <c r="A38" s="21"/>
      <c r="B38" s="78" t="s">
        <v>5</v>
      </c>
      <c r="C38" s="41"/>
      <c r="D38" s="40"/>
      <c r="E38" s="57"/>
      <c r="F38" s="42"/>
      <c r="G38" s="42"/>
      <c r="H38" s="58" t="s">
        <v>166</v>
      </c>
      <c r="I38" s="62"/>
    </row>
    <row r="39" spans="1:9" ht="15.75" customHeight="1">
      <c r="A39" s="21">
        <v>6</v>
      </c>
      <c r="B39" s="40" t="s">
        <v>26</v>
      </c>
      <c r="C39" s="41" t="s">
        <v>32</v>
      </c>
      <c r="D39" s="40"/>
      <c r="E39" s="57"/>
      <c r="F39" s="42">
        <v>8</v>
      </c>
      <c r="G39" s="42">
        <v>1737.08</v>
      </c>
      <c r="H39" s="58">
        <f t="shared" ref="H39:H45" si="3">SUM(F39*G39/1000)</f>
        <v>13.89664</v>
      </c>
      <c r="I39" s="10">
        <f>F39/6*G39</f>
        <v>2316.1066666666666</v>
      </c>
    </row>
    <row r="40" spans="1:9" ht="15.75" customHeight="1">
      <c r="A40" s="21">
        <v>7</v>
      </c>
      <c r="B40" s="40" t="s">
        <v>69</v>
      </c>
      <c r="C40" s="41" t="s">
        <v>29</v>
      </c>
      <c r="D40" s="40" t="s">
        <v>105</v>
      </c>
      <c r="E40" s="42">
        <v>200</v>
      </c>
      <c r="F40" s="42">
        <f>SUM(E40*30/1000)</f>
        <v>6</v>
      </c>
      <c r="G40" s="42">
        <v>2391.67</v>
      </c>
      <c r="H40" s="58">
        <f t="shared" si="3"/>
        <v>14.350020000000001</v>
      </c>
      <c r="I40" s="10">
        <f>F40/6*G40</f>
        <v>2391.67</v>
      </c>
    </row>
    <row r="41" spans="1:9" ht="15.75" hidden="1" customHeight="1">
      <c r="A41" s="21"/>
      <c r="B41" s="40" t="s">
        <v>129</v>
      </c>
      <c r="C41" s="41" t="s">
        <v>55</v>
      </c>
      <c r="D41" s="40"/>
      <c r="E41" s="57"/>
      <c r="F41" s="42">
        <v>130</v>
      </c>
      <c r="G41" s="42">
        <v>226.84</v>
      </c>
      <c r="H41" s="58">
        <f t="shared" si="3"/>
        <v>29.4892</v>
      </c>
      <c r="I41" s="10">
        <v>0</v>
      </c>
    </row>
    <row r="42" spans="1:9" ht="15.75" customHeight="1">
      <c r="A42" s="21">
        <v>8</v>
      </c>
      <c r="B42" s="40" t="s">
        <v>70</v>
      </c>
      <c r="C42" s="41" t="s">
        <v>29</v>
      </c>
      <c r="D42" s="40" t="s">
        <v>90</v>
      </c>
      <c r="E42" s="42">
        <v>60</v>
      </c>
      <c r="F42" s="42">
        <f>SUM(E42*155/1000)</f>
        <v>9.3000000000000007</v>
      </c>
      <c r="G42" s="42">
        <v>398.95</v>
      </c>
      <c r="H42" s="58">
        <f t="shared" si="3"/>
        <v>3.7102349999999999</v>
      </c>
      <c r="I42" s="10">
        <f t="shared" ref="I42:I43" si="4">F42/6*G42</f>
        <v>618.37249999999995</v>
      </c>
    </row>
    <row r="43" spans="1:9" ht="47.25" customHeight="1">
      <c r="A43" s="21">
        <v>9</v>
      </c>
      <c r="B43" s="40" t="s">
        <v>86</v>
      </c>
      <c r="C43" s="41" t="s">
        <v>91</v>
      </c>
      <c r="D43" s="40" t="s">
        <v>130</v>
      </c>
      <c r="E43" s="42">
        <v>40.9</v>
      </c>
      <c r="F43" s="42">
        <f>SUM(E43*35/1000)</f>
        <v>1.4315</v>
      </c>
      <c r="G43" s="42">
        <v>6600.74</v>
      </c>
      <c r="H43" s="58">
        <f t="shared" si="3"/>
        <v>9.4489593099999993</v>
      </c>
      <c r="I43" s="10">
        <f t="shared" si="4"/>
        <v>1574.8265516666668</v>
      </c>
    </row>
    <row r="44" spans="1:9" ht="15.75" customHeight="1">
      <c r="A44" s="21">
        <v>10</v>
      </c>
      <c r="B44" s="40" t="s">
        <v>92</v>
      </c>
      <c r="C44" s="41" t="s">
        <v>91</v>
      </c>
      <c r="D44" s="40" t="s">
        <v>71</v>
      </c>
      <c r="E44" s="42">
        <v>60</v>
      </c>
      <c r="F44" s="42">
        <f>SUM(E44*45/1000)</f>
        <v>2.7</v>
      </c>
      <c r="G44" s="42">
        <v>487.61</v>
      </c>
      <c r="H44" s="58">
        <f t="shared" si="3"/>
        <v>1.3165470000000001</v>
      </c>
      <c r="I44" s="10">
        <f>F44/7.5*G44</f>
        <v>175.53960000000004</v>
      </c>
    </row>
    <row r="45" spans="1:9" ht="15.75" customHeight="1">
      <c r="A45" s="21">
        <v>11</v>
      </c>
      <c r="B45" s="40" t="s">
        <v>72</v>
      </c>
      <c r="C45" s="41" t="s">
        <v>33</v>
      </c>
      <c r="D45" s="40"/>
      <c r="E45" s="57"/>
      <c r="F45" s="42">
        <v>0.9</v>
      </c>
      <c r="G45" s="42">
        <v>907.65</v>
      </c>
      <c r="H45" s="58">
        <f t="shared" si="3"/>
        <v>0.81688499999999997</v>
      </c>
      <c r="I45" s="10">
        <f>F45/7.5*G45</f>
        <v>108.91800000000001</v>
      </c>
    </row>
    <row r="46" spans="1:9" ht="15.75" customHeight="1">
      <c r="A46" s="130" t="s">
        <v>159</v>
      </c>
      <c r="B46" s="131"/>
      <c r="C46" s="131"/>
      <c r="D46" s="131"/>
      <c r="E46" s="131"/>
      <c r="F46" s="131"/>
      <c r="G46" s="131"/>
      <c r="H46" s="131"/>
      <c r="I46" s="132"/>
    </row>
    <row r="47" spans="1:9" ht="15.75" hidden="1" customHeight="1">
      <c r="A47" s="21"/>
      <c r="B47" s="40" t="s">
        <v>167</v>
      </c>
      <c r="C47" s="41" t="s">
        <v>91</v>
      </c>
      <c r="D47" s="40" t="s">
        <v>43</v>
      </c>
      <c r="E47" s="57">
        <v>1300.5</v>
      </c>
      <c r="F47" s="42">
        <f>SUM(E47/1000)*2</f>
        <v>2.601</v>
      </c>
      <c r="G47" s="10">
        <v>1173.18</v>
      </c>
      <c r="H47" s="58">
        <f t="shared" ref="H47:H57" si="5">SUM(F47*G47/1000)</f>
        <v>3.0514411800000003</v>
      </c>
      <c r="I47" s="10">
        <v>0</v>
      </c>
    </row>
    <row r="48" spans="1:9" ht="15.75" hidden="1" customHeight="1">
      <c r="A48" s="21"/>
      <c r="B48" s="40" t="s">
        <v>36</v>
      </c>
      <c r="C48" s="41" t="s">
        <v>91</v>
      </c>
      <c r="D48" s="40" t="s">
        <v>43</v>
      </c>
      <c r="E48" s="57">
        <v>52</v>
      </c>
      <c r="F48" s="42">
        <f>SUM(E48*2/1000)</f>
        <v>0.104</v>
      </c>
      <c r="G48" s="10">
        <v>659.09</v>
      </c>
      <c r="H48" s="58">
        <f t="shared" si="5"/>
        <v>6.854536E-2</v>
      </c>
      <c r="I48" s="10">
        <v>0</v>
      </c>
    </row>
    <row r="49" spans="1:9" ht="15.75" hidden="1" customHeight="1">
      <c r="A49" s="21"/>
      <c r="B49" s="40" t="s">
        <v>37</v>
      </c>
      <c r="C49" s="41" t="s">
        <v>91</v>
      </c>
      <c r="D49" s="40" t="s">
        <v>43</v>
      </c>
      <c r="E49" s="57">
        <v>1483.1</v>
      </c>
      <c r="F49" s="42">
        <f>SUM(E49*2/1000)</f>
        <v>2.9661999999999997</v>
      </c>
      <c r="G49" s="10">
        <v>1564.24</v>
      </c>
      <c r="H49" s="58">
        <f t="shared" si="5"/>
        <v>4.6398486879999998</v>
      </c>
      <c r="I49" s="10">
        <v>0</v>
      </c>
    </row>
    <row r="50" spans="1:9" ht="15.75" hidden="1" customHeight="1">
      <c r="A50" s="21"/>
      <c r="B50" s="40" t="s">
        <v>38</v>
      </c>
      <c r="C50" s="41" t="s">
        <v>91</v>
      </c>
      <c r="D50" s="40" t="s">
        <v>43</v>
      </c>
      <c r="E50" s="57">
        <v>2320</v>
      </c>
      <c r="F50" s="42">
        <f>SUM(E50*2/1000)</f>
        <v>4.6399999999999997</v>
      </c>
      <c r="G50" s="10">
        <v>1078.3599999999999</v>
      </c>
      <c r="H50" s="58">
        <f t="shared" si="5"/>
        <v>5.0035903999999993</v>
      </c>
      <c r="I50" s="10">
        <v>0</v>
      </c>
    </row>
    <row r="51" spans="1:9" ht="15.75" hidden="1" customHeight="1">
      <c r="A51" s="21"/>
      <c r="B51" s="40" t="s">
        <v>34</v>
      </c>
      <c r="C51" s="41" t="s">
        <v>35</v>
      </c>
      <c r="D51" s="40" t="s">
        <v>43</v>
      </c>
      <c r="E51" s="57">
        <v>91.84</v>
      </c>
      <c r="F51" s="42">
        <f>SUM(E51*2/100)</f>
        <v>1.8368</v>
      </c>
      <c r="G51" s="10">
        <v>82.82</v>
      </c>
      <c r="H51" s="58">
        <f t="shared" si="5"/>
        <v>0.15212377599999999</v>
      </c>
      <c r="I51" s="10">
        <v>0</v>
      </c>
    </row>
    <row r="52" spans="1:9" ht="15.75" customHeight="1">
      <c r="A52" s="21">
        <v>12</v>
      </c>
      <c r="B52" s="40" t="s">
        <v>57</v>
      </c>
      <c r="C52" s="41" t="s">
        <v>91</v>
      </c>
      <c r="D52" s="40" t="s">
        <v>171</v>
      </c>
      <c r="E52" s="57">
        <v>1040.4000000000001</v>
      </c>
      <c r="F52" s="42">
        <f>SUM(E52*5/1000)</f>
        <v>5.202</v>
      </c>
      <c r="G52" s="10">
        <v>1564.24</v>
      </c>
      <c r="H52" s="58">
        <f>SUM(F52*G52/1000)</f>
        <v>8.1371764800000008</v>
      </c>
      <c r="I52" s="10">
        <f>F52/5*G52</f>
        <v>1627.4352960000001</v>
      </c>
    </row>
    <row r="53" spans="1:9" ht="31.5" hidden="1" customHeight="1">
      <c r="A53" s="21"/>
      <c r="B53" s="40" t="s">
        <v>93</v>
      </c>
      <c r="C53" s="41" t="s">
        <v>91</v>
      </c>
      <c r="D53" s="40" t="s">
        <v>43</v>
      </c>
      <c r="E53" s="57">
        <v>1040.4000000000001</v>
      </c>
      <c r="F53" s="42">
        <f>SUM(E53*2/1000)</f>
        <v>2.0808</v>
      </c>
      <c r="G53" s="10">
        <v>1380.31</v>
      </c>
      <c r="H53" s="58">
        <f t="shared" si="5"/>
        <v>2.8721490479999998</v>
      </c>
      <c r="I53" s="10">
        <v>0</v>
      </c>
    </row>
    <row r="54" spans="1:9" ht="31.5" hidden="1" customHeight="1">
      <c r="A54" s="21"/>
      <c r="B54" s="40" t="s">
        <v>94</v>
      </c>
      <c r="C54" s="41" t="s">
        <v>39</v>
      </c>
      <c r="D54" s="40" t="s">
        <v>43</v>
      </c>
      <c r="E54" s="57">
        <v>20</v>
      </c>
      <c r="F54" s="42">
        <f>SUM(E54*2/100)</f>
        <v>0.4</v>
      </c>
      <c r="G54" s="10">
        <v>3519.56</v>
      </c>
      <c r="H54" s="58">
        <f t="shared" si="5"/>
        <v>1.407824</v>
      </c>
      <c r="I54" s="10">
        <v>0</v>
      </c>
    </row>
    <row r="55" spans="1:9" ht="15.75" hidden="1" customHeight="1">
      <c r="A55" s="21"/>
      <c r="B55" s="40" t="s">
        <v>40</v>
      </c>
      <c r="C55" s="41" t="s">
        <v>41</v>
      </c>
      <c r="D55" s="40" t="s">
        <v>43</v>
      </c>
      <c r="E55" s="57">
        <v>1</v>
      </c>
      <c r="F55" s="42">
        <v>0.02</v>
      </c>
      <c r="G55" s="10">
        <v>6428.82</v>
      </c>
      <c r="H55" s="58">
        <f t="shared" si="5"/>
        <v>0.12857640000000001</v>
      </c>
      <c r="I55" s="10">
        <v>0</v>
      </c>
    </row>
    <row r="56" spans="1:9" ht="15.75" hidden="1" customHeight="1">
      <c r="A56" s="21">
        <v>13</v>
      </c>
      <c r="B56" s="40" t="s">
        <v>103</v>
      </c>
      <c r="C56" s="41" t="s">
        <v>98</v>
      </c>
      <c r="D56" s="40" t="s">
        <v>73</v>
      </c>
      <c r="E56" s="57">
        <v>56</v>
      </c>
      <c r="F56" s="42">
        <f>SUM(E56*3)</f>
        <v>168</v>
      </c>
      <c r="G56" s="10">
        <v>160.51</v>
      </c>
      <c r="H56" s="58">
        <f t="shared" si="5"/>
        <v>26.965679999999999</v>
      </c>
      <c r="I56" s="10">
        <f>E56*G56</f>
        <v>8988.56</v>
      </c>
    </row>
    <row r="57" spans="1:9" ht="15.75" hidden="1" customHeight="1">
      <c r="A57" s="21">
        <v>14</v>
      </c>
      <c r="B57" s="40" t="s">
        <v>42</v>
      </c>
      <c r="C57" s="41" t="s">
        <v>98</v>
      </c>
      <c r="D57" s="40" t="s">
        <v>73</v>
      </c>
      <c r="E57" s="57">
        <v>112</v>
      </c>
      <c r="F57" s="42">
        <f>SUM(E57)*3</f>
        <v>336</v>
      </c>
      <c r="G57" s="10">
        <v>74.709999999999994</v>
      </c>
      <c r="H57" s="58">
        <f t="shared" si="5"/>
        <v>25.102559999999997</v>
      </c>
      <c r="I57" s="10">
        <f>E57*G57</f>
        <v>8367.5199999999986</v>
      </c>
    </row>
    <row r="58" spans="1:9" ht="15.75" customHeight="1">
      <c r="A58" s="130" t="s">
        <v>160</v>
      </c>
      <c r="B58" s="131"/>
      <c r="C58" s="131"/>
      <c r="D58" s="131"/>
      <c r="E58" s="131"/>
      <c r="F58" s="131"/>
      <c r="G58" s="131"/>
      <c r="H58" s="131"/>
      <c r="I58" s="132"/>
    </row>
    <row r="59" spans="1:9" ht="15.75" customHeight="1">
      <c r="A59" s="21"/>
      <c r="B59" s="78" t="s">
        <v>44</v>
      </c>
      <c r="C59" s="41"/>
      <c r="D59" s="40"/>
      <c r="E59" s="57"/>
      <c r="F59" s="42"/>
      <c r="G59" s="42"/>
      <c r="H59" s="58"/>
      <c r="I59" s="62"/>
    </row>
    <row r="60" spans="1:9" ht="31.5" customHeight="1">
      <c r="A60" s="21">
        <v>13</v>
      </c>
      <c r="B60" s="40" t="s">
        <v>106</v>
      </c>
      <c r="C60" s="41" t="s">
        <v>89</v>
      </c>
      <c r="D60" s="98" t="s">
        <v>196</v>
      </c>
      <c r="E60" s="57">
        <v>142.05000000000001</v>
      </c>
      <c r="F60" s="42">
        <f>SUM(E60*6/100)</f>
        <v>8.5230000000000015</v>
      </c>
      <c r="G60" s="10">
        <v>2108.4299999999998</v>
      </c>
      <c r="H60" s="58">
        <f>SUM(F60*G60/1000)</f>
        <v>17.970148890000001</v>
      </c>
      <c r="I60" s="10">
        <f>G60*0.41</f>
        <v>864.45629999999983</v>
      </c>
    </row>
    <row r="61" spans="1:9" ht="15.75" customHeight="1">
      <c r="A61" s="21"/>
      <c r="B61" s="78" t="s">
        <v>45</v>
      </c>
      <c r="C61" s="41"/>
      <c r="D61" s="40"/>
      <c r="E61" s="57"/>
      <c r="F61" s="58"/>
      <c r="G61" s="10"/>
      <c r="H61" s="65"/>
      <c r="I61" s="62"/>
    </row>
    <row r="62" spans="1:9" ht="15.75" hidden="1" customHeight="1">
      <c r="A62" s="21"/>
      <c r="B62" s="40" t="s">
        <v>169</v>
      </c>
      <c r="C62" s="41" t="s">
        <v>89</v>
      </c>
      <c r="D62" s="40" t="s">
        <v>54</v>
      </c>
      <c r="E62" s="57">
        <v>1040.4000000000001</v>
      </c>
      <c r="F62" s="58">
        <f>E62/100</f>
        <v>10.404000000000002</v>
      </c>
      <c r="G62" s="10">
        <v>902.66</v>
      </c>
      <c r="H62" s="65">
        <f>G62*F62/1000</f>
        <v>9.3912746400000007</v>
      </c>
      <c r="I62" s="10">
        <v>0</v>
      </c>
    </row>
    <row r="63" spans="1:9" ht="15.75" customHeight="1">
      <c r="A63" s="21">
        <v>14</v>
      </c>
      <c r="B63" s="90" t="s">
        <v>131</v>
      </c>
      <c r="C63" s="91" t="s">
        <v>25</v>
      </c>
      <c r="D63" s="90" t="s">
        <v>132</v>
      </c>
      <c r="E63" s="92">
        <v>200</v>
      </c>
      <c r="F63" s="93">
        <v>2880</v>
      </c>
      <c r="G63" s="94">
        <v>1.2</v>
      </c>
      <c r="H63" s="58">
        <f>F63*G63/1000</f>
        <v>3.456</v>
      </c>
      <c r="I63" s="10">
        <f>F63/12*G63</f>
        <v>288</v>
      </c>
    </row>
    <row r="64" spans="1:9" ht="15.75" customHeight="1">
      <c r="A64" s="21"/>
      <c r="B64" s="79" t="s">
        <v>46</v>
      </c>
      <c r="C64" s="66"/>
      <c r="D64" s="67"/>
      <c r="E64" s="68"/>
      <c r="F64" s="69"/>
      <c r="G64" s="69"/>
      <c r="H64" s="70" t="s">
        <v>166</v>
      </c>
      <c r="I64" s="62"/>
    </row>
    <row r="65" spans="1:9" ht="15.75" hidden="1" customHeight="1">
      <c r="A65" s="21">
        <v>15</v>
      </c>
      <c r="B65" s="11" t="s">
        <v>47</v>
      </c>
      <c r="C65" s="13" t="s">
        <v>41</v>
      </c>
      <c r="D65" s="40" t="s">
        <v>68</v>
      </c>
      <c r="E65" s="15">
        <v>15</v>
      </c>
      <c r="F65" s="42">
        <f>15/100</f>
        <v>0.15</v>
      </c>
      <c r="G65" s="10">
        <v>252.96</v>
      </c>
      <c r="H65" s="71">
        <f t="shared" ref="H65:H81" si="6">SUM(F65*G65/1000)</f>
        <v>3.7944000000000006E-2</v>
      </c>
      <c r="I65" s="10">
        <f>G65*4</f>
        <v>1011.84</v>
      </c>
    </row>
    <row r="66" spans="1:9" ht="15.75" hidden="1" customHeight="1">
      <c r="A66" s="21"/>
      <c r="B66" s="11" t="s">
        <v>48</v>
      </c>
      <c r="C66" s="13" t="s">
        <v>41</v>
      </c>
      <c r="D66" s="40" t="s">
        <v>68</v>
      </c>
      <c r="E66" s="15">
        <v>10</v>
      </c>
      <c r="F66" s="42">
        <f>10/100</f>
        <v>0.1</v>
      </c>
      <c r="G66" s="10">
        <v>86.74</v>
      </c>
      <c r="H66" s="71">
        <f t="shared" si="6"/>
        <v>8.6739999999999994E-3</v>
      </c>
      <c r="I66" s="10">
        <v>0</v>
      </c>
    </row>
    <row r="67" spans="1:9" ht="15.75" hidden="1" customHeight="1">
      <c r="A67" s="21"/>
      <c r="B67" s="11" t="s">
        <v>49</v>
      </c>
      <c r="C67" s="13" t="s">
        <v>99</v>
      </c>
      <c r="D67" s="11" t="s">
        <v>54</v>
      </c>
      <c r="E67" s="57">
        <v>17532</v>
      </c>
      <c r="F67" s="10">
        <f>SUM(E67/100)</f>
        <v>175.32</v>
      </c>
      <c r="G67" s="10">
        <v>241.31</v>
      </c>
      <c r="H67" s="71">
        <f t="shared" si="6"/>
        <v>42.306469200000002</v>
      </c>
      <c r="I67" s="10">
        <f>F67*G67</f>
        <v>42306.4692</v>
      </c>
    </row>
    <row r="68" spans="1:9" ht="15.75" hidden="1" customHeight="1">
      <c r="A68" s="21"/>
      <c r="B68" s="11" t="s">
        <v>50</v>
      </c>
      <c r="C68" s="13" t="s">
        <v>100</v>
      </c>
      <c r="D68" s="11"/>
      <c r="E68" s="57">
        <v>17532</v>
      </c>
      <c r="F68" s="10">
        <f>SUM(E68/1000)</f>
        <v>17.532</v>
      </c>
      <c r="G68" s="10">
        <v>187.91</v>
      </c>
      <c r="H68" s="71">
        <f t="shared" si="6"/>
        <v>3.2944381199999997</v>
      </c>
      <c r="I68" s="10">
        <f>F68*G68</f>
        <v>3294.4381199999998</v>
      </c>
    </row>
    <row r="69" spans="1:9" ht="15.75" hidden="1" customHeight="1">
      <c r="A69" s="21"/>
      <c r="B69" s="11" t="s">
        <v>51</v>
      </c>
      <c r="C69" s="13" t="s">
        <v>80</v>
      </c>
      <c r="D69" s="11" t="s">
        <v>54</v>
      </c>
      <c r="E69" s="57">
        <v>1365</v>
      </c>
      <c r="F69" s="10">
        <f>SUM(E69/100)</f>
        <v>13.65</v>
      </c>
      <c r="G69" s="10">
        <v>2359.7199999999998</v>
      </c>
      <c r="H69" s="71">
        <f t="shared" si="6"/>
        <v>32.210177999999999</v>
      </c>
      <c r="I69" s="10">
        <f t="shared" ref="I69:I72" si="7">F69*G69</f>
        <v>32210.178</v>
      </c>
    </row>
    <row r="70" spans="1:9" ht="15.75" hidden="1" customHeight="1">
      <c r="A70" s="21"/>
      <c r="B70" s="72" t="s">
        <v>74</v>
      </c>
      <c r="C70" s="13" t="s">
        <v>33</v>
      </c>
      <c r="D70" s="11"/>
      <c r="E70" s="57">
        <v>15.6</v>
      </c>
      <c r="F70" s="10">
        <f>SUM(E70)</f>
        <v>15.6</v>
      </c>
      <c r="G70" s="10">
        <v>45.4</v>
      </c>
      <c r="H70" s="71">
        <f t="shared" si="6"/>
        <v>0.70823999999999998</v>
      </c>
      <c r="I70" s="10">
        <f t="shared" si="7"/>
        <v>708.24</v>
      </c>
    </row>
    <row r="71" spans="1:9" ht="15.75" hidden="1" customHeight="1">
      <c r="A71" s="21"/>
      <c r="B71" s="72" t="s">
        <v>172</v>
      </c>
      <c r="C71" s="13" t="s">
        <v>33</v>
      </c>
      <c r="D71" s="11"/>
      <c r="E71" s="57">
        <v>15.6</v>
      </c>
      <c r="F71" s="10">
        <f>SUM(E71)</f>
        <v>15.6</v>
      </c>
      <c r="G71" s="10">
        <v>42.35</v>
      </c>
      <c r="H71" s="71">
        <f t="shared" si="6"/>
        <v>0.66065999999999991</v>
      </c>
      <c r="I71" s="10">
        <f t="shared" si="7"/>
        <v>660.66</v>
      </c>
    </row>
    <row r="72" spans="1:9" ht="15.75" hidden="1" customHeight="1">
      <c r="A72" s="21"/>
      <c r="B72" s="11" t="s">
        <v>58</v>
      </c>
      <c r="C72" s="13" t="s">
        <v>59</v>
      </c>
      <c r="D72" s="11" t="s">
        <v>54</v>
      </c>
      <c r="E72" s="15">
        <v>4</v>
      </c>
      <c r="F72" s="42">
        <f>SUM(E72)</f>
        <v>4</v>
      </c>
      <c r="G72" s="10">
        <v>56.74</v>
      </c>
      <c r="H72" s="71">
        <f t="shared" si="6"/>
        <v>0.22696</v>
      </c>
      <c r="I72" s="10">
        <f t="shared" si="7"/>
        <v>226.96</v>
      </c>
    </row>
    <row r="73" spans="1:9" ht="15.75" customHeight="1">
      <c r="A73" s="21">
        <v>15</v>
      </c>
      <c r="B73" s="11" t="s">
        <v>133</v>
      </c>
      <c r="C73" s="13" t="s">
        <v>59</v>
      </c>
      <c r="D73" s="11" t="s">
        <v>30</v>
      </c>
      <c r="E73" s="15">
        <v>1</v>
      </c>
      <c r="F73" s="52">
        <v>12</v>
      </c>
      <c r="G73" s="10">
        <v>756.5</v>
      </c>
      <c r="H73" s="71">
        <f t="shared" si="6"/>
        <v>9.0779999999999994</v>
      </c>
      <c r="I73" s="10">
        <f>G73</f>
        <v>756.5</v>
      </c>
    </row>
    <row r="74" spans="1:9" ht="15.75" hidden="1" customHeight="1">
      <c r="A74" s="21"/>
      <c r="B74" s="45" t="s">
        <v>75</v>
      </c>
      <c r="C74" s="13"/>
      <c r="D74" s="11"/>
      <c r="E74" s="15"/>
      <c r="F74" s="10"/>
      <c r="G74" s="10"/>
      <c r="H74" s="71" t="s">
        <v>166</v>
      </c>
      <c r="I74" s="62"/>
    </row>
    <row r="75" spans="1:9" ht="15.75" hidden="1" customHeight="1">
      <c r="A75" s="21"/>
      <c r="B75" s="11" t="s">
        <v>134</v>
      </c>
      <c r="C75" s="13" t="s">
        <v>31</v>
      </c>
      <c r="D75" s="40" t="s">
        <v>68</v>
      </c>
      <c r="E75" s="15">
        <v>2</v>
      </c>
      <c r="F75" s="10">
        <v>2</v>
      </c>
      <c r="G75" s="10">
        <v>892.5</v>
      </c>
      <c r="H75" s="71">
        <f>G75*F75/1000</f>
        <v>1.7849999999999999</v>
      </c>
      <c r="I75" s="10">
        <v>0</v>
      </c>
    </row>
    <row r="76" spans="1:9" ht="15.75" hidden="1" customHeight="1">
      <c r="A76" s="21"/>
      <c r="B76" s="11" t="s">
        <v>119</v>
      </c>
      <c r="C76" s="13" t="s">
        <v>135</v>
      </c>
      <c r="D76" s="11"/>
      <c r="E76" s="15">
        <v>1</v>
      </c>
      <c r="F76" s="10">
        <v>1</v>
      </c>
      <c r="G76" s="10">
        <v>750</v>
      </c>
      <c r="H76" s="71">
        <f>G76*F76/1000</f>
        <v>0.75</v>
      </c>
      <c r="I76" s="10">
        <v>0</v>
      </c>
    </row>
    <row r="77" spans="1:9" ht="15.75" hidden="1" customHeight="1">
      <c r="A77" s="21"/>
      <c r="B77" s="11" t="s">
        <v>76</v>
      </c>
      <c r="C77" s="13" t="s">
        <v>78</v>
      </c>
      <c r="D77" s="11"/>
      <c r="E77" s="15">
        <v>2</v>
      </c>
      <c r="F77" s="10">
        <v>0.2</v>
      </c>
      <c r="G77" s="10">
        <v>570.54</v>
      </c>
      <c r="H77" s="71">
        <f t="shared" si="6"/>
        <v>0.114108</v>
      </c>
      <c r="I77" s="10">
        <v>0</v>
      </c>
    </row>
    <row r="78" spans="1:9" ht="15.75" hidden="1" customHeight="1">
      <c r="A78" s="21"/>
      <c r="B78" s="11" t="s">
        <v>77</v>
      </c>
      <c r="C78" s="13" t="s">
        <v>31</v>
      </c>
      <c r="D78" s="11"/>
      <c r="E78" s="15">
        <v>1</v>
      </c>
      <c r="F78" s="52">
        <v>1</v>
      </c>
      <c r="G78" s="10">
        <v>970.21</v>
      </c>
      <c r="H78" s="71">
        <f t="shared" si="6"/>
        <v>0.97021000000000002</v>
      </c>
      <c r="I78" s="10">
        <v>0</v>
      </c>
    </row>
    <row r="79" spans="1:9" ht="15.75" hidden="1" customHeight="1">
      <c r="A79" s="21">
        <v>16</v>
      </c>
      <c r="B79" s="11" t="s">
        <v>136</v>
      </c>
      <c r="C79" s="13" t="s">
        <v>98</v>
      </c>
      <c r="D79" s="11"/>
      <c r="E79" s="15">
        <v>1</v>
      </c>
      <c r="F79" s="42">
        <f>SUM(E79)</f>
        <v>1</v>
      </c>
      <c r="G79" s="10">
        <v>407.79</v>
      </c>
      <c r="H79" s="71">
        <f t="shared" si="6"/>
        <v>0.40779000000000004</v>
      </c>
      <c r="I79" s="10">
        <f>G79</f>
        <v>407.79</v>
      </c>
    </row>
    <row r="80" spans="1:9" ht="15.75" hidden="1" customHeight="1">
      <c r="A80" s="21"/>
      <c r="B80" s="76" t="s">
        <v>79</v>
      </c>
      <c r="C80" s="13"/>
      <c r="D80" s="11"/>
      <c r="E80" s="15"/>
      <c r="F80" s="10"/>
      <c r="G80" s="10" t="s">
        <v>166</v>
      </c>
      <c r="H80" s="71" t="s">
        <v>166</v>
      </c>
      <c r="I80" s="62"/>
    </row>
    <row r="81" spans="1:9" ht="15.75" hidden="1" customHeight="1">
      <c r="A81" s="21"/>
      <c r="B81" s="34" t="s">
        <v>104</v>
      </c>
      <c r="C81" s="13" t="s">
        <v>80</v>
      </c>
      <c r="D81" s="11"/>
      <c r="E81" s="15"/>
      <c r="F81" s="10">
        <v>0.6</v>
      </c>
      <c r="G81" s="10">
        <v>3138.65</v>
      </c>
      <c r="H81" s="71">
        <f t="shared" si="6"/>
        <v>1.8831900000000001</v>
      </c>
      <c r="I81" s="10">
        <v>0</v>
      </c>
    </row>
    <row r="82" spans="1:9" ht="15.75" hidden="1" customHeight="1">
      <c r="A82" s="21"/>
      <c r="B82" s="45" t="s">
        <v>95</v>
      </c>
      <c r="C82" s="13"/>
      <c r="D82" s="11"/>
      <c r="E82" s="53"/>
      <c r="F82" s="10"/>
      <c r="G82" s="10"/>
      <c r="H82" s="71"/>
      <c r="I82" s="10"/>
    </row>
    <row r="83" spans="1:9" ht="15.75" hidden="1" customHeight="1">
      <c r="A83" s="21"/>
      <c r="B83" s="40" t="s">
        <v>101</v>
      </c>
      <c r="C83" s="13"/>
      <c r="D83" s="11"/>
      <c r="E83" s="53"/>
      <c r="F83" s="10">
        <v>1</v>
      </c>
      <c r="G83" s="10">
        <v>21095</v>
      </c>
      <c r="H83" s="71">
        <f>G83*F83/1000</f>
        <v>21.094999999999999</v>
      </c>
      <c r="I83" s="10">
        <v>0</v>
      </c>
    </row>
    <row r="84" spans="1:9" ht="15.75" hidden="1" customHeight="1">
      <c r="A84" s="21"/>
      <c r="B84" s="80" t="s">
        <v>107</v>
      </c>
      <c r="C84" s="76"/>
      <c r="D84" s="23"/>
      <c r="E84" s="24"/>
      <c r="F84" s="75"/>
      <c r="G84" s="75"/>
      <c r="H84" s="73"/>
      <c r="I84" s="61"/>
    </row>
    <row r="85" spans="1:9" ht="31.5" hidden="1" customHeight="1">
      <c r="A85" s="21"/>
      <c r="B85" s="77" t="s">
        <v>137</v>
      </c>
      <c r="C85" s="13" t="s">
        <v>138</v>
      </c>
      <c r="D85" s="40" t="s">
        <v>68</v>
      </c>
      <c r="E85" s="15">
        <v>10</v>
      </c>
      <c r="F85" s="10">
        <v>10</v>
      </c>
      <c r="G85" s="10">
        <v>271.88</v>
      </c>
      <c r="H85" s="71">
        <f t="shared" ref="H85:H98" si="8">F85*G85/1000</f>
        <v>2.7188000000000003</v>
      </c>
      <c r="I85" s="10">
        <v>0</v>
      </c>
    </row>
    <row r="86" spans="1:9" ht="15.75" hidden="1" customHeight="1">
      <c r="A86" s="21"/>
      <c r="B86" s="77" t="s">
        <v>108</v>
      </c>
      <c r="C86" s="13" t="s">
        <v>84</v>
      </c>
      <c r="D86" s="40" t="s">
        <v>68</v>
      </c>
      <c r="E86" s="15">
        <v>100</v>
      </c>
      <c r="F86" s="10">
        <v>100</v>
      </c>
      <c r="G86" s="10">
        <v>111.84</v>
      </c>
      <c r="H86" s="71">
        <f t="shared" si="8"/>
        <v>11.183999999999999</v>
      </c>
      <c r="I86" s="10">
        <v>0</v>
      </c>
    </row>
    <row r="87" spans="1:9" ht="15.75" hidden="1" customHeight="1">
      <c r="A87" s="21"/>
      <c r="B87" s="77" t="s">
        <v>139</v>
      </c>
      <c r="C87" s="13" t="s">
        <v>140</v>
      </c>
      <c r="D87" s="40" t="s">
        <v>68</v>
      </c>
      <c r="E87" s="15">
        <v>30</v>
      </c>
      <c r="F87" s="10">
        <v>10</v>
      </c>
      <c r="G87" s="10">
        <v>972.09</v>
      </c>
      <c r="H87" s="71">
        <f t="shared" si="8"/>
        <v>9.7209000000000003</v>
      </c>
      <c r="I87" s="10">
        <v>0</v>
      </c>
    </row>
    <row r="88" spans="1:9" ht="15.75" hidden="1" customHeight="1">
      <c r="A88" s="21"/>
      <c r="B88" s="77" t="s">
        <v>141</v>
      </c>
      <c r="C88" s="13" t="s">
        <v>53</v>
      </c>
      <c r="D88" s="40" t="s">
        <v>68</v>
      </c>
      <c r="E88" s="15">
        <v>100</v>
      </c>
      <c r="F88" s="10">
        <v>1</v>
      </c>
      <c r="G88" s="10">
        <v>1829.52</v>
      </c>
      <c r="H88" s="71">
        <f t="shared" si="8"/>
        <v>1.82952</v>
      </c>
      <c r="I88" s="10">
        <v>0</v>
      </c>
    </row>
    <row r="89" spans="1:9" ht="15.75" hidden="1" customHeight="1">
      <c r="A89" s="21"/>
      <c r="B89" s="77" t="s">
        <v>142</v>
      </c>
      <c r="C89" s="13" t="s">
        <v>143</v>
      </c>
      <c r="D89" s="40" t="s">
        <v>68</v>
      </c>
      <c r="E89" s="15">
        <v>40</v>
      </c>
      <c r="F89" s="10">
        <v>4</v>
      </c>
      <c r="G89" s="10">
        <v>272.39</v>
      </c>
      <c r="H89" s="71">
        <f t="shared" si="8"/>
        <v>1.0895599999999999</v>
      </c>
      <c r="I89" s="10">
        <v>0</v>
      </c>
    </row>
    <row r="90" spans="1:9" ht="31.5" hidden="1" customHeight="1">
      <c r="A90" s="21"/>
      <c r="B90" s="77" t="s">
        <v>144</v>
      </c>
      <c r="C90" s="13" t="s">
        <v>84</v>
      </c>
      <c r="D90" s="40" t="s">
        <v>68</v>
      </c>
      <c r="E90" s="15">
        <v>15</v>
      </c>
      <c r="F90" s="10">
        <v>15</v>
      </c>
      <c r="G90" s="10">
        <v>1430.02</v>
      </c>
      <c r="H90" s="71">
        <f t="shared" si="8"/>
        <v>21.450299999999999</v>
      </c>
      <c r="I90" s="10">
        <v>0</v>
      </c>
    </row>
    <row r="91" spans="1:9" ht="31.5" hidden="1" customHeight="1">
      <c r="A91" s="21"/>
      <c r="B91" s="77" t="s">
        <v>145</v>
      </c>
      <c r="C91" s="13" t="s">
        <v>84</v>
      </c>
      <c r="D91" s="40" t="s">
        <v>68</v>
      </c>
      <c r="E91" s="15">
        <v>10</v>
      </c>
      <c r="F91" s="10">
        <v>10</v>
      </c>
      <c r="G91" s="10">
        <v>1743.04</v>
      </c>
      <c r="H91" s="71">
        <f t="shared" si="8"/>
        <v>17.430400000000002</v>
      </c>
      <c r="I91" s="10">
        <v>0</v>
      </c>
    </row>
    <row r="92" spans="1:9" ht="31.5" hidden="1" customHeight="1">
      <c r="A92" s="21"/>
      <c r="B92" s="77" t="s">
        <v>146</v>
      </c>
      <c r="C92" s="13" t="s">
        <v>84</v>
      </c>
      <c r="D92" s="40" t="s">
        <v>68</v>
      </c>
      <c r="E92" s="15">
        <v>20</v>
      </c>
      <c r="F92" s="10">
        <v>20</v>
      </c>
      <c r="G92" s="10">
        <v>607.27</v>
      </c>
      <c r="H92" s="71">
        <f t="shared" si="8"/>
        <v>12.1454</v>
      </c>
      <c r="I92" s="10">
        <v>0</v>
      </c>
    </row>
    <row r="93" spans="1:9" ht="31.5" hidden="1" customHeight="1">
      <c r="A93" s="21"/>
      <c r="B93" s="77" t="s">
        <v>147</v>
      </c>
      <c r="C93" s="13" t="s">
        <v>84</v>
      </c>
      <c r="D93" s="40" t="s">
        <v>68</v>
      </c>
      <c r="E93" s="15">
        <v>30</v>
      </c>
      <c r="F93" s="10">
        <v>30</v>
      </c>
      <c r="G93" s="10">
        <v>711.93</v>
      </c>
      <c r="H93" s="71">
        <f t="shared" si="8"/>
        <v>21.357899999999997</v>
      </c>
      <c r="I93" s="10">
        <v>0</v>
      </c>
    </row>
    <row r="94" spans="1:9" ht="15.75" hidden="1" customHeight="1">
      <c r="A94" s="21"/>
      <c r="B94" s="77" t="s">
        <v>109</v>
      </c>
      <c r="C94" s="13" t="s">
        <v>31</v>
      </c>
      <c r="D94" s="40" t="s">
        <v>68</v>
      </c>
      <c r="E94" s="15">
        <v>10</v>
      </c>
      <c r="F94" s="10">
        <v>10</v>
      </c>
      <c r="G94" s="10">
        <v>455.31</v>
      </c>
      <c r="H94" s="71">
        <f t="shared" si="8"/>
        <v>4.5531000000000006</v>
      </c>
      <c r="I94" s="10">
        <v>0</v>
      </c>
    </row>
    <row r="95" spans="1:9" ht="31.5" hidden="1" customHeight="1">
      <c r="A95" s="21"/>
      <c r="B95" s="77" t="s">
        <v>148</v>
      </c>
      <c r="C95" s="13" t="s">
        <v>84</v>
      </c>
      <c r="D95" s="40" t="s">
        <v>68</v>
      </c>
      <c r="E95" s="15">
        <v>30</v>
      </c>
      <c r="F95" s="10">
        <v>30</v>
      </c>
      <c r="G95" s="10">
        <v>1155.7</v>
      </c>
      <c r="H95" s="71">
        <f t="shared" si="8"/>
        <v>34.670999999999999</v>
      </c>
      <c r="I95" s="10">
        <v>0</v>
      </c>
    </row>
    <row r="96" spans="1:9" ht="31.5" hidden="1" customHeight="1">
      <c r="A96" s="21"/>
      <c r="B96" s="77" t="s">
        <v>149</v>
      </c>
      <c r="C96" s="13" t="s">
        <v>29</v>
      </c>
      <c r="D96" s="11" t="s">
        <v>43</v>
      </c>
      <c r="E96" s="15">
        <v>1040.4000000000001</v>
      </c>
      <c r="F96" s="10">
        <f>E96*2/1000</f>
        <v>2.0808</v>
      </c>
      <c r="G96" s="10">
        <v>1560.98</v>
      </c>
      <c r="H96" s="71">
        <f t="shared" si="8"/>
        <v>3.2480871840000001</v>
      </c>
      <c r="I96" s="10">
        <v>0</v>
      </c>
    </row>
    <row r="97" spans="1:9" ht="31.5" hidden="1" customHeight="1">
      <c r="A97" s="21"/>
      <c r="B97" s="77" t="s">
        <v>150</v>
      </c>
      <c r="C97" s="21" t="s">
        <v>152</v>
      </c>
      <c r="D97" s="40" t="s">
        <v>68</v>
      </c>
      <c r="E97" s="15">
        <v>100</v>
      </c>
      <c r="F97" s="10">
        <v>1</v>
      </c>
      <c r="G97" s="10">
        <v>12859.93</v>
      </c>
      <c r="H97" s="71">
        <f t="shared" si="8"/>
        <v>12.85993</v>
      </c>
      <c r="I97" s="10">
        <v>0</v>
      </c>
    </row>
    <row r="98" spans="1:9" ht="15.75" hidden="1" customHeight="1">
      <c r="A98" s="21"/>
      <c r="B98" s="77" t="s">
        <v>151</v>
      </c>
      <c r="C98" s="13" t="s">
        <v>29</v>
      </c>
      <c r="D98" s="11" t="s">
        <v>43</v>
      </c>
      <c r="E98" s="15">
        <v>1040.4000000000001</v>
      </c>
      <c r="F98" s="10">
        <v>2.08</v>
      </c>
      <c r="G98" s="10">
        <v>1453.29</v>
      </c>
      <c r="H98" s="71">
        <f t="shared" si="8"/>
        <v>3.0228432000000001</v>
      </c>
      <c r="I98" s="10">
        <v>0</v>
      </c>
    </row>
    <row r="99" spans="1:9" ht="15.75" customHeight="1">
      <c r="A99" s="133" t="s">
        <v>161</v>
      </c>
      <c r="B99" s="134"/>
      <c r="C99" s="134"/>
      <c r="D99" s="134"/>
      <c r="E99" s="134"/>
      <c r="F99" s="134"/>
      <c r="G99" s="134"/>
      <c r="H99" s="134"/>
      <c r="I99" s="135"/>
    </row>
    <row r="100" spans="1:9" ht="15.75" customHeight="1">
      <c r="A100" s="21">
        <v>16</v>
      </c>
      <c r="B100" s="77" t="s">
        <v>102</v>
      </c>
      <c r="C100" s="13" t="s">
        <v>55</v>
      </c>
      <c r="D100" s="51" t="s">
        <v>56</v>
      </c>
      <c r="E100" s="10">
        <v>3455.3</v>
      </c>
      <c r="F100" s="10">
        <v>41463.599999999999</v>
      </c>
      <c r="G100" s="10">
        <v>2.7</v>
      </c>
      <c r="H100" s="71">
        <f>SUM(F100*G100/1000)</f>
        <v>111.95171999999999</v>
      </c>
      <c r="I100" s="10">
        <f>F100/12*G100</f>
        <v>9329.31</v>
      </c>
    </row>
    <row r="101" spans="1:9" ht="31.5" customHeight="1">
      <c r="A101" s="21">
        <v>17</v>
      </c>
      <c r="B101" s="11" t="s">
        <v>81</v>
      </c>
      <c r="C101" s="13"/>
      <c r="D101" s="51" t="s">
        <v>56</v>
      </c>
      <c r="E101" s="57">
        <f>E100</f>
        <v>3455.3</v>
      </c>
      <c r="F101" s="10">
        <f>E101*12</f>
        <v>41463.600000000006</v>
      </c>
      <c r="G101" s="10">
        <v>3.05</v>
      </c>
      <c r="H101" s="71">
        <f>F101*G101/1000</f>
        <v>126.46398000000001</v>
      </c>
      <c r="I101" s="10">
        <f>F101/12*G101</f>
        <v>10538.665000000001</v>
      </c>
    </row>
    <row r="102" spans="1:9" ht="15.75" customHeight="1">
      <c r="A102" s="21"/>
      <c r="B102" s="27" t="s">
        <v>83</v>
      </c>
      <c r="C102" s="76"/>
      <c r="D102" s="74"/>
      <c r="E102" s="75"/>
      <c r="F102" s="75"/>
      <c r="G102" s="75"/>
      <c r="H102" s="73">
        <f>SUM(H101)</f>
        <v>126.46398000000001</v>
      </c>
      <c r="I102" s="75">
        <f>I16+I17+I18+I27+I28+I39+I40+I42+I43+I44+I45+I52+I60+I63+I73+I100+I101</f>
        <v>56729.620834333327</v>
      </c>
    </row>
    <row r="103" spans="1:9" ht="15.75" customHeight="1">
      <c r="A103" s="140" t="s">
        <v>61</v>
      </c>
      <c r="B103" s="141"/>
      <c r="C103" s="141"/>
      <c r="D103" s="141"/>
      <c r="E103" s="141"/>
      <c r="F103" s="141"/>
      <c r="G103" s="141"/>
      <c r="H103" s="141"/>
      <c r="I103" s="142"/>
    </row>
    <row r="104" spans="1:9" ht="15.75" customHeight="1">
      <c r="A104" s="21">
        <v>18</v>
      </c>
      <c r="B104" s="34" t="s">
        <v>120</v>
      </c>
      <c r="C104" s="13" t="s">
        <v>153</v>
      </c>
      <c r="D104" s="34"/>
      <c r="E104" s="10"/>
      <c r="F104" s="10">
        <v>4</v>
      </c>
      <c r="G104" s="10">
        <v>1645</v>
      </c>
      <c r="H104" s="71">
        <f>G104*F104/1000</f>
        <v>6.58</v>
      </c>
      <c r="I104" s="10">
        <f>G104*2</f>
        <v>3290</v>
      </c>
    </row>
    <row r="105" spans="1:9" ht="15.75" customHeight="1">
      <c r="A105" s="21">
        <v>19</v>
      </c>
      <c r="B105" s="37" t="s">
        <v>193</v>
      </c>
      <c r="C105" s="59" t="s">
        <v>98</v>
      </c>
      <c r="D105" s="34"/>
      <c r="E105" s="10"/>
      <c r="F105" s="10">
        <v>1</v>
      </c>
      <c r="G105" s="10">
        <v>1126.2</v>
      </c>
      <c r="H105" s="71">
        <f>G105*F105/1000</f>
        <v>1.1262000000000001</v>
      </c>
      <c r="I105" s="10">
        <f>G105</f>
        <v>1126.2</v>
      </c>
    </row>
    <row r="106" spans="1:9">
      <c r="A106" s="21"/>
      <c r="B106" s="32" t="s">
        <v>52</v>
      </c>
      <c r="C106" s="28"/>
      <c r="D106" s="35"/>
      <c r="E106" s="28">
        <v>1</v>
      </c>
      <c r="F106" s="28"/>
      <c r="G106" s="28"/>
      <c r="H106" s="28"/>
      <c r="I106" s="24">
        <f>SUM(I104:I105)</f>
        <v>4416.2</v>
      </c>
    </row>
    <row r="107" spans="1:9">
      <c r="A107" s="21"/>
      <c r="B107" s="34" t="s">
        <v>82</v>
      </c>
      <c r="C107" s="12"/>
      <c r="D107" s="12"/>
      <c r="E107" s="29"/>
      <c r="F107" s="29"/>
      <c r="G107" s="30"/>
      <c r="H107" s="30"/>
      <c r="I107" s="14">
        <v>0</v>
      </c>
    </row>
    <row r="108" spans="1:9" ht="15.75" customHeight="1">
      <c r="A108" s="36"/>
      <c r="B108" s="33" t="s">
        <v>184</v>
      </c>
      <c r="C108" s="25"/>
      <c r="D108" s="25"/>
      <c r="E108" s="25"/>
      <c r="F108" s="25"/>
      <c r="G108" s="25"/>
      <c r="H108" s="25"/>
      <c r="I108" s="31">
        <f>I102+I106</f>
        <v>61145.820834333324</v>
      </c>
    </row>
    <row r="109" spans="1:9" ht="15.75">
      <c r="A109" s="136" t="s">
        <v>225</v>
      </c>
      <c r="B109" s="136"/>
      <c r="C109" s="136"/>
      <c r="D109" s="136"/>
      <c r="E109" s="136"/>
      <c r="F109" s="136"/>
      <c r="G109" s="136"/>
      <c r="H109" s="136"/>
      <c r="I109" s="136"/>
    </row>
    <row r="110" spans="1:9" ht="15.75">
      <c r="A110" s="50"/>
      <c r="B110" s="137" t="s">
        <v>226</v>
      </c>
      <c r="C110" s="137"/>
      <c r="D110" s="137"/>
      <c r="E110" s="137"/>
      <c r="F110" s="137"/>
      <c r="G110" s="137"/>
      <c r="H110" s="56"/>
      <c r="I110" s="2"/>
    </row>
    <row r="111" spans="1:9">
      <c r="A111" s="44"/>
      <c r="B111" s="124" t="s">
        <v>6</v>
      </c>
      <c r="C111" s="124"/>
      <c r="D111" s="124"/>
      <c r="E111" s="124"/>
      <c r="F111" s="124"/>
      <c r="G111" s="124"/>
      <c r="H111" s="16"/>
      <c r="I111" s="4"/>
    </row>
    <row r="112" spans="1:9">
      <c r="A112" s="7"/>
      <c r="B112" s="7"/>
      <c r="C112" s="7"/>
      <c r="D112" s="7"/>
      <c r="E112" s="7"/>
      <c r="F112" s="7"/>
      <c r="G112" s="7"/>
      <c r="H112" s="7"/>
      <c r="I112" s="7"/>
    </row>
    <row r="113" spans="1:9" ht="15.75" customHeight="1">
      <c r="A113" s="138" t="s">
        <v>7</v>
      </c>
      <c r="B113" s="138"/>
      <c r="C113" s="138"/>
      <c r="D113" s="138"/>
      <c r="E113" s="138"/>
      <c r="F113" s="138"/>
      <c r="G113" s="138"/>
      <c r="H113" s="138"/>
      <c r="I113" s="138"/>
    </row>
    <row r="114" spans="1:9" ht="15.75" customHeight="1">
      <c r="A114" s="138" t="s">
        <v>8</v>
      </c>
      <c r="B114" s="138"/>
      <c r="C114" s="138"/>
      <c r="D114" s="138"/>
      <c r="E114" s="138"/>
      <c r="F114" s="138"/>
      <c r="G114" s="138"/>
      <c r="H114" s="138"/>
      <c r="I114" s="138"/>
    </row>
    <row r="115" spans="1:9" ht="15.75" customHeight="1">
      <c r="A115" s="139" t="s">
        <v>62</v>
      </c>
      <c r="B115" s="139"/>
      <c r="C115" s="139"/>
      <c r="D115" s="139"/>
      <c r="E115" s="139"/>
      <c r="F115" s="139"/>
      <c r="G115" s="139"/>
      <c r="H115" s="139"/>
      <c r="I115" s="139"/>
    </row>
    <row r="116" spans="1:9" ht="15.75" customHeight="1">
      <c r="A116" s="8"/>
    </row>
    <row r="117" spans="1:9" ht="15.75" customHeight="1">
      <c r="A117" s="128" t="s">
        <v>9</v>
      </c>
      <c r="B117" s="128"/>
      <c r="C117" s="128"/>
      <c r="D117" s="128"/>
      <c r="E117" s="128"/>
      <c r="F117" s="128"/>
      <c r="G117" s="128"/>
      <c r="H117" s="128"/>
      <c r="I117" s="128"/>
    </row>
    <row r="118" spans="1:9" ht="15.75" customHeight="1">
      <c r="A118" s="3"/>
    </row>
    <row r="119" spans="1:9" ht="15.75" customHeight="1">
      <c r="B119" s="46" t="s">
        <v>10</v>
      </c>
      <c r="C119" s="123" t="s">
        <v>158</v>
      </c>
      <c r="D119" s="123"/>
      <c r="E119" s="123"/>
      <c r="F119" s="54"/>
      <c r="I119" s="48"/>
    </row>
    <row r="120" spans="1:9">
      <c r="A120" s="44"/>
      <c r="C120" s="124" t="s">
        <v>11</v>
      </c>
      <c r="D120" s="124"/>
      <c r="E120" s="124"/>
      <c r="F120" s="16"/>
      <c r="I120" s="49" t="s">
        <v>12</v>
      </c>
    </row>
    <row r="121" spans="1:9" ht="15.75">
      <c r="A121" s="17"/>
      <c r="C121" s="9"/>
      <c r="D121" s="9"/>
      <c r="G121" s="9"/>
      <c r="H121" s="9"/>
    </row>
    <row r="122" spans="1:9" ht="15.75">
      <c r="B122" s="46" t="s">
        <v>13</v>
      </c>
      <c r="C122" s="125"/>
      <c r="D122" s="125"/>
      <c r="E122" s="125"/>
      <c r="F122" s="55"/>
      <c r="I122" s="48"/>
    </row>
    <row r="123" spans="1:9">
      <c r="A123" s="44"/>
      <c r="C123" s="126" t="s">
        <v>11</v>
      </c>
      <c r="D123" s="126"/>
      <c r="E123" s="126"/>
      <c r="F123" s="44"/>
      <c r="I123" s="49" t="s">
        <v>12</v>
      </c>
    </row>
    <row r="124" spans="1:9" ht="15.75">
      <c r="A124" s="3" t="s">
        <v>14</v>
      </c>
    </row>
    <row r="125" spans="1:9">
      <c r="A125" s="127" t="s">
        <v>15</v>
      </c>
      <c r="B125" s="127"/>
      <c r="C125" s="127"/>
      <c r="D125" s="127"/>
      <c r="E125" s="127"/>
      <c r="F125" s="127"/>
      <c r="G125" s="127"/>
      <c r="H125" s="127"/>
      <c r="I125" s="127"/>
    </row>
    <row r="126" spans="1:9" ht="45" customHeight="1">
      <c r="A126" s="122" t="s">
        <v>16</v>
      </c>
      <c r="B126" s="122"/>
      <c r="C126" s="122"/>
      <c r="D126" s="122"/>
      <c r="E126" s="122"/>
      <c r="F126" s="122"/>
      <c r="G126" s="122"/>
      <c r="H126" s="122"/>
      <c r="I126" s="122"/>
    </row>
    <row r="127" spans="1:9" ht="30" customHeight="1">
      <c r="A127" s="122" t="s">
        <v>17</v>
      </c>
      <c r="B127" s="122"/>
      <c r="C127" s="122"/>
      <c r="D127" s="122"/>
      <c r="E127" s="122"/>
      <c r="F127" s="122"/>
      <c r="G127" s="122"/>
      <c r="H127" s="122"/>
      <c r="I127" s="122"/>
    </row>
    <row r="128" spans="1:9" ht="30" customHeight="1">
      <c r="A128" s="122" t="s">
        <v>21</v>
      </c>
      <c r="B128" s="122"/>
      <c r="C128" s="122"/>
      <c r="D128" s="122"/>
      <c r="E128" s="122"/>
      <c r="F128" s="122"/>
      <c r="G128" s="122"/>
      <c r="H128" s="122"/>
      <c r="I128" s="122"/>
    </row>
    <row r="129" spans="1:9" ht="15" customHeight="1">
      <c r="A129" s="122" t="s">
        <v>20</v>
      </c>
      <c r="B129" s="122"/>
      <c r="C129" s="122"/>
      <c r="D129" s="122"/>
      <c r="E129" s="122"/>
      <c r="F129" s="122"/>
      <c r="G129" s="122"/>
      <c r="H129" s="122"/>
      <c r="I129" s="122"/>
    </row>
  </sheetData>
  <mergeCells count="28">
    <mergeCell ref="A14:I14"/>
    <mergeCell ref="A3:I3"/>
    <mergeCell ref="A4:I4"/>
    <mergeCell ref="A5:I5"/>
    <mergeCell ref="A8:I8"/>
    <mergeCell ref="A10:I10"/>
    <mergeCell ref="A117:I117"/>
    <mergeCell ref="A15:I15"/>
    <mergeCell ref="A29:I29"/>
    <mergeCell ref="A46:I46"/>
    <mergeCell ref="A58:I58"/>
    <mergeCell ref="A99:I99"/>
    <mergeCell ref="A109:I109"/>
    <mergeCell ref="B110:G110"/>
    <mergeCell ref="B111:G111"/>
    <mergeCell ref="A113:I113"/>
    <mergeCell ref="A114:I114"/>
    <mergeCell ref="A115:I115"/>
    <mergeCell ref="A103:I103"/>
    <mergeCell ref="A127:I127"/>
    <mergeCell ref="A128:I128"/>
    <mergeCell ref="A129:I129"/>
    <mergeCell ref="C119:E119"/>
    <mergeCell ref="C120:E120"/>
    <mergeCell ref="C122:E122"/>
    <mergeCell ref="C123:E123"/>
    <mergeCell ref="A125:I125"/>
    <mergeCell ref="A126:I126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0"/>
  <sheetViews>
    <sheetView topLeftCell="A64" workbookViewId="0">
      <selection activeCell="B111" sqref="B111:G11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88</v>
      </c>
      <c r="I1" s="18"/>
    </row>
    <row r="2" spans="1:9" ht="15.75">
      <c r="A2" s="20" t="s">
        <v>63</v>
      </c>
    </row>
    <row r="3" spans="1:9" ht="15.75">
      <c r="A3" s="144" t="s">
        <v>174</v>
      </c>
      <c r="B3" s="144"/>
      <c r="C3" s="144"/>
      <c r="D3" s="144"/>
      <c r="E3" s="144"/>
      <c r="F3" s="144"/>
      <c r="G3" s="144"/>
      <c r="H3" s="144"/>
      <c r="I3" s="144"/>
    </row>
    <row r="4" spans="1:9" ht="31.5" customHeight="1">
      <c r="A4" s="145" t="s">
        <v>154</v>
      </c>
      <c r="B4" s="145"/>
      <c r="C4" s="145"/>
      <c r="D4" s="145"/>
      <c r="E4" s="145"/>
      <c r="F4" s="145"/>
      <c r="G4" s="145"/>
      <c r="H4" s="145"/>
      <c r="I4" s="145"/>
    </row>
    <row r="5" spans="1:9" ht="15.75">
      <c r="A5" s="144" t="s">
        <v>194</v>
      </c>
      <c r="B5" s="146"/>
      <c r="C5" s="146"/>
      <c r="D5" s="146"/>
      <c r="E5" s="146"/>
      <c r="F5" s="146"/>
      <c r="G5" s="146"/>
      <c r="H5" s="146"/>
      <c r="I5" s="146"/>
    </row>
    <row r="6" spans="1:9" ht="15.75">
      <c r="A6" s="1"/>
      <c r="B6" s="47"/>
      <c r="C6" s="47"/>
      <c r="D6" s="47"/>
      <c r="E6" s="47"/>
      <c r="F6" s="47"/>
      <c r="G6" s="47"/>
      <c r="H6" s="47"/>
      <c r="I6" s="22">
        <v>43190</v>
      </c>
    </row>
    <row r="7" spans="1:9" ht="15.75">
      <c r="B7" s="46"/>
      <c r="C7" s="46"/>
      <c r="D7" s="46"/>
      <c r="E7" s="2"/>
      <c r="F7" s="2"/>
      <c r="G7" s="2"/>
      <c r="H7" s="2"/>
    </row>
    <row r="8" spans="1:9" ht="78.75" customHeight="1">
      <c r="A8" s="147" t="s">
        <v>182</v>
      </c>
      <c r="B8" s="147"/>
      <c r="C8" s="147"/>
      <c r="D8" s="147"/>
      <c r="E8" s="147"/>
      <c r="F8" s="147"/>
      <c r="G8" s="147"/>
      <c r="H8" s="147"/>
      <c r="I8" s="147"/>
    </row>
    <row r="9" spans="1:9" ht="15.75">
      <c r="A9" s="3"/>
    </row>
    <row r="10" spans="1:9" ht="47.25" customHeight="1">
      <c r="A10" s="148" t="s">
        <v>183</v>
      </c>
      <c r="B10" s="148"/>
      <c r="C10" s="148"/>
      <c r="D10" s="148"/>
      <c r="E10" s="148"/>
      <c r="F10" s="148"/>
      <c r="G10" s="148"/>
      <c r="H10" s="148"/>
      <c r="I10" s="148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3" t="s">
        <v>60</v>
      </c>
      <c r="B14" s="143"/>
      <c r="C14" s="143"/>
      <c r="D14" s="143"/>
      <c r="E14" s="143"/>
      <c r="F14" s="143"/>
      <c r="G14" s="143"/>
      <c r="H14" s="143"/>
      <c r="I14" s="143"/>
    </row>
    <row r="15" spans="1:9" ht="15.75" customHeight="1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</row>
    <row r="16" spans="1:9" ht="15.75" customHeight="1">
      <c r="A16" s="21">
        <v>1</v>
      </c>
      <c r="B16" s="40" t="s">
        <v>110</v>
      </c>
      <c r="C16" s="41" t="s">
        <v>89</v>
      </c>
      <c r="D16" s="40" t="s">
        <v>155</v>
      </c>
      <c r="E16" s="57">
        <v>70.7</v>
      </c>
      <c r="F16" s="42">
        <f>SUM(E16*156/100)</f>
        <v>110.292</v>
      </c>
      <c r="G16" s="42">
        <v>199.46</v>
      </c>
      <c r="H16" s="58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40" t="s">
        <v>121</v>
      </c>
      <c r="C17" s="41" t="s">
        <v>89</v>
      </c>
      <c r="D17" s="40" t="s">
        <v>156</v>
      </c>
      <c r="E17" s="57">
        <v>282.8</v>
      </c>
      <c r="F17" s="42">
        <f>SUM(E17*104/100)</f>
        <v>294.11200000000002</v>
      </c>
      <c r="G17" s="42">
        <v>199.46</v>
      </c>
      <c r="H17" s="58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40" t="s">
        <v>122</v>
      </c>
      <c r="C18" s="41" t="s">
        <v>89</v>
      </c>
      <c r="D18" s="40" t="s">
        <v>157</v>
      </c>
      <c r="E18" s="57">
        <f>SUM(E16+E17)</f>
        <v>353.5</v>
      </c>
      <c r="F18" s="42">
        <f>SUM(E18*24/100)</f>
        <v>84.84</v>
      </c>
      <c r="G18" s="42">
        <v>573.83000000000004</v>
      </c>
      <c r="H18" s="58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1"/>
      <c r="B19" s="40" t="s">
        <v>111</v>
      </c>
      <c r="C19" s="41" t="s">
        <v>112</v>
      </c>
      <c r="D19" s="40" t="s">
        <v>113</v>
      </c>
      <c r="E19" s="57">
        <v>40</v>
      </c>
      <c r="F19" s="42">
        <f>SUM(E19/10)</f>
        <v>4</v>
      </c>
      <c r="G19" s="42">
        <v>193.55</v>
      </c>
      <c r="H19" s="58">
        <f t="shared" si="0"/>
        <v>0.7742</v>
      </c>
      <c r="I19" s="10">
        <v>0</v>
      </c>
    </row>
    <row r="20" spans="1:9" ht="15.75" hidden="1" customHeight="1">
      <c r="A20" s="21"/>
      <c r="B20" s="40" t="s">
        <v>114</v>
      </c>
      <c r="C20" s="41" t="s">
        <v>89</v>
      </c>
      <c r="D20" s="40" t="s">
        <v>43</v>
      </c>
      <c r="E20" s="57">
        <v>10.5</v>
      </c>
      <c r="F20" s="42">
        <f>E20*2/100</f>
        <v>0.21</v>
      </c>
      <c r="G20" s="42">
        <v>247.82</v>
      </c>
      <c r="H20" s="58">
        <f t="shared" si="0"/>
        <v>5.2042199999999997E-2</v>
      </c>
      <c r="I20" s="10">
        <v>0</v>
      </c>
    </row>
    <row r="21" spans="1:9" ht="15.75" hidden="1" customHeight="1">
      <c r="A21" s="21"/>
      <c r="B21" s="40" t="s">
        <v>115</v>
      </c>
      <c r="C21" s="41" t="s">
        <v>89</v>
      </c>
      <c r="D21" s="40" t="s">
        <v>43</v>
      </c>
      <c r="E21" s="57">
        <v>2.7</v>
      </c>
      <c r="F21" s="42">
        <f>SUM(E21*2/100)</f>
        <v>5.4000000000000006E-2</v>
      </c>
      <c r="G21" s="42">
        <v>245.81</v>
      </c>
      <c r="H21" s="58">
        <f t="shared" si="0"/>
        <v>1.3273740000000003E-2</v>
      </c>
      <c r="I21" s="10">
        <v>0</v>
      </c>
    </row>
    <row r="22" spans="1:9" ht="15.75" hidden="1" customHeight="1">
      <c r="A22" s="21"/>
      <c r="B22" s="40" t="s">
        <v>116</v>
      </c>
      <c r="C22" s="41" t="s">
        <v>53</v>
      </c>
      <c r="D22" s="40" t="s">
        <v>113</v>
      </c>
      <c r="E22" s="57">
        <v>357</v>
      </c>
      <c r="F22" s="42">
        <f>SUM(E22/100)</f>
        <v>3.57</v>
      </c>
      <c r="G22" s="42">
        <v>306.26</v>
      </c>
      <c r="H22" s="58">
        <f t="shared" si="0"/>
        <v>1.0933481999999999</v>
      </c>
      <c r="I22" s="10">
        <v>0</v>
      </c>
    </row>
    <row r="23" spans="1:9" ht="15.75" hidden="1" customHeight="1">
      <c r="A23" s="21"/>
      <c r="B23" s="40" t="s">
        <v>117</v>
      </c>
      <c r="C23" s="41" t="s">
        <v>53</v>
      </c>
      <c r="D23" s="40" t="s">
        <v>113</v>
      </c>
      <c r="E23" s="60">
        <v>38.64</v>
      </c>
      <c r="F23" s="42">
        <f>SUM(E23/100)</f>
        <v>0.38640000000000002</v>
      </c>
      <c r="G23" s="42">
        <v>50.37</v>
      </c>
      <c r="H23" s="58">
        <f t="shared" si="0"/>
        <v>1.9462968000000001E-2</v>
      </c>
      <c r="I23" s="10">
        <v>0</v>
      </c>
    </row>
    <row r="24" spans="1:9" ht="15.75" hidden="1" customHeight="1">
      <c r="A24" s="21"/>
      <c r="B24" s="40" t="s">
        <v>118</v>
      </c>
      <c r="C24" s="41" t="s">
        <v>53</v>
      </c>
      <c r="D24" s="40" t="s">
        <v>123</v>
      </c>
      <c r="E24" s="57">
        <v>15</v>
      </c>
      <c r="F24" s="42">
        <f>E24/100</f>
        <v>0.15</v>
      </c>
      <c r="G24" s="42">
        <v>443.27</v>
      </c>
      <c r="H24" s="58">
        <f t="shared" si="0"/>
        <v>6.6490499999999994E-2</v>
      </c>
      <c r="I24" s="10">
        <v>0</v>
      </c>
    </row>
    <row r="25" spans="1:9" ht="15.75" hidden="1" customHeight="1">
      <c r="A25" s="21"/>
      <c r="B25" s="40" t="s">
        <v>124</v>
      </c>
      <c r="C25" s="41" t="s">
        <v>89</v>
      </c>
      <c r="D25" s="40" t="s">
        <v>54</v>
      </c>
      <c r="E25" s="57">
        <v>14.25</v>
      </c>
      <c r="F25" s="42">
        <v>0.1</v>
      </c>
      <c r="G25" s="42">
        <v>245.81</v>
      </c>
      <c r="H25" s="58">
        <v>3.1E-2</v>
      </c>
      <c r="I25" s="10">
        <v>0</v>
      </c>
    </row>
    <row r="26" spans="1:9" ht="15.75" hidden="1" customHeight="1">
      <c r="A26" s="21"/>
      <c r="B26" s="40" t="s">
        <v>125</v>
      </c>
      <c r="C26" s="41" t="s">
        <v>53</v>
      </c>
      <c r="D26" s="40" t="s">
        <v>113</v>
      </c>
      <c r="E26" s="57">
        <v>6.38</v>
      </c>
      <c r="F26" s="42">
        <f>SUM(E26/100)</f>
        <v>6.3799999999999996E-2</v>
      </c>
      <c r="G26" s="42">
        <v>592.37</v>
      </c>
      <c r="H26" s="58">
        <f t="shared" si="0"/>
        <v>3.7793205999999996E-2</v>
      </c>
      <c r="I26" s="10">
        <v>0</v>
      </c>
    </row>
    <row r="27" spans="1:9" ht="15.75" customHeight="1">
      <c r="A27" s="21">
        <v>4</v>
      </c>
      <c r="B27" s="40" t="s">
        <v>65</v>
      </c>
      <c r="C27" s="41" t="s">
        <v>33</v>
      </c>
      <c r="D27" s="40"/>
      <c r="E27" s="57">
        <v>0.1</v>
      </c>
      <c r="F27" s="42">
        <f>SUM(E27*365)</f>
        <v>36.5</v>
      </c>
      <c r="G27" s="42">
        <v>167.24</v>
      </c>
      <c r="H27" s="58">
        <f>SUM(F27*G27/1000)</f>
        <v>6.10426</v>
      </c>
      <c r="I27" s="10">
        <f>F27/12*G27</f>
        <v>508.68833333333333</v>
      </c>
    </row>
    <row r="28" spans="1:9" ht="15.75" customHeight="1">
      <c r="A28" s="21">
        <v>5</v>
      </c>
      <c r="B28" s="64" t="s">
        <v>23</v>
      </c>
      <c r="C28" s="41" t="s">
        <v>24</v>
      </c>
      <c r="D28" s="40"/>
      <c r="E28" s="57">
        <v>2661.7</v>
      </c>
      <c r="F28" s="42">
        <f>SUM(E28*12)</f>
        <v>31940.399999999998</v>
      </c>
      <c r="G28" s="42">
        <v>5.58</v>
      </c>
      <c r="H28" s="58">
        <f>SUM(F28*G28/1000)</f>
        <v>178.22743199999999</v>
      </c>
      <c r="I28" s="10">
        <f>F28/12*G28</f>
        <v>14852.286</v>
      </c>
    </row>
    <row r="29" spans="1:9" ht="15.75" customHeight="1">
      <c r="A29" s="129" t="s">
        <v>87</v>
      </c>
      <c r="B29" s="129"/>
      <c r="C29" s="129"/>
      <c r="D29" s="129"/>
      <c r="E29" s="129"/>
      <c r="F29" s="129"/>
      <c r="G29" s="129"/>
      <c r="H29" s="129"/>
      <c r="I29" s="129"/>
    </row>
    <row r="30" spans="1:9" ht="15.75" hidden="1" customHeight="1">
      <c r="A30" s="21"/>
      <c r="B30" s="78" t="s">
        <v>28</v>
      </c>
      <c r="C30" s="41"/>
      <c r="D30" s="40"/>
      <c r="E30" s="57"/>
      <c r="F30" s="42"/>
      <c r="G30" s="42"/>
      <c r="H30" s="58"/>
      <c r="I30" s="62"/>
    </row>
    <row r="31" spans="1:9" ht="31.5" hidden="1" customHeight="1">
      <c r="A31" s="21">
        <v>6</v>
      </c>
      <c r="B31" s="40" t="s">
        <v>97</v>
      </c>
      <c r="C31" s="41" t="s">
        <v>91</v>
      </c>
      <c r="D31" s="40" t="s">
        <v>126</v>
      </c>
      <c r="E31" s="42">
        <v>573.6</v>
      </c>
      <c r="F31" s="42">
        <f>SUM(E31*52/1000)</f>
        <v>29.827200000000001</v>
      </c>
      <c r="G31" s="42">
        <v>177.3</v>
      </c>
      <c r="H31" s="58">
        <f t="shared" ref="H31:H37" si="2">SUM(F31*G31/1000)</f>
        <v>5.2883625600000004</v>
      </c>
      <c r="I31" s="10">
        <v>0</v>
      </c>
    </row>
    <row r="32" spans="1:9" ht="31.5" hidden="1" customHeight="1">
      <c r="A32" s="21">
        <v>7</v>
      </c>
      <c r="B32" s="40" t="s">
        <v>170</v>
      </c>
      <c r="C32" s="41" t="s">
        <v>91</v>
      </c>
      <c r="D32" s="40" t="s">
        <v>127</v>
      </c>
      <c r="E32" s="42">
        <v>200</v>
      </c>
      <c r="F32" s="42">
        <f>SUM(E32*78/1000)</f>
        <v>15.6</v>
      </c>
      <c r="G32" s="42">
        <v>294.17</v>
      </c>
      <c r="H32" s="58">
        <f t="shared" si="2"/>
        <v>4.5890520000000006</v>
      </c>
      <c r="I32" s="10">
        <v>0</v>
      </c>
    </row>
    <row r="33" spans="1:9" ht="15.75" hidden="1" customHeight="1">
      <c r="A33" s="21">
        <v>16</v>
      </c>
      <c r="B33" s="40" t="s">
        <v>27</v>
      </c>
      <c r="C33" s="41" t="s">
        <v>91</v>
      </c>
      <c r="D33" s="40" t="s">
        <v>54</v>
      </c>
      <c r="E33" s="42">
        <v>573.6</v>
      </c>
      <c r="F33" s="42">
        <f>SUM(E33/1000)</f>
        <v>0.5736</v>
      </c>
      <c r="G33" s="42">
        <v>3435.36</v>
      </c>
      <c r="H33" s="58">
        <f t="shared" si="2"/>
        <v>1.9705224960000001</v>
      </c>
      <c r="I33" s="10">
        <v>0</v>
      </c>
    </row>
    <row r="34" spans="1:9" ht="15.75" hidden="1" customHeight="1">
      <c r="A34" s="21">
        <v>8</v>
      </c>
      <c r="B34" s="40" t="s">
        <v>128</v>
      </c>
      <c r="C34" s="41" t="s">
        <v>41</v>
      </c>
      <c r="D34" s="40" t="s">
        <v>64</v>
      </c>
      <c r="E34" s="42">
        <v>1</v>
      </c>
      <c r="F34" s="42">
        <v>1.55</v>
      </c>
      <c r="G34" s="42">
        <v>1480.94</v>
      </c>
      <c r="H34" s="58">
        <f>G34*F34/1000</f>
        <v>2.2954570000000003</v>
      </c>
      <c r="I34" s="10">
        <v>0</v>
      </c>
    </row>
    <row r="35" spans="1:9" ht="15.75" hidden="1" customHeight="1">
      <c r="A35" s="21">
        <v>9</v>
      </c>
      <c r="B35" s="40" t="s">
        <v>165</v>
      </c>
      <c r="C35" s="41" t="s">
        <v>31</v>
      </c>
      <c r="D35" s="40" t="s">
        <v>64</v>
      </c>
      <c r="E35" s="63">
        <v>0.33333333333333331</v>
      </c>
      <c r="F35" s="42">
        <f>155/3</f>
        <v>51.666666666666664</v>
      </c>
      <c r="G35" s="42">
        <v>64.48</v>
      </c>
      <c r="H35" s="58">
        <f>SUM(G35*155/3/1000)</f>
        <v>3.331466666666667</v>
      </c>
      <c r="I35" s="10">
        <v>0</v>
      </c>
    </row>
    <row r="36" spans="1:9" ht="15.75" hidden="1" customHeight="1">
      <c r="A36" s="21"/>
      <c r="B36" s="40" t="s">
        <v>66</v>
      </c>
      <c r="C36" s="41" t="s">
        <v>33</v>
      </c>
      <c r="D36" s="40" t="s">
        <v>68</v>
      </c>
      <c r="E36" s="57"/>
      <c r="F36" s="42">
        <v>3</v>
      </c>
      <c r="G36" s="42">
        <v>217.61</v>
      </c>
      <c r="H36" s="58">
        <f t="shared" si="2"/>
        <v>0.65283000000000002</v>
      </c>
      <c r="I36" s="10">
        <v>0</v>
      </c>
    </row>
    <row r="37" spans="1:9" ht="15.75" hidden="1" customHeight="1">
      <c r="A37" s="21"/>
      <c r="B37" s="40" t="s">
        <v>67</v>
      </c>
      <c r="C37" s="41" t="s">
        <v>32</v>
      </c>
      <c r="D37" s="40" t="s">
        <v>68</v>
      </c>
      <c r="E37" s="57"/>
      <c r="F37" s="42">
        <v>2</v>
      </c>
      <c r="G37" s="42">
        <v>1292.47</v>
      </c>
      <c r="H37" s="58">
        <f t="shared" si="2"/>
        <v>2.58494</v>
      </c>
      <c r="I37" s="10">
        <v>0</v>
      </c>
    </row>
    <row r="38" spans="1:9" ht="15.75" customHeight="1">
      <c r="A38" s="21"/>
      <c r="B38" s="78" t="s">
        <v>5</v>
      </c>
      <c r="C38" s="41"/>
      <c r="D38" s="40"/>
      <c r="E38" s="57"/>
      <c r="F38" s="42"/>
      <c r="G38" s="42"/>
      <c r="H38" s="58" t="s">
        <v>166</v>
      </c>
      <c r="I38" s="62"/>
    </row>
    <row r="39" spans="1:9" ht="15.75" customHeight="1">
      <c r="A39" s="21">
        <v>6</v>
      </c>
      <c r="B39" s="40" t="s">
        <v>26</v>
      </c>
      <c r="C39" s="41" t="s">
        <v>32</v>
      </c>
      <c r="D39" s="40"/>
      <c r="E39" s="57"/>
      <c r="F39" s="42">
        <v>8</v>
      </c>
      <c r="G39" s="42">
        <v>1737.08</v>
      </c>
      <c r="H39" s="58">
        <f t="shared" ref="H39:H45" si="3">SUM(F39*G39/1000)</f>
        <v>13.89664</v>
      </c>
      <c r="I39" s="10">
        <f>F39/6*G39</f>
        <v>2316.1066666666666</v>
      </c>
    </row>
    <row r="40" spans="1:9" ht="15.75" customHeight="1">
      <c r="A40" s="21">
        <v>7</v>
      </c>
      <c r="B40" s="40" t="s">
        <v>69</v>
      </c>
      <c r="C40" s="41" t="s">
        <v>29</v>
      </c>
      <c r="D40" s="40" t="s">
        <v>105</v>
      </c>
      <c r="E40" s="42">
        <v>200</v>
      </c>
      <c r="F40" s="42">
        <f>SUM(E40*30/1000)</f>
        <v>6</v>
      </c>
      <c r="G40" s="42">
        <v>2391.67</v>
      </c>
      <c r="H40" s="58">
        <f t="shared" si="3"/>
        <v>14.350020000000001</v>
      </c>
      <c r="I40" s="10">
        <f>F40/6*G40</f>
        <v>2391.67</v>
      </c>
    </row>
    <row r="41" spans="1:9" ht="15.75" hidden="1" customHeight="1">
      <c r="A41" s="21"/>
      <c r="B41" s="40" t="s">
        <v>129</v>
      </c>
      <c r="C41" s="41" t="s">
        <v>55</v>
      </c>
      <c r="D41" s="40"/>
      <c r="E41" s="57"/>
      <c r="F41" s="42">
        <v>130</v>
      </c>
      <c r="G41" s="42">
        <v>226.84</v>
      </c>
      <c r="H41" s="58">
        <f t="shared" si="3"/>
        <v>29.4892</v>
      </c>
      <c r="I41" s="10">
        <v>0</v>
      </c>
    </row>
    <row r="42" spans="1:9" ht="15.75" customHeight="1">
      <c r="A42" s="21">
        <v>8</v>
      </c>
      <c r="B42" s="40" t="s">
        <v>70</v>
      </c>
      <c r="C42" s="41" t="s">
        <v>29</v>
      </c>
      <c r="D42" s="40" t="s">
        <v>90</v>
      </c>
      <c r="E42" s="42">
        <v>60</v>
      </c>
      <c r="F42" s="42">
        <f>SUM(E42*155/1000)</f>
        <v>9.3000000000000007</v>
      </c>
      <c r="G42" s="42">
        <v>398.95</v>
      </c>
      <c r="H42" s="58">
        <f t="shared" si="3"/>
        <v>3.7102349999999999</v>
      </c>
      <c r="I42" s="10">
        <f t="shared" ref="I42:I43" si="4">F42/6*G42</f>
        <v>618.37249999999995</v>
      </c>
    </row>
    <row r="43" spans="1:9" ht="47.25" customHeight="1">
      <c r="A43" s="21">
        <v>9</v>
      </c>
      <c r="B43" s="40" t="s">
        <v>86</v>
      </c>
      <c r="C43" s="41" t="s">
        <v>91</v>
      </c>
      <c r="D43" s="40" t="s">
        <v>130</v>
      </c>
      <c r="E43" s="42">
        <v>40.9</v>
      </c>
      <c r="F43" s="42">
        <f>SUM(E43*35/1000)</f>
        <v>1.4315</v>
      </c>
      <c r="G43" s="42">
        <v>6600.74</v>
      </c>
      <c r="H43" s="58">
        <f t="shared" si="3"/>
        <v>9.4489593099999993</v>
      </c>
      <c r="I43" s="10">
        <f t="shared" si="4"/>
        <v>1574.8265516666668</v>
      </c>
    </row>
    <row r="44" spans="1:9" ht="15.75" customHeight="1">
      <c r="A44" s="21">
        <v>10</v>
      </c>
      <c r="B44" s="40" t="s">
        <v>92</v>
      </c>
      <c r="C44" s="41" t="s">
        <v>91</v>
      </c>
      <c r="D44" s="40" t="s">
        <v>71</v>
      </c>
      <c r="E44" s="42">
        <v>60</v>
      </c>
      <c r="F44" s="42">
        <f>SUM(E44*45/1000)</f>
        <v>2.7</v>
      </c>
      <c r="G44" s="42">
        <v>487.61</v>
      </c>
      <c r="H44" s="58">
        <f t="shared" si="3"/>
        <v>1.3165470000000001</v>
      </c>
      <c r="I44" s="10">
        <f>(F44/7.5*1.5)*G44</f>
        <v>263.30940000000004</v>
      </c>
    </row>
    <row r="45" spans="1:9" ht="15.75" customHeight="1">
      <c r="A45" s="21">
        <v>11</v>
      </c>
      <c r="B45" s="40" t="s">
        <v>72</v>
      </c>
      <c r="C45" s="41" t="s">
        <v>33</v>
      </c>
      <c r="D45" s="40"/>
      <c r="E45" s="57"/>
      <c r="F45" s="42">
        <v>0.9</v>
      </c>
      <c r="G45" s="42">
        <v>907.65</v>
      </c>
      <c r="H45" s="58">
        <f t="shared" si="3"/>
        <v>0.81688499999999997</v>
      </c>
      <c r="I45" s="10">
        <f>(F45/7.5*1.5)*G45</f>
        <v>163.37700000000001</v>
      </c>
    </row>
    <row r="46" spans="1:9" ht="15.75" hidden="1" customHeight="1">
      <c r="A46" s="130" t="s">
        <v>159</v>
      </c>
      <c r="B46" s="131"/>
      <c r="C46" s="131"/>
      <c r="D46" s="131"/>
      <c r="E46" s="131"/>
      <c r="F46" s="131"/>
      <c r="G46" s="131"/>
      <c r="H46" s="131"/>
      <c r="I46" s="132"/>
    </row>
    <row r="47" spans="1:9" ht="15.75" hidden="1" customHeight="1">
      <c r="A47" s="21"/>
      <c r="B47" s="40" t="s">
        <v>167</v>
      </c>
      <c r="C47" s="41" t="s">
        <v>91</v>
      </c>
      <c r="D47" s="40" t="s">
        <v>43</v>
      </c>
      <c r="E47" s="57">
        <v>1300.5</v>
      </c>
      <c r="F47" s="42">
        <f>SUM(E47/1000)*2</f>
        <v>2.601</v>
      </c>
      <c r="G47" s="10">
        <v>1173.18</v>
      </c>
      <c r="H47" s="58">
        <f t="shared" ref="H47:H57" si="5">SUM(F47*G47/1000)</f>
        <v>3.0514411800000003</v>
      </c>
      <c r="I47" s="10">
        <v>0</v>
      </c>
    </row>
    <row r="48" spans="1:9" ht="15.75" hidden="1" customHeight="1">
      <c r="A48" s="21"/>
      <c r="B48" s="40" t="s">
        <v>36</v>
      </c>
      <c r="C48" s="41" t="s">
        <v>91</v>
      </c>
      <c r="D48" s="40" t="s">
        <v>43</v>
      </c>
      <c r="E48" s="57">
        <v>52</v>
      </c>
      <c r="F48" s="42">
        <f>SUM(E48*2/1000)</f>
        <v>0.104</v>
      </c>
      <c r="G48" s="10">
        <v>659.09</v>
      </c>
      <c r="H48" s="58">
        <f t="shared" si="5"/>
        <v>6.854536E-2</v>
      </c>
      <c r="I48" s="10">
        <v>0</v>
      </c>
    </row>
    <row r="49" spans="1:9" ht="15.75" hidden="1" customHeight="1">
      <c r="A49" s="21"/>
      <c r="B49" s="40" t="s">
        <v>37</v>
      </c>
      <c r="C49" s="41" t="s">
        <v>91</v>
      </c>
      <c r="D49" s="40" t="s">
        <v>43</v>
      </c>
      <c r="E49" s="57">
        <v>1483.1</v>
      </c>
      <c r="F49" s="42">
        <f>SUM(E49*2/1000)</f>
        <v>2.9661999999999997</v>
      </c>
      <c r="G49" s="10">
        <v>1564.24</v>
      </c>
      <c r="H49" s="58">
        <f t="shared" si="5"/>
        <v>4.6398486879999998</v>
      </c>
      <c r="I49" s="10">
        <v>0</v>
      </c>
    </row>
    <row r="50" spans="1:9" ht="15.75" hidden="1" customHeight="1">
      <c r="A50" s="21"/>
      <c r="B50" s="40" t="s">
        <v>38</v>
      </c>
      <c r="C50" s="41" t="s">
        <v>91</v>
      </c>
      <c r="D50" s="40" t="s">
        <v>43</v>
      </c>
      <c r="E50" s="57">
        <v>2320</v>
      </c>
      <c r="F50" s="42">
        <f>SUM(E50*2/1000)</f>
        <v>4.6399999999999997</v>
      </c>
      <c r="G50" s="10">
        <v>1078.3599999999999</v>
      </c>
      <c r="H50" s="58">
        <f t="shared" si="5"/>
        <v>5.0035903999999993</v>
      </c>
      <c r="I50" s="10">
        <v>0</v>
      </c>
    </row>
    <row r="51" spans="1:9" ht="15.75" hidden="1" customHeight="1">
      <c r="A51" s="21"/>
      <c r="B51" s="40" t="s">
        <v>34</v>
      </c>
      <c r="C51" s="41" t="s">
        <v>35</v>
      </c>
      <c r="D51" s="40" t="s">
        <v>43</v>
      </c>
      <c r="E51" s="57">
        <v>91.84</v>
      </c>
      <c r="F51" s="42">
        <f>SUM(E51*2/100)</f>
        <v>1.8368</v>
      </c>
      <c r="G51" s="10">
        <v>82.82</v>
      </c>
      <c r="H51" s="58">
        <f t="shared" si="5"/>
        <v>0.15212377599999999</v>
      </c>
      <c r="I51" s="10">
        <v>0</v>
      </c>
    </row>
    <row r="52" spans="1:9" ht="15.75" hidden="1" customHeight="1">
      <c r="A52" s="21">
        <v>12</v>
      </c>
      <c r="B52" s="40" t="s">
        <v>57</v>
      </c>
      <c r="C52" s="41" t="s">
        <v>91</v>
      </c>
      <c r="D52" s="40" t="s">
        <v>171</v>
      </c>
      <c r="E52" s="57">
        <v>1040.4000000000001</v>
      </c>
      <c r="F52" s="42">
        <f>SUM(E52*5/1000)</f>
        <v>5.202</v>
      </c>
      <c r="G52" s="10">
        <v>1564.24</v>
      </c>
      <c r="H52" s="58">
        <f>SUM(F52*G52/1000)</f>
        <v>8.1371764800000008</v>
      </c>
      <c r="I52" s="10">
        <f>F52/5*G52</f>
        <v>1627.4352960000001</v>
      </c>
    </row>
    <row r="53" spans="1:9" ht="31.5" hidden="1" customHeight="1">
      <c r="A53" s="21"/>
      <c r="B53" s="40" t="s">
        <v>93</v>
      </c>
      <c r="C53" s="41" t="s">
        <v>91</v>
      </c>
      <c r="D53" s="40" t="s">
        <v>43</v>
      </c>
      <c r="E53" s="57">
        <v>1040.4000000000001</v>
      </c>
      <c r="F53" s="42">
        <f>SUM(E53*2/1000)</f>
        <v>2.0808</v>
      </c>
      <c r="G53" s="10">
        <v>1380.31</v>
      </c>
      <c r="H53" s="58">
        <f t="shared" si="5"/>
        <v>2.8721490479999998</v>
      </c>
      <c r="I53" s="10">
        <v>0</v>
      </c>
    </row>
    <row r="54" spans="1:9" ht="31.5" hidden="1" customHeight="1">
      <c r="A54" s="21"/>
      <c r="B54" s="40" t="s">
        <v>94</v>
      </c>
      <c r="C54" s="41" t="s">
        <v>39</v>
      </c>
      <c r="D54" s="40" t="s">
        <v>43</v>
      </c>
      <c r="E54" s="57">
        <v>20</v>
      </c>
      <c r="F54" s="42">
        <f>SUM(E54*2/100)</f>
        <v>0.4</v>
      </c>
      <c r="G54" s="10">
        <v>3519.56</v>
      </c>
      <c r="H54" s="58">
        <f t="shared" si="5"/>
        <v>1.407824</v>
      </c>
      <c r="I54" s="10">
        <v>0</v>
      </c>
    </row>
    <row r="55" spans="1:9" ht="15.75" hidden="1" customHeight="1">
      <c r="A55" s="21">
        <v>12</v>
      </c>
      <c r="B55" s="40" t="s">
        <v>40</v>
      </c>
      <c r="C55" s="41" t="s">
        <v>41</v>
      </c>
      <c r="D55" s="40" t="s">
        <v>43</v>
      </c>
      <c r="E55" s="57">
        <v>1</v>
      </c>
      <c r="F55" s="42">
        <v>0.02</v>
      </c>
      <c r="G55" s="10">
        <v>6428.82</v>
      </c>
      <c r="H55" s="58">
        <f t="shared" si="5"/>
        <v>0.12857640000000001</v>
      </c>
      <c r="I55" s="10">
        <f>F55/2*G55</f>
        <v>64.288200000000003</v>
      </c>
    </row>
    <row r="56" spans="1:9" ht="15.75" hidden="1" customHeight="1">
      <c r="A56" s="21">
        <v>13</v>
      </c>
      <c r="B56" s="40" t="s">
        <v>103</v>
      </c>
      <c r="C56" s="41" t="s">
        <v>98</v>
      </c>
      <c r="D56" s="40" t="s">
        <v>73</v>
      </c>
      <c r="E56" s="57">
        <v>56</v>
      </c>
      <c r="F56" s="42">
        <f>SUM(E56*3)</f>
        <v>168</v>
      </c>
      <c r="G56" s="10">
        <v>160.51</v>
      </c>
      <c r="H56" s="58">
        <f t="shared" si="5"/>
        <v>26.965679999999999</v>
      </c>
      <c r="I56" s="10">
        <f>E56*G56</f>
        <v>8988.56</v>
      </c>
    </row>
    <row r="57" spans="1:9" ht="15.75" hidden="1" customHeight="1">
      <c r="A57" s="21">
        <v>14</v>
      </c>
      <c r="B57" s="40" t="s">
        <v>42</v>
      </c>
      <c r="C57" s="41" t="s">
        <v>98</v>
      </c>
      <c r="D57" s="40" t="s">
        <v>73</v>
      </c>
      <c r="E57" s="57">
        <v>112</v>
      </c>
      <c r="F57" s="42">
        <f>SUM(E57)*3</f>
        <v>336</v>
      </c>
      <c r="G57" s="10">
        <v>74.709999999999994</v>
      </c>
      <c r="H57" s="58">
        <f t="shared" si="5"/>
        <v>25.102559999999997</v>
      </c>
      <c r="I57" s="10">
        <f>E57*G57</f>
        <v>8367.5199999999986</v>
      </c>
    </row>
    <row r="58" spans="1:9" ht="15.75" customHeight="1">
      <c r="A58" s="130" t="s">
        <v>162</v>
      </c>
      <c r="B58" s="131"/>
      <c r="C58" s="131"/>
      <c r="D58" s="131"/>
      <c r="E58" s="131"/>
      <c r="F58" s="131"/>
      <c r="G58" s="131"/>
      <c r="H58" s="131"/>
      <c r="I58" s="132"/>
    </row>
    <row r="59" spans="1:9" ht="15.75" customHeight="1">
      <c r="A59" s="21"/>
      <c r="B59" s="78" t="s">
        <v>44</v>
      </c>
      <c r="C59" s="41"/>
      <c r="D59" s="40"/>
      <c r="E59" s="57"/>
      <c r="F59" s="42"/>
      <c r="G59" s="42"/>
      <c r="H59" s="58"/>
      <c r="I59" s="62"/>
    </row>
    <row r="60" spans="1:9" ht="31.5" customHeight="1">
      <c r="A60" s="21">
        <v>12</v>
      </c>
      <c r="B60" s="40" t="s">
        <v>106</v>
      </c>
      <c r="C60" s="41" t="s">
        <v>89</v>
      </c>
      <c r="D60" s="98" t="s">
        <v>196</v>
      </c>
      <c r="E60" s="57">
        <v>142.05000000000001</v>
      </c>
      <c r="F60" s="42">
        <f>SUM(E60*6/100)</f>
        <v>8.5230000000000015</v>
      </c>
      <c r="G60" s="10">
        <v>2108.4299999999998</v>
      </c>
      <c r="H60" s="58">
        <f>SUM(F60*G60/1000)</f>
        <v>17.970148890000001</v>
      </c>
      <c r="I60" s="10">
        <f>G60*1.9</f>
        <v>4006.0169999999994</v>
      </c>
    </row>
    <row r="61" spans="1:9" ht="15.75" customHeight="1">
      <c r="A61" s="21"/>
      <c r="B61" s="78" t="s">
        <v>45</v>
      </c>
      <c r="C61" s="41"/>
      <c r="D61" s="40"/>
      <c r="E61" s="57"/>
      <c r="F61" s="58"/>
      <c r="G61" s="10"/>
      <c r="H61" s="65"/>
      <c r="I61" s="62"/>
    </row>
    <row r="62" spans="1:9" ht="15.75" hidden="1" customHeight="1">
      <c r="A62" s="21"/>
      <c r="B62" s="40" t="s">
        <v>169</v>
      </c>
      <c r="C62" s="41" t="s">
        <v>89</v>
      </c>
      <c r="D62" s="40" t="s">
        <v>54</v>
      </c>
      <c r="E62" s="57">
        <v>1040.4000000000001</v>
      </c>
      <c r="F62" s="58">
        <f>E62/100</f>
        <v>10.404000000000002</v>
      </c>
      <c r="G62" s="10">
        <v>902.66</v>
      </c>
      <c r="H62" s="65">
        <f>G62*F62/1000</f>
        <v>9.3912746400000007</v>
      </c>
      <c r="I62" s="10">
        <v>0</v>
      </c>
    </row>
    <row r="63" spans="1:9" ht="15.75" customHeight="1">
      <c r="A63" s="21">
        <v>13</v>
      </c>
      <c r="B63" s="40" t="s">
        <v>131</v>
      </c>
      <c r="C63" s="41" t="s">
        <v>25</v>
      </c>
      <c r="D63" s="90" t="s">
        <v>132</v>
      </c>
      <c r="E63" s="92">
        <v>200</v>
      </c>
      <c r="F63" s="93">
        <v>2880</v>
      </c>
      <c r="G63" s="94">
        <v>1.2</v>
      </c>
      <c r="H63" s="58">
        <f>F63*G63/1000</f>
        <v>3.456</v>
      </c>
      <c r="I63" s="10">
        <f>F63/12*G63</f>
        <v>288</v>
      </c>
    </row>
    <row r="64" spans="1:9" ht="15.75" customHeight="1">
      <c r="A64" s="21"/>
      <c r="B64" s="79" t="s">
        <v>46</v>
      </c>
      <c r="C64" s="66"/>
      <c r="D64" s="67"/>
      <c r="E64" s="68"/>
      <c r="F64" s="69"/>
      <c r="G64" s="69"/>
      <c r="H64" s="70" t="s">
        <v>166</v>
      </c>
      <c r="I64" s="62"/>
    </row>
    <row r="65" spans="1:9" ht="15.75" hidden="1" customHeight="1">
      <c r="A65" s="21">
        <v>15</v>
      </c>
      <c r="B65" s="11" t="s">
        <v>47</v>
      </c>
      <c r="C65" s="13" t="s">
        <v>41</v>
      </c>
      <c r="D65" s="40" t="s">
        <v>68</v>
      </c>
      <c r="E65" s="15">
        <v>15</v>
      </c>
      <c r="F65" s="42">
        <f>15/100</f>
        <v>0.15</v>
      </c>
      <c r="G65" s="10">
        <v>252.96</v>
      </c>
      <c r="H65" s="71">
        <f t="shared" ref="H65:H81" si="6">SUM(F65*G65/1000)</f>
        <v>3.7944000000000006E-2</v>
      </c>
      <c r="I65" s="10">
        <f>G65*4</f>
        <v>1011.84</v>
      </c>
    </row>
    <row r="66" spans="1:9" ht="15.75" hidden="1" customHeight="1">
      <c r="A66" s="21"/>
      <c r="B66" s="11" t="s">
        <v>48</v>
      </c>
      <c r="C66" s="13" t="s">
        <v>41</v>
      </c>
      <c r="D66" s="40" t="s">
        <v>68</v>
      </c>
      <c r="E66" s="15">
        <v>10</v>
      </c>
      <c r="F66" s="42">
        <f>10/100</f>
        <v>0.1</v>
      </c>
      <c r="G66" s="10">
        <v>86.74</v>
      </c>
      <c r="H66" s="71">
        <f t="shared" si="6"/>
        <v>8.6739999999999994E-3</v>
      </c>
      <c r="I66" s="10">
        <v>0</v>
      </c>
    </row>
    <row r="67" spans="1:9" ht="15.75" hidden="1" customHeight="1">
      <c r="A67" s="21"/>
      <c r="B67" s="11" t="s">
        <v>49</v>
      </c>
      <c r="C67" s="13" t="s">
        <v>99</v>
      </c>
      <c r="D67" s="11" t="s">
        <v>54</v>
      </c>
      <c r="E67" s="57">
        <v>17532</v>
      </c>
      <c r="F67" s="10">
        <f>SUM(E67/100)</f>
        <v>175.32</v>
      </c>
      <c r="G67" s="10">
        <v>241.31</v>
      </c>
      <c r="H67" s="71">
        <f t="shared" si="6"/>
        <v>42.306469200000002</v>
      </c>
      <c r="I67" s="10">
        <f>F67*G67</f>
        <v>42306.4692</v>
      </c>
    </row>
    <row r="68" spans="1:9" ht="15.75" hidden="1" customHeight="1">
      <c r="A68" s="21"/>
      <c r="B68" s="11" t="s">
        <v>50</v>
      </c>
      <c r="C68" s="13" t="s">
        <v>100</v>
      </c>
      <c r="D68" s="11"/>
      <c r="E68" s="57">
        <v>17532</v>
      </c>
      <c r="F68" s="10">
        <f>SUM(E68/1000)</f>
        <v>17.532</v>
      </c>
      <c r="G68" s="10">
        <v>187.91</v>
      </c>
      <c r="H68" s="71">
        <f t="shared" si="6"/>
        <v>3.2944381199999997</v>
      </c>
      <c r="I68" s="10">
        <f>F68*G68</f>
        <v>3294.4381199999998</v>
      </c>
    </row>
    <row r="69" spans="1:9" ht="15.75" hidden="1" customHeight="1">
      <c r="A69" s="21"/>
      <c r="B69" s="11" t="s">
        <v>51</v>
      </c>
      <c r="C69" s="13" t="s">
        <v>80</v>
      </c>
      <c r="D69" s="11" t="s">
        <v>54</v>
      </c>
      <c r="E69" s="57">
        <v>1365</v>
      </c>
      <c r="F69" s="10">
        <f>SUM(E69/100)</f>
        <v>13.65</v>
      </c>
      <c r="G69" s="10">
        <v>2359.7199999999998</v>
      </c>
      <c r="H69" s="71">
        <f t="shared" si="6"/>
        <v>32.210177999999999</v>
      </c>
      <c r="I69" s="10">
        <f t="shared" ref="I69:I72" si="7">F69*G69</f>
        <v>32210.178</v>
      </c>
    </row>
    <row r="70" spans="1:9" ht="15.75" hidden="1" customHeight="1">
      <c r="A70" s="21"/>
      <c r="B70" s="72" t="s">
        <v>74</v>
      </c>
      <c r="C70" s="13" t="s">
        <v>33</v>
      </c>
      <c r="D70" s="11"/>
      <c r="E70" s="57">
        <v>15.6</v>
      </c>
      <c r="F70" s="10">
        <f>SUM(E70)</f>
        <v>15.6</v>
      </c>
      <c r="G70" s="10">
        <v>45.4</v>
      </c>
      <c r="H70" s="71">
        <f t="shared" si="6"/>
        <v>0.70823999999999998</v>
      </c>
      <c r="I70" s="10">
        <f t="shared" si="7"/>
        <v>708.24</v>
      </c>
    </row>
    <row r="71" spans="1:9" ht="15.75" hidden="1" customHeight="1">
      <c r="A71" s="21"/>
      <c r="B71" s="72" t="s">
        <v>172</v>
      </c>
      <c r="C71" s="13" t="s">
        <v>33</v>
      </c>
      <c r="D71" s="11"/>
      <c r="E71" s="57">
        <v>15.6</v>
      </c>
      <c r="F71" s="10">
        <f>SUM(E71)</f>
        <v>15.6</v>
      </c>
      <c r="G71" s="10">
        <v>42.35</v>
      </c>
      <c r="H71" s="71">
        <f t="shared" si="6"/>
        <v>0.66065999999999991</v>
      </c>
      <c r="I71" s="10">
        <f t="shared" si="7"/>
        <v>660.66</v>
      </c>
    </row>
    <row r="72" spans="1:9" ht="15.75" hidden="1" customHeight="1">
      <c r="A72" s="21"/>
      <c r="B72" s="11" t="s">
        <v>58</v>
      </c>
      <c r="C72" s="13" t="s">
        <v>59</v>
      </c>
      <c r="D72" s="11" t="s">
        <v>54</v>
      </c>
      <c r="E72" s="15">
        <v>4</v>
      </c>
      <c r="F72" s="42">
        <f>SUM(E72)</f>
        <v>4</v>
      </c>
      <c r="G72" s="10">
        <v>56.74</v>
      </c>
      <c r="H72" s="71">
        <f t="shared" si="6"/>
        <v>0.22696</v>
      </c>
      <c r="I72" s="10">
        <f t="shared" si="7"/>
        <v>226.96</v>
      </c>
    </row>
    <row r="73" spans="1:9" ht="15.75" customHeight="1">
      <c r="A73" s="21">
        <v>14</v>
      </c>
      <c r="B73" s="11" t="s">
        <v>133</v>
      </c>
      <c r="C73" s="13" t="s">
        <v>59</v>
      </c>
      <c r="D73" s="11" t="s">
        <v>30</v>
      </c>
      <c r="E73" s="15">
        <v>1</v>
      </c>
      <c r="F73" s="52">
        <v>12</v>
      </c>
      <c r="G73" s="10">
        <v>756.5</v>
      </c>
      <c r="H73" s="71">
        <f t="shared" si="6"/>
        <v>9.0779999999999994</v>
      </c>
      <c r="I73" s="10">
        <f>G73</f>
        <v>756.5</v>
      </c>
    </row>
    <row r="74" spans="1:9" ht="15.75" hidden="1" customHeight="1">
      <c r="A74" s="21"/>
      <c r="B74" s="45" t="s">
        <v>75</v>
      </c>
      <c r="C74" s="13"/>
      <c r="D74" s="11"/>
      <c r="E74" s="15"/>
      <c r="F74" s="10"/>
      <c r="G74" s="10"/>
      <c r="H74" s="71" t="s">
        <v>166</v>
      </c>
      <c r="I74" s="62"/>
    </row>
    <row r="75" spans="1:9" ht="15.75" hidden="1" customHeight="1">
      <c r="A75" s="21"/>
      <c r="B75" s="11" t="s">
        <v>134</v>
      </c>
      <c r="C75" s="13" t="s">
        <v>31</v>
      </c>
      <c r="D75" s="40" t="s">
        <v>68</v>
      </c>
      <c r="E75" s="15">
        <v>2</v>
      </c>
      <c r="F75" s="10">
        <v>2</v>
      </c>
      <c r="G75" s="10">
        <v>892.5</v>
      </c>
      <c r="H75" s="71">
        <f>G75*F75/1000</f>
        <v>1.7849999999999999</v>
      </c>
      <c r="I75" s="10">
        <v>0</v>
      </c>
    </row>
    <row r="76" spans="1:9" ht="15.75" hidden="1" customHeight="1">
      <c r="A76" s="21"/>
      <c r="B76" s="11" t="s">
        <v>119</v>
      </c>
      <c r="C76" s="13" t="s">
        <v>135</v>
      </c>
      <c r="D76" s="11"/>
      <c r="E76" s="15">
        <v>1</v>
      </c>
      <c r="F76" s="10">
        <v>1</v>
      </c>
      <c r="G76" s="10">
        <v>750</v>
      </c>
      <c r="H76" s="71">
        <f>G76*F76/1000</f>
        <v>0.75</v>
      </c>
      <c r="I76" s="10">
        <v>0</v>
      </c>
    </row>
    <row r="77" spans="1:9" ht="15.75" hidden="1" customHeight="1">
      <c r="A77" s="21">
        <v>17</v>
      </c>
      <c r="B77" s="11" t="s">
        <v>76</v>
      </c>
      <c r="C77" s="13" t="s">
        <v>78</v>
      </c>
      <c r="D77" s="11"/>
      <c r="E77" s="15">
        <v>2</v>
      </c>
      <c r="F77" s="10">
        <v>0.2</v>
      </c>
      <c r="G77" s="10">
        <v>570.54</v>
      </c>
      <c r="H77" s="71">
        <f t="shared" si="6"/>
        <v>0.114108</v>
      </c>
      <c r="I77" s="10">
        <f>G77*0.7</f>
        <v>399.37799999999993</v>
      </c>
    </row>
    <row r="78" spans="1:9" ht="15.75" hidden="1" customHeight="1">
      <c r="A78" s="21"/>
      <c r="B78" s="11" t="s">
        <v>77</v>
      </c>
      <c r="C78" s="13" t="s">
        <v>31</v>
      </c>
      <c r="D78" s="11"/>
      <c r="E78" s="15">
        <v>1</v>
      </c>
      <c r="F78" s="52">
        <v>1</v>
      </c>
      <c r="G78" s="10">
        <v>970.21</v>
      </c>
      <c r="H78" s="71">
        <f t="shared" si="6"/>
        <v>0.97021000000000002</v>
      </c>
      <c r="I78" s="10">
        <v>0</v>
      </c>
    </row>
    <row r="79" spans="1:9" ht="15.75" hidden="1" customHeight="1">
      <c r="A79" s="21"/>
      <c r="B79" s="11" t="s">
        <v>136</v>
      </c>
      <c r="C79" s="13" t="s">
        <v>98</v>
      </c>
      <c r="D79" s="11"/>
      <c r="E79" s="15">
        <v>1</v>
      </c>
      <c r="F79" s="42">
        <f>SUM(E79)</f>
        <v>1</v>
      </c>
      <c r="G79" s="10">
        <v>407.79</v>
      </c>
      <c r="H79" s="71">
        <f t="shared" si="6"/>
        <v>0.40779000000000004</v>
      </c>
      <c r="I79" s="10">
        <v>0</v>
      </c>
    </row>
    <row r="80" spans="1:9" ht="15.75" hidden="1" customHeight="1">
      <c r="A80" s="21"/>
      <c r="B80" s="76" t="s">
        <v>79</v>
      </c>
      <c r="C80" s="13"/>
      <c r="D80" s="11"/>
      <c r="E80" s="15"/>
      <c r="F80" s="10"/>
      <c r="G80" s="10" t="s">
        <v>166</v>
      </c>
      <c r="H80" s="71" t="s">
        <v>166</v>
      </c>
      <c r="I80" s="62"/>
    </row>
    <row r="81" spans="1:9" ht="15.75" hidden="1" customHeight="1">
      <c r="A81" s="21"/>
      <c r="B81" s="34" t="s">
        <v>104</v>
      </c>
      <c r="C81" s="13" t="s">
        <v>80</v>
      </c>
      <c r="D81" s="11"/>
      <c r="E81" s="15"/>
      <c r="F81" s="10">
        <v>0.6</v>
      </c>
      <c r="G81" s="10">
        <v>3138.65</v>
      </c>
      <c r="H81" s="71">
        <f t="shared" si="6"/>
        <v>1.8831900000000001</v>
      </c>
      <c r="I81" s="10">
        <v>0</v>
      </c>
    </row>
    <row r="82" spans="1:9" ht="15.75" customHeight="1">
      <c r="A82" s="21"/>
      <c r="B82" s="45" t="s">
        <v>95</v>
      </c>
      <c r="C82" s="13"/>
      <c r="D82" s="11"/>
      <c r="E82" s="53"/>
      <c r="F82" s="10"/>
      <c r="G82" s="10"/>
      <c r="H82" s="71"/>
      <c r="I82" s="10"/>
    </row>
    <row r="83" spans="1:9" ht="15.75" customHeight="1">
      <c r="A83" s="21">
        <v>15</v>
      </c>
      <c r="B83" s="40" t="s">
        <v>101</v>
      </c>
      <c r="C83" s="13"/>
      <c r="D83" s="11"/>
      <c r="E83" s="53"/>
      <c r="F83" s="10">
        <v>1</v>
      </c>
      <c r="G83" s="97">
        <v>24146</v>
      </c>
      <c r="H83" s="71">
        <f>G83*F83/1000</f>
        <v>24.146000000000001</v>
      </c>
      <c r="I83" s="10">
        <f>G83</f>
        <v>24146</v>
      </c>
    </row>
    <row r="84" spans="1:9" ht="15.75" customHeight="1">
      <c r="A84" s="21"/>
      <c r="B84" s="80" t="s">
        <v>107</v>
      </c>
      <c r="C84" s="76"/>
      <c r="D84" s="23"/>
      <c r="E84" s="24"/>
      <c r="F84" s="75"/>
      <c r="G84" s="75"/>
      <c r="H84" s="73"/>
      <c r="I84" s="61"/>
    </row>
    <row r="85" spans="1:9" ht="31.5" hidden="1" customHeight="1">
      <c r="A85" s="21"/>
      <c r="B85" s="77" t="s">
        <v>137</v>
      </c>
      <c r="C85" s="13" t="s">
        <v>138</v>
      </c>
      <c r="D85" s="40" t="s">
        <v>68</v>
      </c>
      <c r="E85" s="15">
        <v>10</v>
      </c>
      <c r="F85" s="10">
        <v>10</v>
      </c>
      <c r="G85" s="10">
        <v>271.88</v>
      </c>
      <c r="H85" s="71">
        <f t="shared" ref="H85:H98" si="8">F85*G85/1000</f>
        <v>2.7188000000000003</v>
      </c>
      <c r="I85" s="10">
        <v>0</v>
      </c>
    </row>
    <row r="86" spans="1:9" ht="15.75" customHeight="1">
      <c r="A86" s="21">
        <v>16</v>
      </c>
      <c r="B86" s="77" t="s">
        <v>108</v>
      </c>
      <c r="C86" s="13" t="s">
        <v>84</v>
      </c>
      <c r="D86" s="40" t="s">
        <v>68</v>
      </c>
      <c r="E86" s="15">
        <v>100</v>
      </c>
      <c r="F86" s="10">
        <v>100</v>
      </c>
      <c r="G86" s="10">
        <v>111.84</v>
      </c>
      <c r="H86" s="71">
        <f t="shared" si="8"/>
        <v>11.183999999999999</v>
      </c>
      <c r="I86" s="10">
        <f>G86*10</f>
        <v>1118.4000000000001</v>
      </c>
    </row>
    <row r="87" spans="1:9" ht="15.75" hidden="1" customHeight="1">
      <c r="A87" s="21"/>
      <c r="B87" s="77" t="s">
        <v>139</v>
      </c>
      <c r="C87" s="13" t="s">
        <v>140</v>
      </c>
      <c r="D87" s="40" t="s">
        <v>68</v>
      </c>
      <c r="E87" s="15">
        <v>30</v>
      </c>
      <c r="F87" s="10">
        <v>10</v>
      </c>
      <c r="G87" s="10">
        <v>972.09</v>
      </c>
      <c r="H87" s="71">
        <f t="shared" si="8"/>
        <v>9.7209000000000003</v>
      </c>
      <c r="I87" s="10">
        <v>0</v>
      </c>
    </row>
    <row r="88" spans="1:9" ht="15.75" hidden="1" customHeight="1">
      <c r="A88" s="21"/>
      <c r="B88" s="77" t="s">
        <v>141</v>
      </c>
      <c r="C88" s="13" t="s">
        <v>53</v>
      </c>
      <c r="D88" s="40" t="s">
        <v>68</v>
      </c>
      <c r="E88" s="15">
        <v>100</v>
      </c>
      <c r="F88" s="10">
        <v>1</v>
      </c>
      <c r="G88" s="10">
        <v>1829.52</v>
      </c>
      <c r="H88" s="71">
        <f t="shared" si="8"/>
        <v>1.82952</v>
      </c>
      <c r="I88" s="10">
        <v>0</v>
      </c>
    </row>
    <row r="89" spans="1:9" ht="31.5" hidden="1" customHeight="1">
      <c r="A89" s="21">
        <v>15</v>
      </c>
      <c r="B89" s="77" t="s">
        <v>142</v>
      </c>
      <c r="C89" s="13" t="s">
        <v>143</v>
      </c>
      <c r="D89" s="40" t="s">
        <v>68</v>
      </c>
      <c r="E89" s="15">
        <v>40</v>
      </c>
      <c r="F89" s="10">
        <v>4</v>
      </c>
      <c r="G89" s="10">
        <v>272.39</v>
      </c>
      <c r="H89" s="71">
        <f t="shared" si="8"/>
        <v>1.0895599999999999</v>
      </c>
      <c r="I89" s="10">
        <f>G89*4.5</f>
        <v>1225.7549999999999</v>
      </c>
    </row>
    <row r="90" spans="1:9" ht="31.5" hidden="1" customHeight="1">
      <c r="A90" s="21"/>
      <c r="B90" s="77" t="s">
        <v>144</v>
      </c>
      <c r="C90" s="13" t="s">
        <v>84</v>
      </c>
      <c r="D90" s="40" t="s">
        <v>68</v>
      </c>
      <c r="E90" s="15">
        <v>15</v>
      </c>
      <c r="F90" s="10">
        <v>15</v>
      </c>
      <c r="G90" s="10">
        <v>1430.02</v>
      </c>
      <c r="H90" s="71">
        <f t="shared" si="8"/>
        <v>21.450299999999999</v>
      </c>
      <c r="I90" s="10">
        <v>0</v>
      </c>
    </row>
    <row r="91" spans="1:9" ht="31.5" hidden="1" customHeight="1">
      <c r="A91" s="21"/>
      <c r="B91" s="77" t="s">
        <v>145</v>
      </c>
      <c r="C91" s="13" t="s">
        <v>84</v>
      </c>
      <c r="D91" s="40" t="s">
        <v>68</v>
      </c>
      <c r="E91" s="15">
        <v>10</v>
      </c>
      <c r="F91" s="10">
        <v>10</v>
      </c>
      <c r="G91" s="10">
        <v>1743.04</v>
      </c>
      <c r="H91" s="71">
        <f t="shared" si="8"/>
        <v>17.430400000000002</v>
      </c>
      <c r="I91" s="10">
        <v>0</v>
      </c>
    </row>
    <row r="92" spans="1:9" ht="31.5" hidden="1" customHeight="1">
      <c r="A92" s="21"/>
      <c r="B92" s="77" t="s">
        <v>146</v>
      </c>
      <c r="C92" s="13" t="s">
        <v>84</v>
      </c>
      <c r="D92" s="40" t="s">
        <v>68</v>
      </c>
      <c r="E92" s="15">
        <v>20</v>
      </c>
      <c r="F92" s="10">
        <v>20</v>
      </c>
      <c r="G92" s="10">
        <v>607.27</v>
      </c>
      <c r="H92" s="71">
        <f t="shared" si="8"/>
        <v>12.1454</v>
      </c>
      <c r="I92" s="10">
        <v>0</v>
      </c>
    </row>
    <row r="93" spans="1:9" ht="31.5" hidden="1" customHeight="1">
      <c r="A93" s="21"/>
      <c r="B93" s="77" t="s">
        <v>147</v>
      </c>
      <c r="C93" s="13" t="s">
        <v>84</v>
      </c>
      <c r="D93" s="40" t="s">
        <v>68</v>
      </c>
      <c r="E93" s="15">
        <v>30</v>
      </c>
      <c r="F93" s="10">
        <v>30</v>
      </c>
      <c r="G93" s="10">
        <v>711.93</v>
      </c>
      <c r="H93" s="71">
        <f t="shared" si="8"/>
        <v>21.357899999999997</v>
      </c>
      <c r="I93" s="10">
        <v>0</v>
      </c>
    </row>
    <row r="94" spans="1:9" ht="15.75" hidden="1" customHeight="1">
      <c r="A94" s="21"/>
      <c r="B94" s="77" t="s">
        <v>109</v>
      </c>
      <c r="C94" s="13" t="s">
        <v>31</v>
      </c>
      <c r="D94" s="40" t="s">
        <v>68</v>
      </c>
      <c r="E94" s="15">
        <v>10</v>
      </c>
      <c r="F94" s="10">
        <v>10</v>
      </c>
      <c r="G94" s="10">
        <v>455.31</v>
      </c>
      <c r="H94" s="71">
        <f t="shared" si="8"/>
        <v>4.5531000000000006</v>
      </c>
      <c r="I94" s="10">
        <v>0</v>
      </c>
    </row>
    <row r="95" spans="1:9" ht="31.5" hidden="1" customHeight="1">
      <c r="A95" s="21"/>
      <c r="B95" s="77" t="s">
        <v>148</v>
      </c>
      <c r="C95" s="13" t="s">
        <v>84</v>
      </c>
      <c r="D95" s="40" t="s">
        <v>68</v>
      </c>
      <c r="E95" s="15">
        <v>30</v>
      </c>
      <c r="F95" s="10">
        <v>30</v>
      </c>
      <c r="G95" s="10">
        <v>1155.7</v>
      </c>
      <c r="H95" s="71">
        <f t="shared" si="8"/>
        <v>34.670999999999999</v>
      </c>
      <c r="I95" s="10">
        <v>0</v>
      </c>
    </row>
    <row r="96" spans="1:9" ht="31.5" hidden="1" customHeight="1">
      <c r="A96" s="21"/>
      <c r="B96" s="77" t="s">
        <v>149</v>
      </c>
      <c r="C96" s="13" t="s">
        <v>29</v>
      </c>
      <c r="D96" s="11" t="s">
        <v>43</v>
      </c>
      <c r="E96" s="15">
        <v>1040.4000000000001</v>
      </c>
      <c r="F96" s="10">
        <f>E96*2/1000</f>
        <v>2.0808</v>
      </c>
      <c r="G96" s="10">
        <v>1560.98</v>
      </c>
      <c r="H96" s="71">
        <f t="shared" si="8"/>
        <v>3.2480871840000001</v>
      </c>
      <c r="I96" s="10">
        <v>0</v>
      </c>
    </row>
    <row r="97" spans="1:9" ht="31.5" customHeight="1">
      <c r="A97" s="21">
        <v>17</v>
      </c>
      <c r="B97" s="77" t="s">
        <v>150</v>
      </c>
      <c r="C97" s="21" t="s">
        <v>152</v>
      </c>
      <c r="D97" s="40" t="s">
        <v>68</v>
      </c>
      <c r="E97" s="15">
        <v>100</v>
      </c>
      <c r="F97" s="10">
        <v>1</v>
      </c>
      <c r="G97" s="10">
        <v>12859.93</v>
      </c>
      <c r="H97" s="71">
        <f t="shared" si="8"/>
        <v>12.85993</v>
      </c>
      <c r="I97" s="10">
        <f>G97*(10/100)</f>
        <v>1285.9930000000002</v>
      </c>
    </row>
    <row r="98" spans="1:9" ht="15.75" hidden="1" customHeight="1">
      <c r="A98" s="21"/>
      <c r="B98" s="77" t="s">
        <v>151</v>
      </c>
      <c r="C98" s="13" t="s">
        <v>29</v>
      </c>
      <c r="D98" s="11" t="s">
        <v>43</v>
      </c>
      <c r="E98" s="15">
        <v>1040.4000000000001</v>
      </c>
      <c r="F98" s="10">
        <v>2.08</v>
      </c>
      <c r="G98" s="10">
        <v>1453.29</v>
      </c>
      <c r="H98" s="71">
        <f t="shared" si="8"/>
        <v>3.0228432000000001</v>
      </c>
      <c r="I98" s="10">
        <v>0</v>
      </c>
    </row>
    <row r="99" spans="1:9" ht="15.75" customHeight="1">
      <c r="A99" s="133" t="s">
        <v>163</v>
      </c>
      <c r="B99" s="134"/>
      <c r="C99" s="134"/>
      <c r="D99" s="134"/>
      <c r="E99" s="134"/>
      <c r="F99" s="134"/>
      <c r="G99" s="134"/>
      <c r="H99" s="134"/>
      <c r="I99" s="135"/>
    </row>
    <row r="100" spans="1:9" ht="15.75" customHeight="1">
      <c r="A100" s="21">
        <v>18</v>
      </c>
      <c r="B100" s="77" t="s">
        <v>102</v>
      </c>
      <c r="C100" s="13" t="s">
        <v>55</v>
      </c>
      <c r="D100" s="51" t="s">
        <v>56</v>
      </c>
      <c r="E100" s="10">
        <v>3455.3</v>
      </c>
      <c r="F100" s="10">
        <v>41463.599999999999</v>
      </c>
      <c r="G100" s="10">
        <v>2.7</v>
      </c>
      <c r="H100" s="71">
        <f>SUM(F100*G100/1000)</f>
        <v>111.95171999999999</v>
      </c>
      <c r="I100" s="10">
        <f>F100/12*G100</f>
        <v>9329.31</v>
      </c>
    </row>
    <row r="101" spans="1:9" ht="31.5" customHeight="1">
      <c r="A101" s="21">
        <v>19</v>
      </c>
      <c r="B101" s="11" t="s">
        <v>81</v>
      </c>
      <c r="C101" s="13"/>
      <c r="D101" s="51" t="s">
        <v>56</v>
      </c>
      <c r="E101" s="57">
        <f>E100</f>
        <v>3455.3</v>
      </c>
      <c r="F101" s="10">
        <f>E101*12</f>
        <v>41463.600000000006</v>
      </c>
      <c r="G101" s="10">
        <v>3.05</v>
      </c>
      <c r="H101" s="71">
        <f>F101*G101/1000</f>
        <v>126.46398000000001</v>
      </c>
      <c r="I101" s="10">
        <f>F101/12*G101</f>
        <v>10538.665000000001</v>
      </c>
    </row>
    <row r="102" spans="1:9" ht="15.75" customHeight="1">
      <c r="A102" s="21"/>
      <c r="B102" s="27" t="s">
        <v>83</v>
      </c>
      <c r="C102" s="76"/>
      <c r="D102" s="74"/>
      <c r="E102" s="75"/>
      <c r="F102" s="75"/>
      <c r="G102" s="75"/>
      <c r="H102" s="73">
        <f>SUM(H101)</f>
        <v>126.46398000000001</v>
      </c>
      <c r="I102" s="75">
        <f>I16+I17+I18+I27+I28+I39+I40+I42+I43+I44+I45+I60+I63+I73+I83+I86+I97+I100+I101</f>
        <v>84936.368038333341</v>
      </c>
    </row>
    <row r="103" spans="1:9" ht="15.75" customHeight="1">
      <c r="A103" s="140" t="s">
        <v>61</v>
      </c>
      <c r="B103" s="141"/>
      <c r="C103" s="141"/>
      <c r="D103" s="141"/>
      <c r="E103" s="141"/>
      <c r="F103" s="141"/>
      <c r="G103" s="141"/>
      <c r="H103" s="141"/>
      <c r="I103" s="142"/>
    </row>
    <row r="104" spans="1:9" ht="15.75" customHeight="1">
      <c r="A104" s="21">
        <v>20</v>
      </c>
      <c r="B104" s="37" t="s">
        <v>120</v>
      </c>
      <c r="C104" s="59" t="s">
        <v>153</v>
      </c>
      <c r="D104" s="34"/>
      <c r="E104" s="10"/>
      <c r="F104" s="10">
        <v>1</v>
      </c>
      <c r="G104" s="10">
        <v>1645</v>
      </c>
      <c r="H104" s="87">
        <f t="shared" ref="H104" si="9">G104*F104/1000</f>
        <v>1.645</v>
      </c>
      <c r="I104" s="10">
        <f>G104*2</f>
        <v>3290</v>
      </c>
    </row>
    <row r="105" spans="1:9" ht="15.75" customHeight="1">
      <c r="A105" s="21">
        <v>24</v>
      </c>
      <c r="B105" s="113" t="s">
        <v>205</v>
      </c>
      <c r="C105" s="43" t="s">
        <v>78</v>
      </c>
      <c r="D105" s="34"/>
      <c r="E105" s="10"/>
      <c r="F105" s="10"/>
      <c r="G105" s="114">
        <v>4165.3999999999996</v>
      </c>
      <c r="H105" s="87"/>
      <c r="I105" s="10">
        <f>G105*0.1</f>
        <v>416.53999999999996</v>
      </c>
    </row>
    <row r="106" spans="1:9" ht="15.75" customHeight="1">
      <c r="A106" s="21">
        <v>22</v>
      </c>
      <c r="B106" s="39" t="s">
        <v>85</v>
      </c>
      <c r="C106" s="88" t="s">
        <v>98</v>
      </c>
      <c r="D106" s="34"/>
      <c r="E106" s="10"/>
      <c r="F106" s="10"/>
      <c r="G106" s="114">
        <v>197.48</v>
      </c>
      <c r="H106" s="87"/>
      <c r="I106" s="10">
        <f>G106*1</f>
        <v>197.48</v>
      </c>
    </row>
    <row r="107" spans="1:9">
      <c r="A107" s="21"/>
      <c r="B107" s="32" t="s">
        <v>52</v>
      </c>
      <c r="C107" s="28"/>
      <c r="D107" s="35"/>
      <c r="E107" s="28">
        <v>1</v>
      </c>
      <c r="F107" s="28"/>
      <c r="G107" s="28"/>
      <c r="H107" s="28"/>
      <c r="I107" s="24">
        <f>SUM(I104:I106)</f>
        <v>3904.02</v>
      </c>
    </row>
    <row r="108" spans="1:9">
      <c r="A108" s="21"/>
      <c r="B108" s="34" t="s">
        <v>82</v>
      </c>
      <c r="C108" s="12"/>
      <c r="D108" s="12"/>
      <c r="E108" s="29"/>
      <c r="F108" s="29"/>
      <c r="G108" s="30"/>
      <c r="H108" s="30"/>
      <c r="I108" s="14">
        <v>0</v>
      </c>
    </row>
    <row r="109" spans="1:9" ht="15.75" customHeight="1">
      <c r="A109" s="36"/>
      <c r="B109" s="33" t="s">
        <v>184</v>
      </c>
      <c r="C109" s="25"/>
      <c r="D109" s="25"/>
      <c r="E109" s="25"/>
      <c r="F109" s="25"/>
      <c r="G109" s="25"/>
      <c r="H109" s="25"/>
      <c r="I109" s="31">
        <f>I102+I107</f>
        <v>88840.388038333345</v>
      </c>
    </row>
    <row r="110" spans="1:9" ht="15.75">
      <c r="A110" s="136" t="s">
        <v>227</v>
      </c>
      <c r="B110" s="136"/>
      <c r="C110" s="136"/>
      <c r="D110" s="136"/>
      <c r="E110" s="136"/>
      <c r="F110" s="136"/>
      <c r="G110" s="136"/>
      <c r="H110" s="136"/>
      <c r="I110" s="136"/>
    </row>
    <row r="111" spans="1:9" ht="15.75">
      <c r="A111" s="50"/>
      <c r="B111" s="137" t="s">
        <v>228</v>
      </c>
      <c r="C111" s="137"/>
      <c r="D111" s="137"/>
      <c r="E111" s="137"/>
      <c r="F111" s="137"/>
      <c r="G111" s="137"/>
      <c r="H111" s="56"/>
      <c r="I111" s="2"/>
    </row>
    <row r="112" spans="1:9">
      <c r="A112" s="44"/>
      <c r="B112" s="124" t="s">
        <v>6</v>
      </c>
      <c r="C112" s="124"/>
      <c r="D112" s="124"/>
      <c r="E112" s="124"/>
      <c r="F112" s="124"/>
      <c r="G112" s="124"/>
      <c r="H112" s="16"/>
      <c r="I112" s="4"/>
    </row>
    <row r="113" spans="1:9">
      <c r="A113" s="7"/>
      <c r="B113" s="7"/>
      <c r="C113" s="7"/>
      <c r="D113" s="7"/>
      <c r="E113" s="7"/>
      <c r="F113" s="7"/>
      <c r="G113" s="7"/>
      <c r="H113" s="7"/>
      <c r="I113" s="7"/>
    </row>
    <row r="114" spans="1:9" ht="15.75" customHeight="1">
      <c r="A114" s="138" t="s">
        <v>7</v>
      </c>
      <c r="B114" s="138"/>
      <c r="C114" s="138"/>
      <c r="D114" s="138"/>
      <c r="E114" s="138"/>
      <c r="F114" s="138"/>
      <c r="G114" s="138"/>
      <c r="H114" s="138"/>
      <c r="I114" s="138"/>
    </row>
    <row r="115" spans="1:9" ht="15.75" customHeight="1">
      <c r="A115" s="138" t="s">
        <v>8</v>
      </c>
      <c r="B115" s="138"/>
      <c r="C115" s="138"/>
      <c r="D115" s="138"/>
      <c r="E115" s="138"/>
      <c r="F115" s="138"/>
      <c r="G115" s="138"/>
      <c r="H115" s="138"/>
      <c r="I115" s="138"/>
    </row>
    <row r="116" spans="1:9" ht="15.75" customHeight="1">
      <c r="A116" s="139" t="s">
        <v>62</v>
      </c>
      <c r="B116" s="139"/>
      <c r="C116" s="139"/>
      <c r="D116" s="139"/>
      <c r="E116" s="139"/>
      <c r="F116" s="139"/>
      <c r="G116" s="139"/>
      <c r="H116" s="139"/>
      <c r="I116" s="139"/>
    </row>
    <row r="117" spans="1:9" ht="15.75" customHeight="1">
      <c r="A117" s="8"/>
    </row>
    <row r="118" spans="1:9" ht="15.75" customHeight="1">
      <c r="A118" s="128" t="s">
        <v>9</v>
      </c>
      <c r="B118" s="128"/>
      <c r="C118" s="128"/>
      <c r="D118" s="128"/>
      <c r="E118" s="128"/>
      <c r="F118" s="128"/>
      <c r="G118" s="128"/>
      <c r="H118" s="128"/>
      <c r="I118" s="128"/>
    </row>
    <row r="119" spans="1:9" ht="15.75" customHeight="1">
      <c r="A119" s="3"/>
    </row>
    <row r="120" spans="1:9" ht="15.75" customHeight="1">
      <c r="B120" s="46" t="s">
        <v>10</v>
      </c>
      <c r="C120" s="123" t="s">
        <v>158</v>
      </c>
      <c r="D120" s="123"/>
      <c r="E120" s="123"/>
      <c r="F120" s="54"/>
      <c r="I120" s="48"/>
    </row>
    <row r="121" spans="1:9">
      <c r="A121" s="44"/>
      <c r="C121" s="124" t="s">
        <v>11</v>
      </c>
      <c r="D121" s="124"/>
      <c r="E121" s="124"/>
      <c r="F121" s="16"/>
      <c r="I121" s="49" t="s">
        <v>12</v>
      </c>
    </row>
    <row r="122" spans="1:9" ht="15.75">
      <c r="A122" s="17"/>
      <c r="C122" s="9"/>
      <c r="D122" s="9"/>
      <c r="G122" s="9"/>
      <c r="H122" s="9"/>
    </row>
    <row r="123" spans="1:9" ht="15.75">
      <c r="B123" s="46" t="s">
        <v>13</v>
      </c>
      <c r="C123" s="125"/>
      <c r="D123" s="125"/>
      <c r="E123" s="125"/>
      <c r="F123" s="55"/>
      <c r="I123" s="48"/>
    </row>
    <row r="124" spans="1:9">
      <c r="A124" s="44"/>
      <c r="C124" s="126" t="s">
        <v>11</v>
      </c>
      <c r="D124" s="126"/>
      <c r="E124" s="126"/>
      <c r="F124" s="44"/>
      <c r="I124" s="49" t="s">
        <v>12</v>
      </c>
    </row>
    <row r="125" spans="1:9" ht="15.75">
      <c r="A125" s="3" t="s">
        <v>14</v>
      </c>
    </row>
    <row r="126" spans="1:9">
      <c r="A126" s="127" t="s">
        <v>15</v>
      </c>
      <c r="B126" s="127"/>
      <c r="C126" s="127"/>
      <c r="D126" s="127"/>
      <c r="E126" s="127"/>
      <c r="F126" s="127"/>
      <c r="G126" s="127"/>
      <c r="H126" s="127"/>
      <c r="I126" s="127"/>
    </row>
    <row r="127" spans="1:9" ht="45" customHeight="1">
      <c r="A127" s="122" t="s">
        <v>16</v>
      </c>
      <c r="B127" s="122"/>
      <c r="C127" s="122"/>
      <c r="D127" s="122"/>
      <c r="E127" s="122"/>
      <c r="F127" s="122"/>
      <c r="G127" s="122"/>
      <c r="H127" s="122"/>
      <c r="I127" s="122"/>
    </row>
    <row r="128" spans="1:9" ht="30" customHeight="1">
      <c r="A128" s="122" t="s">
        <v>17</v>
      </c>
      <c r="B128" s="122"/>
      <c r="C128" s="122"/>
      <c r="D128" s="122"/>
      <c r="E128" s="122"/>
      <c r="F128" s="122"/>
      <c r="G128" s="122"/>
      <c r="H128" s="122"/>
      <c r="I128" s="122"/>
    </row>
    <row r="129" spans="1:9" ht="30" customHeight="1">
      <c r="A129" s="122" t="s">
        <v>21</v>
      </c>
      <c r="B129" s="122"/>
      <c r="C129" s="122"/>
      <c r="D129" s="122"/>
      <c r="E129" s="122"/>
      <c r="F129" s="122"/>
      <c r="G129" s="122"/>
      <c r="H129" s="122"/>
      <c r="I129" s="122"/>
    </row>
    <row r="130" spans="1:9" ht="15" customHeight="1">
      <c r="A130" s="122" t="s">
        <v>20</v>
      </c>
      <c r="B130" s="122"/>
      <c r="C130" s="122"/>
      <c r="D130" s="122"/>
      <c r="E130" s="122"/>
      <c r="F130" s="122"/>
      <c r="G130" s="122"/>
      <c r="H130" s="122"/>
      <c r="I130" s="122"/>
    </row>
  </sheetData>
  <mergeCells count="28">
    <mergeCell ref="A14:I14"/>
    <mergeCell ref="A3:I3"/>
    <mergeCell ref="A4:I4"/>
    <mergeCell ref="A5:I5"/>
    <mergeCell ref="A8:I8"/>
    <mergeCell ref="A10:I10"/>
    <mergeCell ref="A118:I118"/>
    <mergeCell ref="A15:I15"/>
    <mergeCell ref="A29:I29"/>
    <mergeCell ref="A46:I46"/>
    <mergeCell ref="A58:I58"/>
    <mergeCell ref="A99:I99"/>
    <mergeCell ref="A110:I110"/>
    <mergeCell ref="B111:G111"/>
    <mergeCell ref="B112:G112"/>
    <mergeCell ref="A114:I114"/>
    <mergeCell ref="A115:I115"/>
    <mergeCell ref="A116:I116"/>
    <mergeCell ref="A103:I103"/>
    <mergeCell ref="A128:I128"/>
    <mergeCell ref="A129:I129"/>
    <mergeCell ref="A130:I130"/>
    <mergeCell ref="C120:E120"/>
    <mergeCell ref="C121:E121"/>
    <mergeCell ref="C123:E123"/>
    <mergeCell ref="C124:E124"/>
    <mergeCell ref="A126:I126"/>
    <mergeCell ref="A127:I127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34"/>
  <sheetViews>
    <sheetView topLeftCell="A102" workbookViewId="0">
      <selection activeCell="A118" sqref="A118:I11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88</v>
      </c>
      <c r="I1" s="18"/>
    </row>
    <row r="2" spans="1:9" ht="15.75">
      <c r="A2" s="20" t="s">
        <v>63</v>
      </c>
    </row>
    <row r="3" spans="1:9" ht="15.75">
      <c r="A3" s="144" t="s">
        <v>175</v>
      </c>
      <c r="B3" s="144"/>
      <c r="C3" s="144"/>
      <c r="D3" s="144"/>
      <c r="E3" s="144"/>
      <c r="F3" s="144"/>
      <c r="G3" s="144"/>
      <c r="H3" s="144"/>
      <c r="I3" s="144"/>
    </row>
    <row r="4" spans="1:9" ht="31.5" customHeight="1">
      <c r="A4" s="145" t="s">
        <v>154</v>
      </c>
      <c r="B4" s="145"/>
      <c r="C4" s="145"/>
      <c r="D4" s="145"/>
      <c r="E4" s="145"/>
      <c r="F4" s="145"/>
      <c r="G4" s="145"/>
      <c r="H4" s="145"/>
      <c r="I4" s="145"/>
    </row>
    <row r="5" spans="1:9" ht="15.75">
      <c r="A5" s="144" t="s">
        <v>197</v>
      </c>
      <c r="B5" s="146"/>
      <c r="C5" s="146"/>
      <c r="D5" s="146"/>
      <c r="E5" s="146"/>
      <c r="F5" s="146"/>
      <c r="G5" s="146"/>
      <c r="H5" s="146"/>
      <c r="I5" s="146"/>
    </row>
    <row r="6" spans="1:9" ht="15.75">
      <c r="A6" s="1"/>
      <c r="B6" s="47"/>
      <c r="C6" s="47"/>
      <c r="D6" s="47"/>
      <c r="E6" s="47"/>
      <c r="F6" s="47"/>
      <c r="G6" s="47"/>
      <c r="H6" s="47"/>
      <c r="I6" s="22">
        <v>43220</v>
      </c>
    </row>
    <row r="7" spans="1:9" ht="15.75">
      <c r="B7" s="46"/>
      <c r="C7" s="46"/>
      <c r="D7" s="46"/>
      <c r="E7" s="2"/>
      <c r="F7" s="2"/>
      <c r="G7" s="2"/>
      <c r="H7" s="2"/>
    </row>
    <row r="8" spans="1:9" ht="78.75" customHeight="1">
      <c r="A8" s="147" t="s">
        <v>182</v>
      </c>
      <c r="B8" s="147"/>
      <c r="C8" s="147"/>
      <c r="D8" s="147"/>
      <c r="E8" s="147"/>
      <c r="F8" s="147"/>
      <c r="G8" s="147"/>
      <c r="H8" s="147"/>
      <c r="I8" s="147"/>
    </row>
    <row r="9" spans="1:9" ht="15.75">
      <c r="A9" s="3"/>
    </row>
    <row r="10" spans="1:9" ht="47.25" customHeight="1">
      <c r="A10" s="148" t="s">
        <v>183</v>
      </c>
      <c r="B10" s="148"/>
      <c r="C10" s="148"/>
      <c r="D10" s="148"/>
      <c r="E10" s="148"/>
      <c r="F10" s="148"/>
      <c r="G10" s="148"/>
      <c r="H10" s="148"/>
      <c r="I10" s="148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3" t="s">
        <v>60</v>
      </c>
      <c r="B14" s="143"/>
      <c r="C14" s="143"/>
      <c r="D14" s="143"/>
      <c r="E14" s="143"/>
      <c r="F14" s="143"/>
      <c r="G14" s="143"/>
      <c r="H14" s="143"/>
      <c r="I14" s="143"/>
    </row>
    <row r="15" spans="1:9" ht="15.75" customHeight="1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</row>
    <row r="16" spans="1:9" ht="15.75" customHeight="1">
      <c r="A16" s="21">
        <v>1</v>
      </c>
      <c r="B16" s="40" t="s">
        <v>110</v>
      </c>
      <c r="C16" s="41" t="s">
        <v>89</v>
      </c>
      <c r="D16" s="40" t="s">
        <v>155</v>
      </c>
      <c r="E16" s="57">
        <v>70.7</v>
      </c>
      <c r="F16" s="42">
        <f>SUM(E16*156/100)</f>
        <v>110.292</v>
      </c>
      <c r="G16" s="42">
        <v>199.46</v>
      </c>
      <c r="H16" s="58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40" t="s">
        <v>121</v>
      </c>
      <c r="C17" s="41" t="s">
        <v>89</v>
      </c>
      <c r="D17" s="40" t="s">
        <v>156</v>
      </c>
      <c r="E17" s="57">
        <v>282.8</v>
      </c>
      <c r="F17" s="42">
        <f>SUM(E17*104/100)</f>
        <v>294.11200000000002</v>
      </c>
      <c r="G17" s="42">
        <v>199.46</v>
      </c>
      <c r="H17" s="58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40" t="s">
        <v>122</v>
      </c>
      <c r="C18" s="41" t="s">
        <v>89</v>
      </c>
      <c r="D18" s="40" t="s">
        <v>157</v>
      </c>
      <c r="E18" s="57">
        <f>SUM(E16+E17)</f>
        <v>353.5</v>
      </c>
      <c r="F18" s="42">
        <f>SUM(E18*24/100)</f>
        <v>84.84</v>
      </c>
      <c r="G18" s="42">
        <v>573.83000000000004</v>
      </c>
      <c r="H18" s="58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1"/>
      <c r="B19" s="40" t="s">
        <v>111</v>
      </c>
      <c r="C19" s="41" t="s">
        <v>112</v>
      </c>
      <c r="D19" s="40" t="s">
        <v>113</v>
      </c>
      <c r="E19" s="57">
        <v>40</v>
      </c>
      <c r="F19" s="42">
        <f>SUM(E19/10)</f>
        <v>4</v>
      </c>
      <c r="G19" s="42">
        <v>193.55</v>
      </c>
      <c r="H19" s="58">
        <f t="shared" si="0"/>
        <v>0.7742</v>
      </c>
      <c r="I19" s="10">
        <v>0</v>
      </c>
    </row>
    <row r="20" spans="1:9" ht="15.75" hidden="1" customHeight="1">
      <c r="A20" s="21"/>
      <c r="B20" s="40" t="s">
        <v>114</v>
      </c>
      <c r="C20" s="41" t="s">
        <v>89</v>
      </c>
      <c r="D20" s="40" t="s">
        <v>43</v>
      </c>
      <c r="E20" s="57">
        <v>10.5</v>
      </c>
      <c r="F20" s="42">
        <f>E20*2/100</f>
        <v>0.21</v>
      </c>
      <c r="G20" s="42">
        <v>247.82</v>
      </c>
      <c r="H20" s="58">
        <f t="shared" si="0"/>
        <v>5.2042199999999997E-2</v>
      </c>
      <c r="I20" s="10">
        <v>0</v>
      </c>
    </row>
    <row r="21" spans="1:9" ht="15.75" hidden="1" customHeight="1">
      <c r="A21" s="21"/>
      <c r="B21" s="40" t="s">
        <v>115</v>
      </c>
      <c r="C21" s="41" t="s">
        <v>89</v>
      </c>
      <c r="D21" s="40" t="s">
        <v>43</v>
      </c>
      <c r="E21" s="57">
        <v>2.7</v>
      </c>
      <c r="F21" s="42">
        <f>SUM(E21*2/100)</f>
        <v>5.4000000000000006E-2</v>
      </c>
      <c r="G21" s="42">
        <v>245.81</v>
      </c>
      <c r="H21" s="58">
        <f t="shared" si="0"/>
        <v>1.3273740000000003E-2</v>
      </c>
      <c r="I21" s="10">
        <v>0</v>
      </c>
    </row>
    <row r="22" spans="1:9" ht="15.75" hidden="1" customHeight="1">
      <c r="A22" s="21"/>
      <c r="B22" s="40" t="s">
        <v>116</v>
      </c>
      <c r="C22" s="41" t="s">
        <v>53</v>
      </c>
      <c r="D22" s="40" t="s">
        <v>113</v>
      </c>
      <c r="E22" s="57">
        <v>357</v>
      </c>
      <c r="F22" s="42">
        <f>SUM(E22/100)</f>
        <v>3.57</v>
      </c>
      <c r="G22" s="42">
        <v>306.26</v>
      </c>
      <c r="H22" s="58">
        <f t="shared" si="0"/>
        <v>1.0933481999999999</v>
      </c>
      <c r="I22" s="10">
        <v>0</v>
      </c>
    </row>
    <row r="23" spans="1:9" ht="15.75" hidden="1" customHeight="1">
      <c r="A23" s="21"/>
      <c r="B23" s="40" t="s">
        <v>117</v>
      </c>
      <c r="C23" s="41" t="s">
        <v>53</v>
      </c>
      <c r="D23" s="40" t="s">
        <v>113</v>
      </c>
      <c r="E23" s="60">
        <v>38.64</v>
      </c>
      <c r="F23" s="42">
        <f>SUM(E23/100)</f>
        <v>0.38640000000000002</v>
      </c>
      <c r="G23" s="42">
        <v>50.37</v>
      </c>
      <c r="H23" s="58">
        <f t="shared" si="0"/>
        <v>1.9462968000000001E-2</v>
      </c>
      <c r="I23" s="10">
        <v>0</v>
      </c>
    </row>
    <row r="24" spans="1:9" ht="15.75" hidden="1" customHeight="1">
      <c r="A24" s="21"/>
      <c r="B24" s="40" t="s">
        <v>118</v>
      </c>
      <c r="C24" s="41" t="s">
        <v>53</v>
      </c>
      <c r="D24" s="40" t="s">
        <v>123</v>
      </c>
      <c r="E24" s="57">
        <v>15</v>
      </c>
      <c r="F24" s="42">
        <f>E24/100</f>
        <v>0.15</v>
      </c>
      <c r="G24" s="42">
        <v>443.27</v>
      </c>
      <c r="H24" s="58">
        <f t="shared" si="0"/>
        <v>6.6490499999999994E-2</v>
      </c>
      <c r="I24" s="10">
        <v>0</v>
      </c>
    </row>
    <row r="25" spans="1:9" ht="15.75" hidden="1" customHeight="1">
      <c r="A25" s="21"/>
      <c r="B25" s="40" t="s">
        <v>124</v>
      </c>
      <c r="C25" s="41" t="s">
        <v>89</v>
      </c>
      <c r="D25" s="40" t="s">
        <v>54</v>
      </c>
      <c r="E25" s="57">
        <v>14.25</v>
      </c>
      <c r="F25" s="42">
        <v>0.1</v>
      </c>
      <c r="G25" s="42">
        <v>245.81</v>
      </c>
      <c r="H25" s="58">
        <v>3.1E-2</v>
      </c>
      <c r="I25" s="10">
        <v>0</v>
      </c>
    </row>
    <row r="26" spans="1:9" ht="15.75" hidden="1" customHeight="1">
      <c r="A26" s="21"/>
      <c r="B26" s="40" t="s">
        <v>125</v>
      </c>
      <c r="C26" s="41" t="s">
        <v>53</v>
      </c>
      <c r="D26" s="40" t="s">
        <v>113</v>
      </c>
      <c r="E26" s="57">
        <v>6.38</v>
      </c>
      <c r="F26" s="42">
        <f>SUM(E26/100)</f>
        <v>6.3799999999999996E-2</v>
      </c>
      <c r="G26" s="42">
        <v>592.37</v>
      </c>
      <c r="H26" s="58">
        <f t="shared" si="0"/>
        <v>3.7793205999999996E-2</v>
      </c>
      <c r="I26" s="10">
        <v>0</v>
      </c>
    </row>
    <row r="27" spans="1:9" ht="15.75" customHeight="1">
      <c r="A27" s="21">
        <v>4</v>
      </c>
      <c r="B27" s="40" t="s">
        <v>65</v>
      </c>
      <c r="C27" s="41" t="s">
        <v>33</v>
      </c>
      <c r="D27" s="40"/>
      <c r="E27" s="57">
        <v>0.1</v>
      </c>
      <c r="F27" s="42">
        <f>SUM(E27*365)</f>
        <v>36.5</v>
      </c>
      <c r="G27" s="42">
        <v>167.24</v>
      </c>
      <c r="H27" s="58">
        <f>SUM(F27*G27/1000)</f>
        <v>6.10426</v>
      </c>
      <c r="I27" s="10">
        <f>F27/12*G27</f>
        <v>508.68833333333333</v>
      </c>
    </row>
    <row r="28" spans="1:9" ht="15.75" customHeight="1">
      <c r="A28" s="21">
        <v>5</v>
      </c>
      <c r="B28" s="64" t="s">
        <v>23</v>
      </c>
      <c r="C28" s="41" t="s">
        <v>24</v>
      </c>
      <c r="D28" s="40"/>
      <c r="E28" s="57">
        <v>2661.7</v>
      </c>
      <c r="F28" s="42">
        <f>SUM(E28*12)</f>
        <v>31940.399999999998</v>
      </c>
      <c r="G28" s="42">
        <v>5.58</v>
      </c>
      <c r="H28" s="58">
        <f>SUM(F28*G28/1000)</f>
        <v>178.22743199999999</v>
      </c>
      <c r="I28" s="10">
        <f>F28/12*G28</f>
        <v>14852.286</v>
      </c>
    </row>
    <row r="29" spans="1:9" ht="15.75" customHeight="1">
      <c r="A29" s="129" t="s">
        <v>87</v>
      </c>
      <c r="B29" s="129"/>
      <c r="C29" s="129"/>
      <c r="D29" s="129"/>
      <c r="E29" s="129"/>
      <c r="F29" s="129"/>
      <c r="G29" s="129"/>
      <c r="H29" s="129"/>
      <c r="I29" s="129"/>
    </row>
    <row r="30" spans="1:9" ht="15.75" hidden="1" customHeight="1">
      <c r="A30" s="21"/>
      <c r="B30" s="78" t="s">
        <v>28</v>
      </c>
      <c r="C30" s="41"/>
      <c r="D30" s="40"/>
      <c r="E30" s="57"/>
      <c r="F30" s="42"/>
      <c r="G30" s="42"/>
      <c r="H30" s="58"/>
      <c r="I30" s="62"/>
    </row>
    <row r="31" spans="1:9" ht="31.5" hidden="1" customHeight="1">
      <c r="A31" s="21">
        <v>6</v>
      </c>
      <c r="B31" s="40" t="s">
        <v>97</v>
      </c>
      <c r="C31" s="41" t="s">
        <v>91</v>
      </c>
      <c r="D31" s="40" t="s">
        <v>126</v>
      </c>
      <c r="E31" s="42">
        <v>573.6</v>
      </c>
      <c r="F31" s="42">
        <f>SUM(E31*52/1000)</f>
        <v>29.827200000000001</v>
      </c>
      <c r="G31" s="42">
        <v>177.3</v>
      </c>
      <c r="H31" s="58">
        <f t="shared" ref="H31:H37" si="2">SUM(F31*G31/1000)</f>
        <v>5.2883625600000004</v>
      </c>
      <c r="I31" s="10">
        <v>0</v>
      </c>
    </row>
    <row r="32" spans="1:9" ht="31.5" hidden="1" customHeight="1">
      <c r="A32" s="21">
        <v>7</v>
      </c>
      <c r="B32" s="40" t="s">
        <v>170</v>
      </c>
      <c r="C32" s="41" t="s">
        <v>91</v>
      </c>
      <c r="D32" s="40" t="s">
        <v>127</v>
      </c>
      <c r="E32" s="42">
        <v>200</v>
      </c>
      <c r="F32" s="42">
        <f>SUM(E32*78/1000)</f>
        <v>15.6</v>
      </c>
      <c r="G32" s="42">
        <v>294.17</v>
      </c>
      <c r="H32" s="58">
        <f t="shared" si="2"/>
        <v>4.5890520000000006</v>
      </c>
      <c r="I32" s="10">
        <v>0</v>
      </c>
    </row>
    <row r="33" spans="1:9" ht="15.75" hidden="1" customHeight="1">
      <c r="A33" s="21">
        <v>16</v>
      </c>
      <c r="B33" s="40" t="s">
        <v>27</v>
      </c>
      <c r="C33" s="41" t="s">
        <v>91</v>
      </c>
      <c r="D33" s="40" t="s">
        <v>54</v>
      </c>
      <c r="E33" s="42">
        <v>573.6</v>
      </c>
      <c r="F33" s="42">
        <f>SUM(E33/1000)</f>
        <v>0.5736</v>
      </c>
      <c r="G33" s="42">
        <v>3435.36</v>
      </c>
      <c r="H33" s="58">
        <f t="shared" si="2"/>
        <v>1.9705224960000001</v>
      </c>
      <c r="I33" s="10">
        <v>0</v>
      </c>
    </row>
    <row r="34" spans="1:9" ht="15.75" hidden="1" customHeight="1">
      <c r="A34" s="21">
        <v>8</v>
      </c>
      <c r="B34" s="40" t="s">
        <v>128</v>
      </c>
      <c r="C34" s="41" t="s">
        <v>41</v>
      </c>
      <c r="D34" s="40" t="s">
        <v>64</v>
      </c>
      <c r="E34" s="42">
        <v>1</v>
      </c>
      <c r="F34" s="42">
        <v>1.55</v>
      </c>
      <c r="G34" s="42">
        <v>1480.94</v>
      </c>
      <c r="H34" s="58">
        <f>G34*F34/1000</f>
        <v>2.2954570000000003</v>
      </c>
      <c r="I34" s="10">
        <v>0</v>
      </c>
    </row>
    <row r="35" spans="1:9" ht="15.75" hidden="1" customHeight="1">
      <c r="A35" s="21">
        <v>9</v>
      </c>
      <c r="B35" s="40" t="s">
        <v>165</v>
      </c>
      <c r="C35" s="41" t="s">
        <v>31</v>
      </c>
      <c r="D35" s="40" t="s">
        <v>64</v>
      </c>
      <c r="E35" s="63">
        <v>0.33333333333333331</v>
      </c>
      <c r="F35" s="42">
        <f>155/3</f>
        <v>51.666666666666664</v>
      </c>
      <c r="G35" s="42">
        <v>64.48</v>
      </c>
      <c r="H35" s="58">
        <f>SUM(G35*155/3/1000)</f>
        <v>3.331466666666667</v>
      </c>
      <c r="I35" s="10">
        <v>0</v>
      </c>
    </row>
    <row r="36" spans="1:9" ht="15.75" hidden="1" customHeight="1">
      <c r="A36" s="21"/>
      <c r="B36" s="40" t="s">
        <v>66</v>
      </c>
      <c r="C36" s="41" t="s">
        <v>33</v>
      </c>
      <c r="D36" s="40" t="s">
        <v>68</v>
      </c>
      <c r="E36" s="57"/>
      <c r="F36" s="42">
        <v>3</v>
      </c>
      <c r="G36" s="42">
        <v>217.61</v>
      </c>
      <c r="H36" s="58">
        <f t="shared" si="2"/>
        <v>0.65283000000000002</v>
      </c>
      <c r="I36" s="10">
        <v>0</v>
      </c>
    </row>
    <row r="37" spans="1:9" ht="15.75" hidden="1" customHeight="1">
      <c r="A37" s="21"/>
      <c r="B37" s="40" t="s">
        <v>67</v>
      </c>
      <c r="C37" s="41" t="s">
        <v>32</v>
      </c>
      <c r="D37" s="40" t="s">
        <v>68</v>
      </c>
      <c r="E37" s="57"/>
      <c r="F37" s="42">
        <v>2</v>
      </c>
      <c r="G37" s="42">
        <v>1292.47</v>
      </c>
      <c r="H37" s="58">
        <f t="shared" si="2"/>
        <v>2.58494</v>
      </c>
      <c r="I37" s="10">
        <v>0</v>
      </c>
    </row>
    <row r="38" spans="1:9" ht="15.75" customHeight="1">
      <c r="A38" s="21"/>
      <c r="B38" s="78" t="s">
        <v>5</v>
      </c>
      <c r="C38" s="41"/>
      <c r="D38" s="40"/>
      <c r="E38" s="57"/>
      <c r="F38" s="42"/>
      <c r="G38" s="42"/>
      <c r="H38" s="58" t="s">
        <v>166</v>
      </c>
      <c r="I38" s="62"/>
    </row>
    <row r="39" spans="1:9" ht="15.75" customHeight="1">
      <c r="A39" s="21">
        <v>6</v>
      </c>
      <c r="B39" s="40" t="s">
        <v>26</v>
      </c>
      <c r="C39" s="41" t="s">
        <v>32</v>
      </c>
      <c r="D39" s="40"/>
      <c r="E39" s="57"/>
      <c r="F39" s="42">
        <v>8</v>
      </c>
      <c r="G39" s="42">
        <v>1737.08</v>
      </c>
      <c r="H39" s="58">
        <f t="shared" ref="H39:H45" si="3">SUM(F39*G39/1000)</f>
        <v>13.89664</v>
      </c>
      <c r="I39" s="10">
        <f>F39/6*G39</f>
        <v>2316.1066666666666</v>
      </c>
    </row>
    <row r="40" spans="1:9" ht="15.75" customHeight="1">
      <c r="A40" s="21">
        <v>7</v>
      </c>
      <c r="B40" s="40" t="s">
        <v>69</v>
      </c>
      <c r="C40" s="41" t="s">
        <v>29</v>
      </c>
      <c r="D40" s="40" t="s">
        <v>105</v>
      </c>
      <c r="E40" s="42">
        <v>200</v>
      </c>
      <c r="F40" s="42">
        <f>SUM(E40*30/1000)</f>
        <v>6</v>
      </c>
      <c r="G40" s="42">
        <v>2391.67</v>
      </c>
      <c r="H40" s="58">
        <f t="shared" si="3"/>
        <v>14.350020000000001</v>
      </c>
      <c r="I40" s="10">
        <f>F40/6*G40</f>
        <v>2391.67</v>
      </c>
    </row>
    <row r="41" spans="1:9" ht="15.75" hidden="1" customHeight="1">
      <c r="A41" s="21"/>
      <c r="B41" s="40" t="s">
        <v>129</v>
      </c>
      <c r="C41" s="41" t="s">
        <v>55</v>
      </c>
      <c r="D41" s="40"/>
      <c r="E41" s="57"/>
      <c r="F41" s="42">
        <v>130</v>
      </c>
      <c r="G41" s="42">
        <v>226.84</v>
      </c>
      <c r="H41" s="58">
        <f t="shared" si="3"/>
        <v>29.4892</v>
      </c>
      <c r="I41" s="10">
        <v>0</v>
      </c>
    </row>
    <row r="42" spans="1:9" ht="15.75" customHeight="1">
      <c r="A42" s="21">
        <v>8</v>
      </c>
      <c r="B42" s="40" t="s">
        <v>70</v>
      </c>
      <c r="C42" s="41" t="s">
        <v>29</v>
      </c>
      <c r="D42" s="40" t="s">
        <v>90</v>
      </c>
      <c r="E42" s="42">
        <v>60</v>
      </c>
      <c r="F42" s="42">
        <f>SUM(E42*155/1000)</f>
        <v>9.3000000000000007</v>
      </c>
      <c r="G42" s="42">
        <v>398.95</v>
      </c>
      <c r="H42" s="58">
        <f t="shared" si="3"/>
        <v>3.7102349999999999</v>
      </c>
      <c r="I42" s="10">
        <f t="shared" ref="I42:I43" si="4">F42/6*G42</f>
        <v>618.37249999999995</v>
      </c>
    </row>
    <row r="43" spans="1:9" ht="47.25" customHeight="1">
      <c r="A43" s="21">
        <v>9</v>
      </c>
      <c r="B43" s="40" t="s">
        <v>86</v>
      </c>
      <c r="C43" s="41" t="s">
        <v>91</v>
      </c>
      <c r="D43" s="40" t="s">
        <v>130</v>
      </c>
      <c r="E43" s="42">
        <v>40.9</v>
      </c>
      <c r="F43" s="42">
        <f>SUM(E43*35/1000)</f>
        <v>1.4315</v>
      </c>
      <c r="G43" s="42">
        <v>6600.74</v>
      </c>
      <c r="H43" s="58">
        <f t="shared" si="3"/>
        <v>9.4489593099999993</v>
      </c>
      <c r="I43" s="10">
        <f t="shared" si="4"/>
        <v>1574.8265516666668</v>
      </c>
    </row>
    <row r="44" spans="1:9" ht="15.75" customHeight="1">
      <c r="A44" s="21">
        <v>10</v>
      </c>
      <c r="B44" s="40" t="s">
        <v>92</v>
      </c>
      <c r="C44" s="41" t="s">
        <v>91</v>
      </c>
      <c r="D44" s="40" t="s">
        <v>71</v>
      </c>
      <c r="E44" s="42">
        <v>60</v>
      </c>
      <c r="F44" s="42">
        <f>SUM(E44*45/1000)</f>
        <v>2.7</v>
      </c>
      <c r="G44" s="42">
        <v>487.61</v>
      </c>
      <c r="H44" s="58">
        <f t="shared" si="3"/>
        <v>1.3165470000000001</v>
      </c>
      <c r="I44" s="10">
        <f>F44/7.5*1.5*G44</f>
        <v>263.30940000000004</v>
      </c>
    </row>
    <row r="45" spans="1:9" ht="15.75" customHeight="1">
      <c r="A45" s="21">
        <v>11</v>
      </c>
      <c r="B45" s="40" t="s">
        <v>72</v>
      </c>
      <c r="C45" s="41" t="s">
        <v>33</v>
      </c>
      <c r="D45" s="40"/>
      <c r="E45" s="57"/>
      <c r="F45" s="42">
        <v>0.9</v>
      </c>
      <c r="G45" s="42">
        <v>907.65</v>
      </c>
      <c r="H45" s="58">
        <f t="shared" si="3"/>
        <v>0.81688499999999997</v>
      </c>
      <c r="I45" s="10">
        <f>F45/7.5*1.5*G45</f>
        <v>163.37700000000001</v>
      </c>
    </row>
    <row r="46" spans="1:9" ht="15.75" hidden="1" customHeight="1">
      <c r="A46" s="130" t="s">
        <v>159</v>
      </c>
      <c r="B46" s="131"/>
      <c r="C46" s="131"/>
      <c r="D46" s="131"/>
      <c r="E46" s="131"/>
      <c r="F46" s="131"/>
      <c r="G46" s="131"/>
      <c r="H46" s="131"/>
      <c r="I46" s="132"/>
    </row>
    <row r="47" spans="1:9" ht="15.75" hidden="1" customHeight="1">
      <c r="A47" s="21"/>
      <c r="B47" s="40" t="s">
        <v>167</v>
      </c>
      <c r="C47" s="41" t="s">
        <v>91</v>
      </c>
      <c r="D47" s="40" t="s">
        <v>43</v>
      </c>
      <c r="E47" s="57">
        <v>1300.5</v>
      </c>
      <c r="F47" s="42">
        <f>SUM(E47/1000)*2</f>
        <v>2.601</v>
      </c>
      <c r="G47" s="10">
        <v>1173.18</v>
      </c>
      <c r="H47" s="58">
        <f t="shared" ref="H47:H57" si="5">SUM(F47*G47/1000)</f>
        <v>3.0514411800000003</v>
      </c>
      <c r="I47" s="10">
        <v>0</v>
      </c>
    </row>
    <row r="48" spans="1:9" ht="15.75" hidden="1" customHeight="1">
      <c r="A48" s="21"/>
      <c r="B48" s="40" t="s">
        <v>36</v>
      </c>
      <c r="C48" s="41" t="s">
        <v>91</v>
      </c>
      <c r="D48" s="40" t="s">
        <v>43</v>
      </c>
      <c r="E48" s="57">
        <v>52</v>
      </c>
      <c r="F48" s="42">
        <f>SUM(E48*2/1000)</f>
        <v>0.104</v>
      </c>
      <c r="G48" s="10">
        <v>659.09</v>
      </c>
      <c r="H48" s="58">
        <f t="shared" si="5"/>
        <v>6.854536E-2</v>
      </c>
      <c r="I48" s="10">
        <v>0</v>
      </c>
    </row>
    <row r="49" spans="1:9" ht="15.75" hidden="1" customHeight="1">
      <c r="A49" s="21"/>
      <c r="B49" s="40" t="s">
        <v>37</v>
      </c>
      <c r="C49" s="41" t="s">
        <v>91</v>
      </c>
      <c r="D49" s="40" t="s">
        <v>43</v>
      </c>
      <c r="E49" s="57">
        <v>1483.1</v>
      </c>
      <c r="F49" s="42">
        <f>SUM(E49*2/1000)</f>
        <v>2.9661999999999997</v>
      </c>
      <c r="G49" s="10">
        <v>1564.24</v>
      </c>
      <c r="H49" s="58">
        <f t="shared" si="5"/>
        <v>4.6398486879999998</v>
      </c>
      <c r="I49" s="10">
        <v>0</v>
      </c>
    </row>
    <row r="50" spans="1:9" ht="15.75" hidden="1" customHeight="1">
      <c r="A50" s="21"/>
      <c r="B50" s="40" t="s">
        <v>38</v>
      </c>
      <c r="C50" s="41" t="s">
        <v>91</v>
      </c>
      <c r="D50" s="40" t="s">
        <v>43</v>
      </c>
      <c r="E50" s="57">
        <v>2320</v>
      </c>
      <c r="F50" s="42">
        <f>SUM(E50*2/1000)</f>
        <v>4.6399999999999997</v>
      </c>
      <c r="G50" s="10">
        <v>1078.3599999999999</v>
      </c>
      <c r="H50" s="58">
        <f t="shared" si="5"/>
        <v>5.0035903999999993</v>
      </c>
      <c r="I50" s="10">
        <v>0</v>
      </c>
    </row>
    <row r="51" spans="1:9" ht="15.75" hidden="1" customHeight="1">
      <c r="A51" s="21"/>
      <c r="B51" s="40" t="s">
        <v>34</v>
      </c>
      <c r="C51" s="41" t="s">
        <v>35</v>
      </c>
      <c r="D51" s="40" t="s">
        <v>43</v>
      </c>
      <c r="E51" s="57">
        <v>91.84</v>
      </c>
      <c r="F51" s="42">
        <f>SUM(E51*2/100)</f>
        <v>1.8368</v>
      </c>
      <c r="G51" s="10">
        <v>82.82</v>
      </c>
      <c r="H51" s="58">
        <f t="shared" si="5"/>
        <v>0.15212377599999999</v>
      </c>
      <c r="I51" s="10">
        <v>0</v>
      </c>
    </row>
    <row r="52" spans="1:9" ht="15.75" hidden="1" customHeight="1">
      <c r="A52" s="21">
        <v>12</v>
      </c>
      <c r="B52" s="40" t="s">
        <v>57</v>
      </c>
      <c r="C52" s="41" t="s">
        <v>91</v>
      </c>
      <c r="D52" s="40" t="s">
        <v>171</v>
      </c>
      <c r="E52" s="57">
        <v>1040.4000000000001</v>
      </c>
      <c r="F52" s="42">
        <f>SUM(E52*5/1000)</f>
        <v>5.202</v>
      </c>
      <c r="G52" s="10">
        <v>1564.24</v>
      </c>
      <c r="H52" s="58">
        <f>SUM(F52*G52/1000)</f>
        <v>8.1371764800000008</v>
      </c>
      <c r="I52" s="10">
        <f>F52/5*G52</f>
        <v>1627.4352960000001</v>
      </c>
    </row>
    <row r="53" spans="1:9" ht="31.5" hidden="1" customHeight="1">
      <c r="A53" s="21"/>
      <c r="B53" s="40" t="s">
        <v>93</v>
      </c>
      <c r="C53" s="41" t="s">
        <v>91</v>
      </c>
      <c r="D53" s="40" t="s">
        <v>43</v>
      </c>
      <c r="E53" s="57">
        <v>1040.4000000000001</v>
      </c>
      <c r="F53" s="42">
        <f>SUM(E53*2/1000)</f>
        <v>2.0808</v>
      </c>
      <c r="G53" s="10">
        <v>1380.31</v>
      </c>
      <c r="H53" s="58">
        <f t="shared" si="5"/>
        <v>2.8721490479999998</v>
      </c>
      <c r="I53" s="10">
        <v>0</v>
      </c>
    </row>
    <row r="54" spans="1:9" ht="31.5" hidden="1" customHeight="1">
      <c r="A54" s="21"/>
      <c r="B54" s="40" t="s">
        <v>94</v>
      </c>
      <c r="C54" s="41" t="s">
        <v>39</v>
      </c>
      <c r="D54" s="40" t="s">
        <v>43</v>
      </c>
      <c r="E54" s="57">
        <v>20</v>
      </c>
      <c r="F54" s="42">
        <f>SUM(E54*2/100)</f>
        <v>0.4</v>
      </c>
      <c r="G54" s="10">
        <v>3519.56</v>
      </c>
      <c r="H54" s="58">
        <f t="shared" si="5"/>
        <v>1.407824</v>
      </c>
      <c r="I54" s="10">
        <v>0</v>
      </c>
    </row>
    <row r="55" spans="1:9" ht="15.75" hidden="1" customHeight="1">
      <c r="A55" s="21"/>
      <c r="B55" s="40" t="s">
        <v>40</v>
      </c>
      <c r="C55" s="41" t="s">
        <v>41</v>
      </c>
      <c r="D55" s="40" t="s">
        <v>43</v>
      </c>
      <c r="E55" s="57">
        <v>1</v>
      </c>
      <c r="F55" s="42">
        <v>0.02</v>
      </c>
      <c r="G55" s="10">
        <v>6428.82</v>
      </c>
      <c r="H55" s="58">
        <f t="shared" si="5"/>
        <v>0.12857640000000001</v>
      </c>
      <c r="I55" s="10">
        <v>0</v>
      </c>
    </row>
    <row r="56" spans="1:9" ht="15.75" hidden="1" customHeight="1">
      <c r="A56" s="21">
        <v>12</v>
      </c>
      <c r="B56" s="40" t="s">
        <v>103</v>
      </c>
      <c r="C56" s="41" t="s">
        <v>98</v>
      </c>
      <c r="D56" s="40" t="s">
        <v>73</v>
      </c>
      <c r="E56" s="57">
        <v>56</v>
      </c>
      <c r="F56" s="42">
        <f>SUM(E56*3)</f>
        <v>168</v>
      </c>
      <c r="G56" s="10">
        <v>160.51</v>
      </c>
      <c r="H56" s="58">
        <f t="shared" si="5"/>
        <v>26.965679999999999</v>
      </c>
      <c r="I56" s="10">
        <f>E56*G56</f>
        <v>8988.56</v>
      </c>
    </row>
    <row r="57" spans="1:9" ht="15.75" hidden="1" customHeight="1">
      <c r="A57" s="21">
        <v>13</v>
      </c>
      <c r="B57" s="40" t="s">
        <v>42</v>
      </c>
      <c r="C57" s="41" t="s">
        <v>98</v>
      </c>
      <c r="D57" s="40" t="s">
        <v>73</v>
      </c>
      <c r="E57" s="57">
        <v>112</v>
      </c>
      <c r="F57" s="42">
        <f>SUM(E57)*3</f>
        <v>336</v>
      </c>
      <c r="G57" s="10">
        <v>74.709999999999994</v>
      </c>
      <c r="H57" s="58">
        <f t="shared" si="5"/>
        <v>25.102559999999997</v>
      </c>
      <c r="I57" s="10">
        <f>E57*G57</f>
        <v>8367.5199999999986</v>
      </c>
    </row>
    <row r="58" spans="1:9" ht="15.75" customHeight="1">
      <c r="A58" s="130" t="s">
        <v>162</v>
      </c>
      <c r="B58" s="131"/>
      <c r="C58" s="131"/>
      <c r="D58" s="131"/>
      <c r="E58" s="131"/>
      <c r="F58" s="131"/>
      <c r="G58" s="131"/>
      <c r="H58" s="131"/>
      <c r="I58" s="132"/>
    </row>
    <row r="59" spans="1:9" ht="15.75" hidden="1" customHeight="1">
      <c r="A59" s="21"/>
      <c r="B59" s="78" t="s">
        <v>44</v>
      </c>
      <c r="C59" s="41"/>
      <c r="D59" s="40"/>
      <c r="E59" s="57"/>
      <c r="F59" s="42"/>
      <c r="G59" s="42"/>
      <c r="H59" s="58"/>
      <c r="I59" s="62"/>
    </row>
    <row r="60" spans="1:9" ht="31.5" hidden="1" customHeight="1">
      <c r="A60" s="21">
        <v>12</v>
      </c>
      <c r="B60" s="40" t="s">
        <v>106</v>
      </c>
      <c r="C60" s="41" t="s">
        <v>89</v>
      </c>
      <c r="D60" s="98" t="s">
        <v>196</v>
      </c>
      <c r="E60" s="57">
        <v>142.05000000000001</v>
      </c>
      <c r="F60" s="42">
        <f>SUM(E60*6/100)</f>
        <v>8.5230000000000015</v>
      </c>
      <c r="G60" s="10">
        <v>2108.4299999999998</v>
      </c>
      <c r="H60" s="58">
        <f>SUM(F60*G60/1000)</f>
        <v>17.970148890000001</v>
      </c>
      <c r="I60" s="10">
        <f>G60*0.48</f>
        <v>1012.0463999999998</v>
      </c>
    </row>
    <row r="61" spans="1:9" ht="15.75" customHeight="1">
      <c r="A61" s="21"/>
      <c r="B61" s="78" t="s">
        <v>45</v>
      </c>
      <c r="C61" s="41"/>
      <c r="D61" s="40"/>
      <c r="E61" s="57"/>
      <c r="F61" s="58"/>
      <c r="G61" s="10"/>
      <c r="H61" s="65"/>
      <c r="I61" s="62"/>
    </row>
    <row r="62" spans="1:9" ht="15.75" hidden="1" customHeight="1">
      <c r="A62" s="21"/>
      <c r="B62" s="40" t="s">
        <v>169</v>
      </c>
      <c r="C62" s="41" t="s">
        <v>89</v>
      </c>
      <c r="D62" s="40" t="s">
        <v>54</v>
      </c>
      <c r="E62" s="57">
        <v>1040.4000000000001</v>
      </c>
      <c r="F62" s="58">
        <f>E62/100</f>
        <v>10.404000000000002</v>
      </c>
      <c r="G62" s="10">
        <v>902.66</v>
      </c>
      <c r="H62" s="65">
        <f>G62*F62/1000</f>
        <v>9.3912746400000007</v>
      </c>
      <c r="I62" s="10">
        <v>0</v>
      </c>
    </row>
    <row r="63" spans="1:9" ht="15.75" customHeight="1">
      <c r="A63" s="21">
        <v>12</v>
      </c>
      <c r="B63" s="40" t="s">
        <v>131</v>
      </c>
      <c r="C63" s="41" t="s">
        <v>25</v>
      </c>
      <c r="D63" s="40" t="s">
        <v>132</v>
      </c>
      <c r="E63" s="57">
        <v>240</v>
      </c>
      <c r="F63" s="42">
        <v>2880</v>
      </c>
      <c r="G63" s="52">
        <v>1.2</v>
      </c>
      <c r="H63" s="58">
        <f>F63*G63/1000</f>
        <v>3.456</v>
      </c>
      <c r="I63" s="10">
        <f>F63/12*G63</f>
        <v>288</v>
      </c>
    </row>
    <row r="64" spans="1:9" ht="15.75" customHeight="1">
      <c r="A64" s="21"/>
      <c r="B64" s="79" t="s">
        <v>46</v>
      </c>
      <c r="C64" s="66"/>
      <c r="D64" s="67"/>
      <c r="E64" s="68"/>
      <c r="F64" s="69"/>
      <c r="G64" s="69"/>
      <c r="H64" s="70" t="s">
        <v>166</v>
      </c>
      <c r="I64" s="62"/>
    </row>
    <row r="65" spans="1:9" ht="15.75" hidden="1" customHeight="1">
      <c r="A65" s="21">
        <v>14</v>
      </c>
      <c r="B65" s="11" t="s">
        <v>47</v>
      </c>
      <c r="C65" s="13" t="s">
        <v>41</v>
      </c>
      <c r="D65" s="40" t="s">
        <v>68</v>
      </c>
      <c r="E65" s="15">
        <v>15</v>
      </c>
      <c r="F65" s="42">
        <f>15/100</f>
        <v>0.15</v>
      </c>
      <c r="G65" s="10">
        <v>252.96</v>
      </c>
      <c r="H65" s="71">
        <f t="shared" ref="H65:H81" si="6">SUM(F65*G65/1000)</f>
        <v>3.7944000000000006E-2</v>
      </c>
      <c r="I65" s="10">
        <f>G65</f>
        <v>252.96</v>
      </c>
    </row>
    <row r="66" spans="1:9" ht="15.75" hidden="1" customHeight="1">
      <c r="A66" s="21"/>
      <c r="B66" s="11" t="s">
        <v>48</v>
      </c>
      <c r="C66" s="13" t="s">
        <v>41</v>
      </c>
      <c r="D66" s="40" t="s">
        <v>68</v>
      </c>
      <c r="E66" s="15">
        <v>10</v>
      </c>
      <c r="F66" s="42">
        <f>10/100</f>
        <v>0.1</v>
      </c>
      <c r="G66" s="10">
        <v>86.74</v>
      </c>
      <c r="H66" s="71">
        <f t="shared" si="6"/>
        <v>8.6739999999999994E-3</v>
      </c>
      <c r="I66" s="10">
        <v>0</v>
      </c>
    </row>
    <row r="67" spans="1:9" ht="15.75" hidden="1" customHeight="1">
      <c r="A67" s="21"/>
      <c r="B67" s="11" t="s">
        <v>49</v>
      </c>
      <c r="C67" s="13" t="s">
        <v>99</v>
      </c>
      <c r="D67" s="11" t="s">
        <v>54</v>
      </c>
      <c r="E67" s="57">
        <v>17532</v>
      </c>
      <c r="F67" s="10">
        <f>SUM(E67/100)</f>
        <v>175.32</v>
      </c>
      <c r="G67" s="10">
        <v>241.31</v>
      </c>
      <c r="H67" s="71">
        <f t="shared" si="6"/>
        <v>42.306469200000002</v>
      </c>
      <c r="I67" s="10">
        <f>F67*G67</f>
        <v>42306.4692</v>
      </c>
    </row>
    <row r="68" spans="1:9" ht="15.75" hidden="1" customHeight="1">
      <c r="A68" s="21"/>
      <c r="B68" s="11" t="s">
        <v>50</v>
      </c>
      <c r="C68" s="13" t="s">
        <v>100</v>
      </c>
      <c r="D68" s="11"/>
      <c r="E68" s="57">
        <v>17532</v>
      </c>
      <c r="F68" s="10">
        <f>SUM(E68/1000)</f>
        <v>17.532</v>
      </c>
      <c r="G68" s="10">
        <v>187.91</v>
      </c>
      <c r="H68" s="71">
        <f t="shared" si="6"/>
        <v>3.2944381199999997</v>
      </c>
      <c r="I68" s="10">
        <f>F68*G68</f>
        <v>3294.4381199999998</v>
      </c>
    </row>
    <row r="69" spans="1:9" ht="15.75" hidden="1" customHeight="1">
      <c r="A69" s="21"/>
      <c r="B69" s="11" t="s">
        <v>51</v>
      </c>
      <c r="C69" s="13" t="s">
        <v>80</v>
      </c>
      <c r="D69" s="11" t="s">
        <v>54</v>
      </c>
      <c r="E69" s="57">
        <v>1365</v>
      </c>
      <c r="F69" s="10">
        <f>SUM(E69/100)</f>
        <v>13.65</v>
      </c>
      <c r="G69" s="10">
        <v>2359.7199999999998</v>
      </c>
      <c r="H69" s="71">
        <f t="shared" si="6"/>
        <v>32.210177999999999</v>
      </c>
      <c r="I69" s="10">
        <f t="shared" ref="I69:I72" si="7">F69*G69</f>
        <v>32210.178</v>
      </c>
    </row>
    <row r="70" spans="1:9" ht="15.75" hidden="1" customHeight="1">
      <c r="A70" s="21"/>
      <c r="B70" s="72" t="s">
        <v>74</v>
      </c>
      <c r="C70" s="13" t="s">
        <v>33</v>
      </c>
      <c r="D70" s="11"/>
      <c r="E70" s="57">
        <v>15.6</v>
      </c>
      <c r="F70" s="10">
        <f>SUM(E70)</f>
        <v>15.6</v>
      </c>
      <c r="G70" s="10">
        <v>45.4</v>
      </c>
      <c r="H70" s="71">
        <f t="shared" si="6"/>
        <v>0.70823999999999998</v>
      </c>
      <c r="I70" s="10">
        <f t="shared" si="7"/>
        <v>708.24</v>
      </c>
    </row>
    <row r="71" spans="1:9" ht="15.75" hidden="1" customHeight="1">
      <c r="A71" s="21"/>
      <c r="B71" s="72" t="s">
        <v>172</v>
      </c>
      <c r="C71" s="13" t="s">
        <v>33</v>
      </c>
      <c r="D71" s="11"/>
      <c r="E71" s="57">
        <v>15.6</v>
      </c>
      <c r="F71" s="10">
        <f>SUM(E71)</f>
        <v>15.6</v>
      </c>
      <c r="G71" s="10">
        <v>42.35</v>
      </c>
      <c r="H71" s="71">
        <f t="shared" si="6"/>
        <v>0.66065999999999991</v>
      </c>
      <c r="I71" s="10">
        <f t="shared" si="7"/>
        <v>660.66</v>
      </c>
    </row>
    <row r="72" spans="1:9" ht="15.75" hidden="1" customHeight="1">
      <c r="A72" s="21"/>
      <c r="B72" s="11" t="s">
        <v>58</v>
      </c>
      <c r="C72" s="13" t="s">
        <v>59</v>
      </c>
      <c r="D72" s="11" t="s">
        <v>54</v>
      </c>
      <c r="E72" s="15">
        <v>4</v>
      </c>
      <c r="F72" s="42">
        <f>SUM(E72)</f>
        <v>4</v>
      </c>
      <c r="G72" s="10">
        <v>56.74</v>
      </c>
      <c r="H72" s="71">
        <f t="shared" si="6"/>
        <v>0.22696</v>
      </c>
      <c r="I72" s="10">
        <f t="shared" si="7"/>
        <v>226.96</v>
      </c>
    </row>
    <row r="73" spans="1:9" ht="15.75" customHeight="1">
      <c r="A73" s="21">
        <v>13</v>
      </c>
      <c r="B73" s="11" t="s">
        <v>133</v>
      </c>
      <c r="C73" s="13" t="s">
        <v>59</v>
      </c>
      <c r="D73" s="11" t="s">
        <v>30</v>
      </c>
      <c r="E73" s="15">
        <v>1</v>
      </c>
      <c r="F73" s="52">
        <v>12</v>
      </c>
      <c r="G73" s="10">
        <v>756.5</v>
      </c>
      <c r="H73" s="71">
        <f t="shared" si="6"/>
        <v>9.0779999999999994</v>
      </c>
      <c r="I73" s="10">
        <f>G73</f>
        <v>756.5</v>
      </c>
    </row>
    <row r="74" spans="1:9" ht="15.75" hidden="1" customHeight="1">
      <c r="A74" s="21"/>
      <c r="B74" s="45" t="s">
        <v>75</v>
      </c>
      <c r="C74" s="13"/>
      <c r="D74" s="11"/>
      <c r="E74" s="15"/>
      <c r="F74" s="10"/>
      <c r="G74" s="10"/>
      <c r="H74" s="71" t="s">
        <v>166</v>
      </c>
      <c r="I74" s="62"/>
    </row>
    <row r="75" spans="1:9" ht="15.75" hidden="1" customHeight="1">
      <c r="A75" s="21"/>
      <c r="B75" s="11" t="s">
        <v>134</v>
      </c>
      <c r="C75" s="13" t="s">
        <v>31</v>
      </c>
      <c r="D75" s="40" t="s">
        <v>68</v>
      </c>
      <c r="E75" s="15">
        <v>2</v>
      </c>
      <c r="F75" s="10">
        <v>2</v>
      </c>
      <c r="G75" s="10">
        <v>892.5</v>
      </c>
      <c r="H75" s="71">
        <f>G75*F75/1000</f>
        <v>1.7849999999999999</v>
      </c>
      <c r="I75" s="10">
        <v>0</v>
      </c>
    </row>
    <row r="76" spans="1:9" ht="15.75" hidden="1" customHeight="1">
      <c r="A76" s="21"/>
      <c r="B76" s="11" t="s">
        <v>119</v>
      </c>
      <c r="C76" s="13" t="s">
        <v>135</v>
      </c>
      <c r="D76" s="11"/>
      <c r="E76" s="15">
        <v>1</v>
      </c>
      <c r="F76" s="10">
        <v>1</v>
      </c>
      <c r="G76" s="10">
        <v>750</v>
      </c>
      <c r="H76" s="71">
        <f>G76*F76/1000</f>
        <v>0.75</v>
      </c>
      <c r="I76" s="10">
        <v>0</v>
      </c>
    </row>
    <row r="77" spans="1:9" ht="15.75" hidden="1" customHeight="1">
      <c r="A77" s="21"/>
      <c r="B77" s="11" t="s">
        <v>76</v>
      </c>
      <c r="C77" s="13" t="s">
        <v>78</v>
      </c>
      <c r="D77" s="11"/>
      <c r="E77" s="15">
        <v>2</v>
      </c>
      <c r="F77" s="10">
        <v>0.2</v>
      </c>
      <c r="G77" s="10">
        <v>570.54</v>
      </c>
      <c r="H77" s="71">
        <f t="shared" si="6"/>
        <v>0.114108</v>
      </c>
      <c r="I77" s="10">
        <v>0</v>
      </c>
    </row>
    <row r="78" spans="1:9" ht="15.75" hidden="1" customHeight="1">
      <c r="A78" s="21"/>
      <c r="B78" s="11" t="s">
        <v>77</v>
      </c>
      <c r="C78" s="13" t="s">
        <v>31</v>
      </c>
      <c r="D78" s="11"/>
      <c r="E78" s="15">
        <v>1</v>
      </c>
      <c r="F78" s="52">
        <v>1</v>
      </c>
      <c r="G78" s="10">
        <v>970.21</v>
      </c>
      <c r="H78" s="71">
        <f t="shared" si="6"/>
        <v>0.97021000000000002</v>
      </c>
      <c r="I78" s="10">
        <v>0</v>
      </c>
    </row>
    <row r="79" spans="1:9" ht="15.75" hidden="1" customHeight="1">
      <c r="A79" s="21"/>
      <c r="B79" s="11" t="s">
        <v>136</v>
      </c>
      <c r="C79" s="13" t="s">
        <v>98</v>
      </c>
      <c r="D79" s="11"/>
      <c r="E79" s="15">
        <v>1</v>
      </c>
      <c r="F79" s="42">
        <f>SUM(E79)</f>
        <v>1</v>
      </c>
      <c r="G79" s="10">
        <v>407.79</v>
      </c>
      <c r="H79" s="71">
        <f t="shared" si="6"/>
        <v>0.40779000000000004</v>
      </c>
      <c r="I79" s="10">
        <v>0</v>
      </c>
    </row>
    <row r="80" spans="1:9" ht="15.75" hidden="1" customHeight="1">
      <c r="A80" s="21"/>
      <c r="B80" s="76" t="s">
        <v>79</v>
      </c>
      <c r="C80" s="13"/>
      <c r="D80" s="11"/>
      <c r="E80" s="15"/>
      <c r="F80" s="10"/>
      <c r="G80" s="10" t="s">
        <v>166</v>
      </c>
      <c r="H80" s="71" t="s">
        <v>166</v>
      </c>
      <c r="I80" s="62"/>
    </row>
    <row r="81" spans="1:9" ht="15.75" hidden="1" customHeight="1">
      <c r="A81" s="21"/>
      <c r="B81" s="34" t="s">
        <v>104</v>
      </c>
      <c r="C81" s="13" t="s">
        <v>80</v>
      </c>
      <c r="D81" s="11"/>
      <c r="E81" s="15"/>
      <c r="F81" s="10">
        <v>0.6</v>
      </c>
      <c r="G81" s="10">
        <v>3138.65</v>
      </c>
      <c r="H81" s="71">
        <f t="shared" si="6"/>
        <v>1.8831900000000001</v>
      </c>
      <c r="I81" s="10">
        <v>0</v>
      </c>
    </row>
    <row r="82" spans="1:9" ht="15.75" hidden="1" customHeight="1">
      <c r="A82" s="21"/>
      <c r="B82" s="45" t="s">
        <v>95</v>
      </c>
      <c r="C82" s="13"/>
      <c r="D82" s="11"/>
      <c r="E82" s="53"/>
      <c r="F82" s="10"/>
      <c r="G82" s="10"/>
      <c r="H82" s="71"/>
      <c r="I82" s="10"/>
    </row>
    <row r="83" spans="1:9" ht="15.75" hidden="1" customHeight="1">
      <c r="A83" s="21"/>
      <c r="B83" s="40" t="s">
        <v>101</v>
      </c>
      <c r="C83" s="13"/>
      <c r="D83" s="11"/>
      <c r="E83" s="53"/>
      <c r="F83" s="10">
        <v>1</v>
      </c>
      <c r="G83" s="10">
        <v>21095</v>
      </c>
      <c r="H83" s="71">
        <f>G83*F83/1000</f>
        <v>21.094999999999999</v>
      </c>
      <c r="I83" s="10">
        <v>0</v>
      </c>
    </row>
    <row r="84" spans="1:9" ht="15.75" customHeight="1">
      <c r="A84" s="21"/>
      <c r="B84" s="80" t="s">
        <v>107</v>
      </c>
      <c r="C84" s="76"/>
      <c r="D84" s="23"/>
      <c r="E84" s="24"/>
      <c r="F84" s="75"/>
      <c r="G84" s="75"/>
      <c r="H84" s="73"/>
      <c r="I84" s="61"/>
    </row>
    <row r="85" spans="1:9" ht="31.5" hidden="1" customHeight="1">
      <c r="A85" s="21"/>
      <c r="B85" s="77" t="s">
        <v>137</v>
      </c>
      <c r="C85" s="13" t="s">
        <v>138</v>
      </c>
      <c r="D85" s="40" t="s">
        <v>68</v>
      </c>
      <c r="E85" s="15">
        <v>10</v>
      </c>
      <c r="F85" s="10">
        <v>10</v>
      </c>
      <c r="G85" s="10">
        <v>271.88</v>
      </c>
      <c r="H85" s="71">
        <f t="shared" ref="H85:H98" si="8">F85*G85/1000</f>
        <v>2.7188000000000003</v>
      </c>
      <c r="I85" s="10">
        <v>0</v>
      </c>
    </row>
    <row r="86" spans="1:9" ht="15.75" hidden="1" customHeight="1">
      <c r="A86" s="21"/>
      <c r="B86" s="77" t="s">
        <v>108</v>
      </c>
      <c r="C86" s="13" t="s">
        <v>84</v>
      </c>
      <c r="D86" s="40" t="s">
        <v>68</v>
      </c>
      <c r="E86" s="15">
        <v>100</v>
      </c>
      <c r="F86" s="10">
        <v>100</v>
      </c>
      <c r="G86" s="10">
        <v>111.84</v>
      </c>
      <c r="H86" s="71">
        <f t="shared" si="8"/>
        <v>11.183999999999999</v>
      </c>
      <c r="I86" s="10">
        <v>0</v>
      </c>
    </row>
    <row r="87" spans="1:9" ht="15.75" customHeight="1">
      <c r="A87" s="21">
        <v>14</v>
      </c>
      <c r="B87" s="107" t="s">
        <v>108</v>
      </c>
      <c r="C87" s="99" t="s">
        <v>84</v>
      </c>
      <c r="D87" s="98" t="s">
        <v>198</v>
      </c>
      <c r="E87" s="15">
        <v>30</v>
      </c>
      <c r="F87" s="10">
        <v>10</v>
      </c>
      <c r="G87" s="100">
        <v>111.84</v>
      </c>
      <c r="H87" s="71">
        <f t="shared" si="8"/>
        <v>1.1184000000000001</v>
      </c>
      <c r="I87" s="10">
        <f>G87*10</f>
        <v>1118.4000000000001</v>
      </c>
    </row>
    <row r="88" spans="1:9" ht="15.75" hidden="1" customHeight="1">
      <c r="A88" s="21"/>
      <c r="B88" s="77" t="s">
        <v>141</v>
      </c>
      <c r="C88" s="13" t="s">
        <v>53</v>
      </c>
      <c r="D88" s="40" t="s">
        <v>68</v>
      </c>
      <c r="E88" s="15">
        <v>100</v>
      </c>
      <c r="F88" s="10">
        <v>1</v>
      </c>
      <c r="G88" s="10">
        <v>1829.52</v>
      </c>
      <c r="H88" s="71">
        <f t="shared" si="8"/>
        <v>1.82952</v>
      </c>
      <c r="I88" s="10">
        <v>0</v>
      </c>
    </row>
    <row r="89" spans="1:9" ht="31.5" customHeight="1">
      <c r="A89" s="21">
        <v>15</v>
      </c>
      <c r="B89" s="77" t="s">
        <v>142</v>
      </c>
      <c r="C89" s="13" t="s">
        <v>143</v>
      </c>
      <c r="D89" s="98" t="s">
        <v>199</v>
      </c>
      <c r="E89" s="15">
        <v>40</v>
      </c>
      <c r="F89" s="10">
        <v>4</v>
      </c>
      <c r="G89" s="10">
        <v>272.39</v>
      </c>
      <c r="H89" s="71">
        <f t="shared" si="8"/>
        <v>1.0895599999999999</v>
      </c>
      <c r="I89" s="10">
        <f>G89*0.2</f>
        <v>54.478000000000002</v>
      </c>
    </row>
    <row r="90" spans="1:9" ht="31.5" hidden="1" customHeight="1">
      <c r="A90" s="21"/>
      <c r="B90" s="77" t="s">
        <v>144</v>
      </c>
      <c r="C90" s="13" t="s">
        <v>84</v>
      </c>
      <c r="D90" s="40" t="s">
        <v>68</v>
      </c>
      <c r="E90" s="15">
        <v>15</v>
      </c>
      <c r="F90" s="10">
        <v>15</v>
      </c>
      <c r="G90" s="10">
        <v>1430.02</v>
      </c>
      <c r="H90" s="71">
        <f t="shared" si="8"/>
        <v>21.450299999999999</v>
      </c>
      <c r="I90" s="10">
        <v>0</v>
      </c>
    </row>
    <row r="91" spans="1:9" ht="31.5" hidden="1" customHeight="1">
      <c r="A91" s="21"/>
      <c r="B91" s="77" t="s">
        <v>145</v>
      </c>
      <c r="C91" s="13" t="s">
        <v>84</v>
      </c>
      <c r="D91" s="40" t="s">
        <v>68</v>
      </c>
      <c r="E91" s="15">
        <v>10</v>
      </c>
      <c r="F91" s="10">
        <v>10</v>
      </c>
      <c r="G91" s="10">
        <v>1743.04</v>
      </c>
      <c r="H91" s="71">
        <f t="shared" si="8"/>
        <v>17.430400000000002</v>
      </c>
      <c r="I91" s="10">
        <v>0</v>
      </c>
    </row>
    <row r="92" spans="1:9" ht="31.5" hidden="1" customHeight="1">
      <c r="A92" s="21"/>
      <c r="B92" s="77" t="s">
        <v>146</v>
      </c>
      <c r="C92" s="13" t="s">
        <v>84</v>
      </c>
      <c r="D92" s="40" t="s">
        <v>68</v>
      </c>
      <c r="E92" s="15">
        <v>20</v>
      </c>
      <c r="F92" s="10">
        <v>20</v>
      </c>
      <c r="G92" s="10">
        <v>607.27</v>
      </c>
      <c r="H92" s="71">
        <f t="shared" si="8"/>
        <v>12.1454</v>
      </c>
      <c r="I92" s="10">
        <v>0</v>
      </c>
    </row>
    <row r="93" spans="1:9" ht="31.5" hidden="1" customHeight="1">
      <c r="A93" s="21"/>
      <c r="B93" s="77" t="s">
        <v>147</v>
      </c>
      <c r="C93" s="13" t="s">
        <v>84</v>
      </c>
      <c r="D93" s="40" t="s">
        <v>68</v>
      </c>
      <c r="E93" s="15">
        <v>30</v>
      </c>
      <c r="F93" s="10">
        <v>30</v>
      </c>
      <c r="G93" s="10">
        <v>711.93</v>
      </c>
      <c r="H93" s="71">
        <f t="shared" si="8"/>
        <v>21.357899999999997</v>
      </c>
      <c r="I93" s="10">
        <v>0</v>
      </c>
    </row>
    <row r="94" spans="1:9" ht="15.75" hidden="1" customHeight="1">
      <c r="A94" s="21"/>
      <c r="B94" s="77" t="s">
        <v>109</v>
      </c>
      <c r="C94" s="13" t="s">
        <v>31</v>
      </c>
      <c r="D94" s="40" t="s">
        <v>68</v>
      </c>
      <c r="E94" s="15">
        <v>10</v>
      </c>
      <c r="F94" s="10">
        <v>10</v>
      </c>
      <c r="G94" s="10">
        <v>455.31</v>
      </c>
      <c r="H94" s="71">
        <f t="shared" si="8"/>
        <v>4.5531000000000006</v>
      </c>
      <c r="I94" s="10">
        <v>0</v>
      </c>
    </row>
    <row r="95" spans="1:9" ht="31.5" hidden="1" customHeight="1">
      <c r="A95" s="21"/>
      <c r="B95" s="77" t="s">
        <v>148</v>
      </c>
      <c r="C95" s="13" t="s">
        <v>84</v>
      </c>
      <c r="D95" s="40" t="s">
        <v>68</v>
      </c>
      <c r="E95" s="15">
        <v>30</v>
      </c>
      <c r="F95" s="10">
        <v>30</v>
      </c>
      <c r="G95" s="10">
        <v>1155.7</v>
      </c>
      <c r="H95" s="71">
        <f t="shared" si="8"/>
        <v>34.670999999999999</v>
      </c>
      <c r="I95" s="10">
        <v>0</v>
      </c>
    </row>
    <row r="96" spans="1:9" ht="31.5" hidden="1" customHeight="1">
      <c r="A96" s="21"/>
      <c r="B96" s="77" t="s">
        <v>149</v>
      </c>
      <c r="C96" s="13" t="s">
        <v>29</v>
      </c>
      <c r="D96" s="11" t="s">
        <v>43</v>
      </c>
      <c r="E96" s="15">
        <v>1040.4000000000001</v>
      </c>
      <c r="F96" s="10">
        <f>E96*2/1000</f>
        <v>2.0808</v>
      </c>
      <c r="G96" s="10">
        <v>1560.98</v>
      </c>
      <c r="H96" s="71">
        <f t="shared" si="8"/>
        <v>3.2480871840000001</v>
      </c>
      <c r="I96" s="10">
        <v>0</v>
      </c>
    </row>
    <row r="97" spans="1:9" ht="31.5" hidden="1" customHeight="1">
      <c r="A97" s="21"/>
      <c r="B97" s="77" t="s">
        <v>150</v>
      </c>
      <c r="C97" s="21" t="s">
        <v>152</v>
      </c>
      <c r="D97" s="40" t="s">
        <v>68</v>
      </c>
      <c r="E97" s="15">
        <v>100</v>
      </c>
      <c r="F97" s="10">
        <v>1</v>
      </c>
      <c r="G97" s="10">
        <v>12859.93</v>
      </c>
      <c r="H97" s="71">
        <f t="shared" si="8"/>
        <v>12.85993</v>
      </c>
      <c r="I97" s="10">
        <v>0</v>
      </c>
    </row>
    <row r="98" spans="1:9" ht="15.75" hidden="1" customHeight="1">
      <c r="A98" s="101"/>
      <c r="B98" s="102" t="s">
        <v>151</v>
      </c>
      <c r="C98" s="103" t="s">
        <v>29</v>
      </c>
      <c r="D98" s="104" t="s">
        <v>43</v>
      </c>
      <c r="E98" s="105">
        <v>1040.4000000000001</v>
      </c>
      <c r="F98" s="96">
        <v>2.08</v>
      </c>
      <c r="G98" s="96">
        <v>1453.29</v>
      </c>
      <c r="H98" s="106">
        <f t="shared" si="8"/>
        <v>3.0228432000000001</v>
      </c>
      <c r="I98" s="96">
        <v>0</v>
      </c>
    </row>
    <row r="99" spans="1:9" ht="42.75" customHeight="1">
      <c r="A99" s="21">
        <v>16</v>
      </c>
      <c r="B99" s="107" t="s">
        <v>150</v>
      </c>
      <c r="C99" s="108" t="s">
        <v>204</v>
      </c>
      <c r="D99" s="11"/>
      <c r="E99" s="15"/>
      <c r="F99" s="10"/>
      <c r="G99" s="109">
        <v>12859.93</v>
      </c>
      <c r="H99" s="10"/>
      <c r="I99" s="10">
        <f>G99*0.15</f>
        <v>1928.9894999999999</v>
      </c>
    </row>
    <row r="100" spans="1:9" ht="15.75" customHeight="1">
      <c r="A100" s="133" t="s">
        <v>163</v>
      </c>
      <c r="B100" s="134"/>
      <c r="C100" s="134"/>
      <c r="D100" s="134"/>
      <c r="E100" s="134"/>
      <c r="F100" s="134"/>
      <c r="G100" s="134"/>
      <c r="H100" s="134"/>
      <c r="I100" s="135"/>
    </row>
    <row r="101" spans="1:9" ht="15.75" customHeight="1">
      <c r="A101" s="21">
        <v>17</v>
      </c>
      <c r="B101" s="77" t="s">
        <v>102</v>
      </c>
      <c r="C101" s="13" t="s">
        <v>55</v>
      </c>
      <c r="D101" s="51" t="s">
        <v>56</v>
      </c>
      <c r="E101" s="10">
        <v>3455.3</v>
      </c>
      <c r="F101" s="10">
        <v>41463.599999999999</v>
      </c>
      <c r="G101" s="10">
        <v>2.7</v>
      </c>
      <c r="H101" s="71">
        <f>SUM(F101*G101/1000)</f>
        <v>111.95171999999999</v>
      </c>
      <c r="I101" s="10">
        <f>F101/12*G101</f>
        <v>9329.31</v>
      </c>
    </row>
    <row r="102" spans="1:9" ht="31.5" customHeight="1">
      <c r="A102" s="21">
        <v>18</v>
      </c>
      <c r="B102" s="11" t="s">
        <v>81</v>
      </c>
      <c r="C102" s="13"/>
      <c r="D102" s="51" t="s">
        <v>56</v>
      </c>
      <c r="E102" s="57">
        <f>E101</f>
        <v>3455.3</v>
      </c>
      <c r="F102" s="10">
        <f>E102*12</f>
        <v>41463.600000000006</v>
      </c>
      <c r="G102" s="10">
        <v>3.05</v>
      </c>
      <c r="H102" s="71">
        <f>F102*G102/1000</f>
        <v>126.46398000000001</v>
      </c>
      <c r="I102" s="10">
        <f>F102/12*G102</f>
        <v>10538.665000000001</v>
      </c>
    </row>
    <row r="103" spans="1:9" ht="15.75" customHeight="1">
      <c r="A103" s="21"/>
      <c r="B103" s="27" t="s">
        <v>83</v>
      </c>
      <c r="C103" s="76"/>
      <c r="D103" s="74"/>
      <c r="E103" s="75"/>
      <c r="F103" s="75"/>
      <c r="G103" s="75"/>
      <c r="H103" s="73">
        <f>SUM(H102)</f>
        <v>126.46398000000001</v>
      </c>
      <c r="I103" s="75">
        <f>I102+I101+I99+I89+I87+I73+I63+I45+I44+I43+I42+I40+I39+I28+I27+I18+I17+I16</f>
        <v>57481.825538333331</v>
      </c>
    </row>
    <row r="104" spans="1:9" ht="15.75" customHeight="1">
      <c r="A104" s="140" t="s">
        <v>61</v>
      </c>
      <c r="B104" s="141"/>
      <c r="C104" s="141"/>
      <c r="D104" s="141"/>
      <c r="E104" s="141"/>
      <c r="F104" s="141"/>
      <c r="G104" s="141"/>
      <c r="H104" s="141"/>
      <c r="I104" s="142"/>
    </row>
    <row r="105" spans="1:9" ht="15.75" customHeight="1">
      <c r="A105" s="21">
        <v>19</v>
      </c>
      <c r="B105" s="39" t="s">
        <v>85</v>
      </c>
      <c r="C105" s="88" t="s">
        <v>98</v>
      </c>
      <c r="D105" s="34"/>
      <c r="E105" s="10"/>
      <c r="F105" s="10">
        <v>11</v>
      </c>
      <c r="G105" s="26">
        <v>197.48</v>
      </c>
      <c r="H105" s="71">
        <f>G105*F105/1000</f>
        <v>2.1722799999999998</v>
      </c>
      <c r="I105" s="10">
        <f>G105*1</f>
        <v>197.48</v>
      </c>
    </row>
    <row r="106" spans="1:9" ht="31.5" customHeight="1">
      <c r="A106" s="21">
        <v>20</v>
      </c>
      <c r="B106" s="39" t="s">
        <v>200</v>
      </c>
      <c r="C106" s="88" t="s">
        <v>98</v>
      </c>
      <c r="D106" s="38"/>
      <c r="E106" s="26"/>
      <c r="F106" s="26">
        <v>14</v>
      </c>
      <c r="G106" s="110">
        <v>6714.8</v>
      </c>
      <c r="H106" s="87">
        <f t="shared" ref="H106:H109" si="9">G106*F106/1000</f>
        <v>94.007199999999997</v>
      </c>
      <c r="I106" s="10">
        <f>G106*1</f>
        <v>6714.8</v>
      </c>
    </row>
    <row r="107" spans="1:9" ht="29.25" customHeight="1">
      <c r="A107" s="21">
        <v>21</v>
      </c>
      <c r="B107" s="90" t="s">
        <v>201</v>
      </c>
      <c r="C107" s="91" t="s">
        <v>39</v>
      </c>
      <c r="D107" s="34"/>
      <c r="E107" s="10"/>
      <c r="F107" s="10">
        <v>2</v>
      </c>
      <c r="G107" s="111">
        <v>3724.37</v>
      </c>
      <c r="H107" s="87">
        <f t="shared" si="9"/>
        <v>7.4487399999999999</v>
      </c>
      <c r="I107" s="10">
        <f>G107*0.04</f>
        <v>148.97479999999999</v>
      </c>
    </row>
    <row r="108" spans="1:9" ht="17.25" customHeight="1">
      <c r="A108" s="21">
        <v>22</v>
      </c>
      <c r="B108" s="90" t="s">
        <v>202</v>
      </c>
      <c r="C108" s="112" t="s">
        <v>41</v>
      </c>
      <c r="D108" s="34"/>
      <c r="E108" s="10"/>
      <c r="F108" s="10">
        <f>30/10</f>
        <v>3</v>
      </c>
      <c r="G108" s="110">
        <v>7709.44</v>
      </c>
      <c r="H108" s="87">
        <f t="shared" si="9"/>
        <v>23.128319999999999</v>
      </c>
      <c r="I108" s="10">
        <f>G108*0.02</f>
        <v>154.18879999999999</v>
      </c>
    </row>
    <row r="109" spans="1:9" ht="30" customHeight="1">
      <c r="A109" s="21">
        <v>23</v>
      </c>
      <c r="B109" s="90" t="s">
        <v>203</v>
      </c>
      <c r="C109" s="91" t="s">
        <v>91</v>
      </c>
      <c r="D109" s="34"/>
      <c r="E109" s="10"/>
      <c r="F109" s="10">
        <v>1</v>
      </c>
      <c r="G109" s="110">
        <v>1655.27</v>
      </c>
      <c r="H109" s="87">
        <f t="shared" si="9"/>
        <v>1.65527</v>
      </c>
      <c r="I109" s="10">
        <f>G109*1.04</f>
        <v>1721.4808</v>
      </c>
    </row>
    <row r="110" spans="1:9" ht="31.5" customHeight="1">
      <c r="A110" s="21">
        <v>24</v>
      </c>
      <c r="B110" s="39" t="s">
        <v>216</v>
      </c>
      <c r="C110" s="88" t="s">
        <v>217</v>
      </c>
      <c r="D110" s="34"/>
      <c r="E110" s="10"/>
      <c r="F110" s="10"/>
      <c r="G110" s="100">
        <v>24829.08</v>
      </c>
      <c r="H110" s="87"/>
      <c r="I110" s="10">
        <f>G110*0.01</f>
        <v>248.29080000000002</v>
      </c>
    </row>
    <row r="111" spans="1:9">
      <c r="A111" s="21"/>
      <c r="B111" s="32" t="s">
        <v>52</v>
      </c>
      <c r="C111" s="28"/>
      <c r="D111" s="35"/>
      <c r="E111" s="28">
        <v>1</v>
      </c>
      <c r="F111" s="28"/>
      <c r="G111" s="28"/>
      <c r="H111" s="28"/>
      <c r="I111" s="24">
        <f>SUM(I105:I110)</f>
        <v>9185.2152000000006</v>
      </c>
    </row>
    <row r="112" spans="1:9">
      <c r="A112" s="21"/>
      <c r="B112" s="34" t="s">
        <v>82</v>
      </c>
      <c r="C112" s="12"/>
      <c r="D112" s="12"/>
      <c r="E112" s="29"/>
      <c r="F112" s="29"/>
      <c r="G112" s="30"/>
      <c r="H112" s="30"/>
      <c r="I112" s="14">
        <v>0</v>
      </c>
    </row>
    <row r="113" spans="1:9" ht="15.75" customHeight="1">
      <c r="A113" s="36"/>
      <c r="B113" s="33" t="s">
        <v>184</v>
      </c>
      <c r="C113" s="25"/>
      <c r="D113" s="25"/>
      <c r="E113" s="25"/>
      <c r="F113" s="25"/>
      <c r="G113" s="25"/>
      <c r="H113" s="25"/>
      <c r="I113" s="31">
        <f>I103+I111</f>
        <v>66667.040738333337</v>
      </c>
    </row>
    <row r="114" spans="1:9" ht="15.75">
      <c r="A114" s="136" t="s">
        <v>264</v>
      </c>
      <c r="B114" s="136"/>
      <c r="C114" s="136"/>
      <c r="D114" s="136"/>
      <c r="E114" s="136"/>
      <c r="F114" s="136"/>
      <c r="G114" s="136"/>
      <c r="H114" s="136"/>
      <c r="I114" s="136"/>
    </row>
    <row r="115" spans="1:9" ht="15.75">
      <c r="A115" s="50"/>
      <c r="B115" s="137" t="s">
        <v>265</v>
      </c>
      <c r="C115" s="137"/>
      <c r="D115" s="137"/>
      <c r="E115" s="137"/>
      <c r="F115" s="137"/>
      <c r="G115" s="137"/>
      <c r="H115" s="56"/>
      <c r="I115" s="2"/>
    </row>
    <row r="116" spans="1:9">
      <c r="A116" s="44"/>
      <c r="B116" s="124" t="s">
        <v>6</v>
      </c>
      <c r="C116" s="124"/>
      <c r="D116" s="124"/>
      <c r="E116" s="124"/>
      <c r="F116" s="124"/>
      <c r="G116" s="124"/>
      <c r="H116" s="16"/>
      <c r="I116" s="4"/>
    </row>
    <row r="117" spans="1:9">
      <c r="A117" s="7"/>
      <c r="B117" s="7"/>
      <c r="C117" s="7"/>
      <c r="D117" s="7"/>
      <c r="E117" s="7"/>
      <c r="F117" s="7"/>
      <c r="G117" s="7"/>
      <c r="H117" s="7"/>
      <c r="I117" s="7"/>
    </row>
    <row r="118" spans="1:9" ht="15.75" customHeight="1">
      <c r="A118" s="138" t="s">
        <v>7</v>
      </c>
      <c r="B118" s="138"/>
      <c r="C118" s="138"/>
      <c r="D118" s="138"/>
      <c r="E118" s="138"/>
      <c r="F118" s="138"/>
      <c r="G118" s="138"/>
      <c r="H118" s="138"/>
      <c r="I118" s="138"/>
    </row>
    <row r="119" spans="1:9" ht="15.75" customHeight="1">
      <c r="A119" s="138" t="s">
        <v>8</v>
      </c>
      <c r="B119" s="138"/>
      <c r="C119" s="138"/>
      <c r="D119" s="138"/>
      <c r="E119" s="138"/>
      <c r="F119" s="138"/>
      <c r="G119" s="138"/>
      <c r="H119" s="138"/>
      <c r="I119" s="138"/>
    </row>
    <row r="120" spans="1:9" ht="15.75" customHeight="1">
      <c r="A120" s="139" t="s">
        <v>62</v>
      </c>
      <c r="B120" s="139"/>
      <c r="C120" s="139"/>
      <c r="D120" s="139"/>
      <c r="E120" s="139"/>
      <c r="F120" s="139"/>
      <c r="G120" s="139"/>
      <c r="H120" s="139"/>
      <c r="I120" s="139"/>
    </row>
    <row r="121" spans="1:9" ht="15.75" customHeight="1">
      <c r="A121" s="8"/>
    </row>
    <row r="122" spans="1:9" ht="15.75" customHeight="1">
      <c r="A122" s="128" t="s">
        <v>9</v>
      </c>
      <c r="B122" s="128"/>
      <c r="C122" s="128"/>
      <c r="D122" s="128"/>
      <c r="E122" s="128"/>
      <c r="F122" s="128"/>
      <c r="G122" s="128"/>
      <c r="H122" s="128"/>
      <c r="I122" s="128"/>
    </row>
    <row r="123" spans="1:9" ht="15.75" customHeight="1">
      <c r="A123" s="3"/>
    </row>
    <row r="124" spans="1:9" ht="15.75" customHeight="1">
      <c r="B124" s="46" t="s">
        <v>10</v>
      </c>
      <c r="C124" s="123" t="s">
        <v>158</v>
      </c>
      <c r="D124" s="123"/>
      <c r="E124" s="123"/>
      <c r="F124" s="54"/>
      <c r="I124" s="48"/>
    </row>
    <row r="125" spans="1:9">
      <c r="A125" s="44"/>
      <c r="C125" s="124" t="s">
        <v>11</v>
      </c>
      <c r="D125" s="124"/>
      <c r="E125" s="124"/>
      <c r="F125" s="16"/>
      <c r="I125" s="49" t="s">
        <v>12</v>
      </c>
    </row>
    <row r="126" spans="1:9" ht="15.75">
      <c r="A126" s="17"/>
      <c r="C126" s="9"/>
      <c r="D126" s="9"/>
      <c r="G126" s="9"/>
      <c r="H126" s="9"/>
    </row>
    <row r="127" spans="1:9" ht="15.75">
      <c r="B127" s="46" t="s">
        <v>13</v>
      </c>
      <c r="C127" s="125"/>
      <c r="D127" s="125"/>
      <c r="E127" s="125"/>
      <c r="F127" s="55"/>
      <c r="I127" s="48"/>
    </row>
    <row r="128" spans="1:9">
      <c r="A128" s="44"/>
      <c r="C128" s="126" t="s">
        <v>11</v>
      </c>
      <c r="D128" s="126"/>
      <c r="E128" s="126"/>
      <c r="F128" s="44"/>
      <c r="I128" s="49" t="s">
        <v>12</v>
      </c>
    </row>
    <row r="129" spans="1:9" ht="15.75">
      <c r="A129" s="3" t="s">
        <v>14</v>
      </c>
    </row>
    <row r="130" spans="1:9">
      <c r="A130" s="127" t="s">
        <v>15</v>
      </c>
      <c r="B130" s="127"/>
      <c r="C130" s="127"/>
      <c r="D130" s="127"/>
      <c r="E130" s="127"/>
      <c r="F130" s="127"/>
      <c r="G130" s="127"/>
      <c r="H130" s="127"/>
      <c r="I130" s="127"/>
    </row>
    <row r="131" spans="1:9" ht="45" customHeight="1">
      <c r="A131" s="122" t="s">
        <v>16</v>
      </c>
      <c r="B131" s="122"/>
      <c r="C131" s="122"/>
      <c r="D131" s="122"/>
      <c r="E131" s="122"/>
      <c r="F131" s="122"/>
      <c r="G131" s="122"/>
      <c r="H131" s="122"/>
      <c r="I131" s="122"/>
    </row>
    <row r="132" spans="1:9" ht="30" customHeight="1">
      <c r="A132" s="122" t="s">
        <v>17</v>
      </c>
      <c r="B132" s="122"/>
      <c r="C132" s="122"/>
      <c r="D132" s="122"/>
      <c r="E132" s="122"/>
      <c r="F132" s="122"/>
      <c r="G132" s="122"/>
      <c r="H132" s="122"/>
      <c r="I132" s="122"/>
    </row>
    <row r="133" spans="1:9" ht="30" customHeight="1">
      <c r="A133" s="122" t="s">
        <v>21</v>
      </c>
      <c r="B133" s="122"/>
      <c r="C133" s="122"/>
      <c r="D133" s="122"/>
      <c r="E133" s="122"/>
      <c r="F133" s="122"/>
      <c r="G133" s="122"/>
      <c r="H133" s="122"/>
      <c r="I133" s="122"/>
    </row>
    <row r="134" spans="1:9" ht="15" customHeight="1">
      <c r="A134" s="122" t="s">
        <v>20</v>
      </c>
      <c r="B134" s="122"/>
      <c r="C134" s="122"/>
      <c r="D134" s="122"/>
      <c r="E134" s="122"/>
      <c r="F134" s="122"/>
      <c r="G134" s="122"/>
      <c r="H134" s="122"/>
      <c r="I134" s="122"/>
    </row>
  </sheetData>
  <mergeCells count="28">
    <mergeCell ref="A14:I14"/>
    <mergeCell ref="A3:I3"/>
    <mergeCell ref="A4:I4"/>
    <mergeCell ref="A5:I5"/>
    <mergeCell ref="A8:I8"/>
    <mergeCell ref="A10:I10"/>
    <mergeCell ref="A122:I122"/>
    <mergeCell ref="A15:I15"/>
    <mergeCell ref="A29:I29"/>
    <mergeCell ref="A46:I46"/>
    <mergeCell ref="A58:I58"/>
    <mergeCell ref="A100:I100"/>
    <mergeCell ref="A114:I114"/>
    <mergeCell ref="B115:G115"/>
    <mergeCell ref="B116:G116"/>
    <mergeCell ref="A118:I118"/>
    <mergeCell ref="A119:I119"/>
    <mergeCell ref="A120:I120"/>
    <mergeCell ref="A104:I104"/>
    <mergeCell ref="A132:I132"/>
    <mergeCell ref="A133:I133"/>
    <mergeCell ref="A134:I134"/>
    <mergeCell ref="C124:E124"/>
    <mergeCell ref="C125:E125"/>
    <mergeCell ref="C127:E127"/>
    <mergeCell ref="C128:E128"/>
    <mergeCell ref="A130:I130"/>
    <mergeCell ref="A131:I131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30"/>
  <sheetViews>
    <sheetView view="pageBreakPreview" topLeftCell="A104" zoomScale="60" workbookViewId="0">
      <selection activeCell="M105" sqref="M10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88</v>
      </c>
      <c r="I1" s="18"/>
    </row>
    <row r="2" spans="1:9" ht="15.75">
      <c r="A2" s="20" t="s">
        <v>63</v>
      </c>
    </row>
    <row r="3" spans="1:9" ht="15.75">
      <c r="A3" s="144" t="s">
        <v>176</v>
      </c>
      <c r="B3" s="144"/>
      <c r="C3" s="144"/>
      <c r="D3" s="144"/>
      <c r="E3" s="144"/>
      <c r="F3" s="144"/>
      <c r="G3" s="144"/>
      <c r="H3" s="144"/>
      <c r="I3" s="144"/>
    </row>
    <row r="4" spans="1:9" ht="31.5" customHeight="1">
      <c r="A4" s="145" t="s">
        <v>154</v>
      </c>
      <c r="B4" s="145"/>
      <c r="C4" s="145"/>
      <c r="D4" s="145"/>
      <c r="E4" s="145"/>
      <c r="F4" s="145"/>
      <c r="G4" s="145"/>
      <c r="H4" s="145"/>
      <c r="I4" s="145"/>
    </row>
    <row r="5" spans="1:9" ht="15.75">
      <c r="A5" s="144" t="s">
        <v>209</v>
      </c>
      <c r="B5" s="146"/>
      <c r="C5" s="146"/>
      <c r="D5" s="146"/>
      <c r="E5" s="146"/>
      <c r="F5" s="146"/>
      <c r="G5" s="146"/>
      <c r="H5" s="146"/>
      <c r="I5" s="146"/>
    </row>
    <row r="6" spans="1:9" ht="15.75">
      <c r="A6" s="1"/>
      <c r="B6" s="47"/>
      <c r="C6" s="47"/>
      <c r="D6" s="47"/>
      <c r="E6" s="47"/>
      <c r="F6" s="47"/>
      <c r="G6" s="47"/>
      <c r="H6" s="47"/>
      <c r="I6" s="22">
        <v>43251</v>
      </c>
    </row>
    <row r="7" spans="1:9" ht="15.75">
      <c r="B7" s="46"/>
      <c r="C7" s="46"/>
      <c r="D7" s="46"/>
      <c r="E7" s="2"/>
      <c r="F7" s="2"/>
      <c r="G7" s="2"/>
      <c r="H7" s="2"/>
    </row>
    <row r="8" spans="1:9" ht="78.75" customHeight="1">
      <c r="A8" s="147" t="s">
        <v>182</v>
      </c>
      <c r="B8" s="147"/>
      <c r="C8" s="147"/>
      <c r="D8" s="147"/>
      <c r="E8" s="147"/>
      <c r="F8" s="147"/>
      <c r="G8" s="147"/>
      <c r="H8" s="147"/>
      <c r="I8" s="147"/>
    </row>
    <row r="9" spans="1:9" ht="15.75">
      <c r="A9" s="3"/>
    </row>
    <row r="10" spans="1:9" ht="47.25" customHeight="1">
      <c r="A10" s="148" t="s">
        <v>183</v>
      </c>
      <c r="B10" s="148"/>
      <c r="C10" s="148"/>
      <c r="D10" s="148"/>
      <c r="E10" s="148"/>
      <c r="F10" s="148"/>
      <c r="G10" s="148"/>
      <c r="H10" s="148"/>
      <c r="I10" s="148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3" t="s">
        <v>60</v>
      </c>
      <c r="B14" s="143"/>
      <c r="C14" s="143"/>
      <c r="D14" s="143"/>
      <c r="E14" s="143"/>
      <c r="F14" s="143"/>
      <c r="G14" s="143"/>
      <c r="H14" s="143"/>
      <c r="I14" s="143"/>
    </row>
    <row r="15" spans="1:9" ht="15.75" customHeight="1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</row>
    <row r="16" spans="1:9" ht="15.75" customHeight="1">
      <c r="A16" s="21">
        <v>1</v>
      </c>
      <c r="B16" s="40" t="s">
        <v>110</v>
      </c>
      <c r="C16" s="41" t="s">
        <v>89</v>
      </c>
      <c r="D16" s="40" t="s">
        <v>155</v>
      </c>
      <c r="E16" s="57">
        <v>70.7</v>
      </c>
      <c r="F16" s="42">
        <f>SUM(E16*156/100)</f>
        <v>110.292</v>
      </c>
      <c r="G16" s="42">
        <v>199.46</v>
      </c>
      <c r="H16" s="58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40" t="s">
        <v>121</v>
      </c>
      <c r="C17" s="41" t="s">
        <v>89</v>
      </c>
      <c r="D17" s="40" t="s">
        <v>156</v>
      </c>
      <c r="E17" s="57">
        <v>282.8</v>
      </c>
      <c r="F17" s="42">
        <f>SUM(E17*104/100)</f>
        <v>294.11200000000002</v>
      </c>
      <c r="G17" s="42">
        <v>199.46</v>
      </c>
      <c r="H17" s="58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40" t="s">
        <v>122</v>
      </c>
      <c r="C18" s="41" t="s">
        <v>89</v>
      </c>
      <c r="D18" s="40" t="s">
        <v>157</v>
      </c>
      <c r="E18" s="57">
        <f>SUM(E16+E17)</f>
        <v>353.5</v>
      </c>
      <c r="F18" s="42">
        <f>SUM(E18*24/100)</f>
        <v>84.84</v>
      </c>
      <c r="G18" s="42">
        <v>573.83000000000004</v>
      </c>
      <c r="H18" s="58">
        <f t="shared" si="0"/>
        <v>48.683737200000003</v>
      </c>
      <c r="I18" s="10">
        <f t="shared" si="1"/>
        <v>4056.9781000000003</v>
      </c>
    </row>
    <row r="19" spans="1:9" ht="15.75" customHeight="1">
      <c r="A19" s="21">
        <v>4</v>
      </c>
      <c r="B19" s="40" t="s">
        <v>111</v>
      </c>
      <c r="C19" s="41" t="s">
        <v>112</v>
      </c>
      <c r="D19" s="40" t="s">
        <v>113</v>
      </c>
      <c r="E19" s="57">
        <v>40</v>
      </c>
      <c r="F19" s="42">
        <f>SUM(E19/10)</f>
        <v>4</v>
      </c>
      <c r="G19" s="42">
        <v>193.55</v>
      </c>
      <c r="H19" s="58">
        <f t="shared" si="0"/>
        <v>0.7742</v>
      </c>
      <c r="I19" s="10">
        <f>F19*G19</f>
        <v>774.2</v>
      </c>
    </row>
    <row r="20" spans="1:9" ht="15.75" customHeight="1">
      <c r="A20" s="21">
        <v>5</v>
      </c>
      <c r="B20" s="40" t="s">
        <v>114</v>
      </c>
      <c r="C20" s="41" t="s">
        <v>89</v>
      </c>
      <c r="D20" s="40" t="s">
        <v>43</v>
      </c>
      <c r="E20" s="57">
        <v>10.5</v>
      </c>
      <c r="F20" s="42">
        <f>E20*2/100</f>
        <v>0.21</v>
      </c>
      <c r="G20" s="42">
        <v>247.82</v>
      </c>
      <c r="H20" s="58">
        <f t="shared" si="0"/>
        <v>5.2042199999999997E-2</v>
      </c>
      <c r="I20" s="10">
        <f t="shared" ref="I20:I21" si="2">F20/2*G20</f>
        <v>26.021099999999997</v>
      </c>
    </row>
    <row r="21" spans="1:9" ht="15.75" customHeight="1">
      <c r="A21" s="21">
        <v>6</v>
      </c>
      <c r="B21" s="40" t="s">
        <v>115</v>
      </c>
      <c r="C21" s="41" t="s">
        <v>89</v>
      </c>
      <c r="D21" s="40" t="s">
        <v>43</v>
      </c>
      <c r="E21" s="57">
        <v>2.7</v>
      </c>
      <c r="F21" s="42">
        <f>SUM(E21*2/100)</f>
        <v>5.4000000000000006E-2</v>
      </c>
      <c r="G21" s="42">
        <v>245.81</v>
      </c>
      <c r="H21" s="58">
        <f t="shared" si="0"/>
        <v>1.3273740000000003E-2</v>
      </c>
      <c r="I21" s="10">
        <f t="shared" si="2"/>
        <v>6.6368700000000009</v>
      </c>
    </row>
    <row r="22" spans="1:9" ht="15.75" customHeight="1">
      <c r="A22" s="21">
        <v>7</v>
      </c>
      <c r="B22" s="40" t="s">
        <v>116</v>
      </c>
      <c r="C22" s="41" t="s">
        <v>53</v>
      </c>
      <c r="D22" s="40" t="s">
        <v>113</v>
      </c>
      <c r="E22" s="57">
        <v>357</v>
      </c>
      <c r="F22" s="42">
        <f>SUM(E22/100)</f>
        <v>3.57</v>
      </c>
      <c r="G22" s="42">
        <v>306.26</v>
      </c>
      <c r="H22" s="58">
        <f t="shared" si="0"/>
        <v>1.0933481999999999</v>
      </c>
      <c r="I22" s="10">
        <f>F22*G22</f>
        <v>1093.3481999999999</v>
      </c>
    </row>
    <row r="23" spans="1:9" ht="15.75" customHeight="1">
      <c r="A23" s="21">
        <v>8</v>
      </c>
      <c r="B23" s="40" t="s">
        <v>117</v>
      </c>
      <c r="C23" s="41" t="s">
        <v>53</v>
      </c>
      <c r="D23" s="40" t="s">
        <v>113</v>
      </c>
      <c r="E23" s="60">
        <v>38.64</v>
      </c>
      <c r="F23" s="42">
        <f>SUM(E23/100)</f>
        <v>0.38640000000000002</v>
      </c>
      <c r="G23" s="42">
        <v>50.37</v>
      </c>
      <c r="H23" s="58">
        <f t="shared" si="0"/>
        <v>1.9462968000000001E-2</v>
      </c>
      <c r="I23" s="10">
        <f t="shared" ref="I23:I26" si="3">F23*G23</f>
        <v>19.462968</v>
      </c>
    </row>
    <row r="24" spans="1:9" ht="15.75" customHeight="1">
      <c r="A24" s="21">
        <v>9</v>
      </c>
      <c r="B24" s="40" t="s">
        <v>118</v>
      </c>
      <c r="C24" s="41" t="s">
        <v>53</v>
      </c>
      <c r="D24" s="40" t="s">
        <v>123</v>
      </c>
      <c r="E24" s="57">
        <v>15</v>
      </c>
      <c r="F24" s="42">
        <f>E24/100</f>
        <v>0.15</v>
      </c>
      <c r="G24" s="42">
        <v>443.27</v>
      </c>
      <c r="H24" s="58">
        <f t="shared" si="0"/>
        <v>6.6490499999999994E-2</v>
      </c>
      <c r="I24" s="10">
        <f t="shared" si="3"/>
        <v>66.490499999999997</v>
      </c>
    </row>
    <row r="25" spans="1:9" ht="15.75" customHeight="1">
      <c r="A25" s="21">
        <v>10</v>
      </c>
      <c r="B25" s="40" t="s">
        <v>124</v>
      </c>
      <c r="C25" s="41" t="s">
        <v>89</v>
      </c>
      <c r="D25" s="40" t="s">
        <v>54</v>
      </c>
      <c r="E25" s="57">
        <v>14.25</v>
      </c>
      <c r="F25" s="42">
        <v>0.1</v>
      </c>
      <c r="G25" s="42">
        <v>245.81</v>
      </c>
      <c r="H25" s="58">
        <v>3.1E-2</v>
      </c>
      <c r="I25" s="10">
        <f t="shared" si="3"/>
        <v>24.581000000000003</v>
      </c>
    </row>
    <row r="26" spans="1:9" ht="15.75" customHeight="1">
      <c r="A26" s="21">
        <v>11</v>
      </c>
      <c r="B26" s="40" t="s">
        <v>125</v>
      </c>
      <c r="C26" s="41" t="s">
        <v>53</v>
      </c>
      <c r="D26" s="40" t="s">
        <v>113</v>
      </c>
      <c r="E26" s="57">
        <v>6.38</v>
      </c>
      <c r="F26" s="42">
        <f>SUM(E26/100)</f>
        <v>6.3799999999999996E-2</v>
      </c>
      <c r="G26" s="42">
        <v>592.37</v>
      </c>
      <c r="H26" s="58">
        <f t="shared" si="0"/>
        <v>3.7793205999999996E-2</v>
      </c>
      <c r="I26" s="10">
        <f t="shared" si="3"/>
        <v>37.793205999999998</v>
      </c>
    </row>
    <row r="27" spans="1:9" ht="15.75" customHeight="1">
      <c r="A27" s="21">
        <v>12</v>
      </c>
      <c r="B27" s="40" t="s">
        <v>65</v>
      </c>
      <c r="C27" s="41" t="s">
        <v>33</v>
      </c>
      <c r="D27" s="40"/>
      <c r="E27" s="57">
        <v>0.1</v>
      </c>
      <c r="F27" s="42">
        <f>SUM(E27*365)</f>
        <v>36.5</v>
      </c>
      <c r="G27" s="42">
        <v>167.24</v>
      </c>
      <c r="H27" s="58">
        <f>SUM(F27*G27/1000)</f>
        <v>6.10426</v>
      </c>
      <c r="I27" s="10">
        <f>F27/12*G27</f>
        <v>508.68833333333333</v>
      </c>
    </row>
    <row r="28" spans="1:9" ht="15.75" customHeight="1">
      <c r="A28" s="21">
        <v>13</v>
      </c>
      <c r="B28" s="64" t="s">
        <v>23</v>
      </c>
      <c r="C28" s="41" t="s">
        <v>24</v>
      </c>
      <c r="D28" s="40"/>
      <c r="E28" s="57">
        <v>2661.7</v>
      </c>
      <c r="F28" s="42">
        <f>SUM(E28*12)</f>
        <v>31940.399999999998</v>
      </c>
      <c r="G28" s="42">
        <v>5.58</v>
      </c>
      <c r="H28" s="58">
        <f>SUM(F28*G28/1000)</f>
        <v>178.22743199999999</v>
      </c>
      <c r="I28" s="10">
        <f>F28/12*G28</f>
        <v>14852.286</v>
      </c>
    </row>
    <row r="29" spans="1:9" ht="15.75" customHeight="1">
      <c r="A29" s="129" t="s">
        <v>87</v>
      </c>
      <c r="B29" s="129"/>
      <c r="C29" s="129"/>
      <c r="D29" s="129"/>
      <c r="E29" s="129"/>
      <c r="F29" s="129"/>
      <c r="G29" s="129"/>
      <c r="H29" s="129"/>
      <c r="I29" s="129"/>
    </row>
    <row r="30" spans="1:9" ht="15.75" customHeight="1">
      <c r="A30" s="21"/>
      <c r="B30" s="78" t="s">
        <v>28</v>
      </c>
      <c r="C30" s="41"/>
      <c r="D30" s="40"/>
      <c r="E30" s="57"/>
      <c r="F30" s="42"/>
      <c r="G30" s="42"/>
      <c r="H30" s="58"/>
      <c r="I30" s="62"/>
    </row>
    <row r="31" spans="1:9" ht="15.75" customHeight="1">
      <c r="A31" s="21">
        <v>14</v>
      </c>
      <c r="B31" s="40" t="s">
        <v>97</v>
      </c>
      <c r="C31" s="41" t="s">
        <v>91</v>
      </c>
      <c r="D31" s="40" t="s">
        <v>187</v>
      </c>
      <c r="E31" s="42">
        <v>573.6</v>
      </c>
      <c r="F31" s="42">
        <f>SUM(E31*52/1000)</f>
        <v>29.827200000000001</v>
      </c>
      <c r="G31" s="42">
        <v>177.3</v>
      </c>
      <c r="H31" s="58">
        <f t="shared" ref="H31:H37" si="4">SUM(F31*G31/1000)</f>
        <v>5.2883625600000004</v>
      </c>
      <c r="I31" s="10">
        <f>F31/6*G31</f>
        <v>881.39376000000016</v>
      </c>
    </row>
    <row r="32" spans="1:9" ht="31.5" customHeight="1">
      <c r="A32" s="21">
        <v>15</v>
      </c>
      <c r="B32" s="40" t="s">
        <v>170</v>
      </c>
      <c r="C32" s="41" t="s">
        <v>91</v>
      </c>
      <c r="D32" s="40" t="s">
        <v>188</v>
      </c>
      <c r="E32" s="42">
        <v>200</v>
      </c>
      <c r="F32" s="42">
        <f>SUM(E32*78/1000)</f>
        <v>15.6</v>
      </c>
      <c r="G32" s="42">
        <v>294.17</v>
      </c>
      <c r="H32" s="58">
        <f t="shared" si="4"/>
        <v>4.5890520000000006</v>
      </c>
      <c r="I32" s="10">
        <f t="shared" ref="I32:I35" si="5">F32/6*G32</f>
        <v>764.8420000000001</v>
      </c>
    </row>
    <row r="33" spans="1:9" ht="15.75" customHeight="1">
      <c r="A33" s="21">
        <v>16</v>
      </c>
      <c r="B33" s="40" t="s">
        <v>27</v>
      </c>
      <c r="C33" s="41" t="s">
        <v>91</v>
      </c>
      <c r="D33" s="40" t="s">
        <v>54</v>
      </c>
      <c r="E33" s="42">
        <v>573.6</v>
      </c>
      <c r="F33" s="42">
        <f>SUM(E33/1000)</f>
        <v>0.5736</v>
      </c>
      <c r="G33" s="42">
        <v>3435.36</v>
      </c>
      <c r="H33" s="58">
        <f t="shared" si="4"/>
        <v>1.9705224960000001</v>
      </c>
      <c r="I33" s="10">
        <f>F33*G33</f>
        <v>1970.522496</v>
      </c>
    </row>
    <row r="34" spans="1:9" ht="15.75" customHeight="1">
      <c r="A34" s="21">
        <v>17</v>
      </c>
      <c r="B34" s="40" t="s">
        <v>128</v>
      </c>
      <c r="C34" s="41" t="s">
        <v>41</v>
      </c>
      <c r="D34" s="40" t="s">
        <v>64</v>
      </c>
      <c r="E34" s="42">
        <v>1</v>
      </c>
      <c r="F34" s="42">
        <v>1.55</v>
      </c>
      <c r="G34" s="42">
        <v>1480.94</v>
      </c>
      <c r="H34" s="58">
        <f>G34*F34/1000</f>
        <v>2.2954570000000003</v>
      </c>
      <c r="I34" s="10">
        <f t="shared" si="5"/>
        <v>382.57616666666672</v>
      </c>
    </row>
    <row r="35" spans="1:9" ht="15.75" customHeight="1">
      <c r="A35" s="21">
        <v>18</v>
      </c>
      <c r="B35" s="40" t="s">
        <v>96</v>
      </c>
      <c r="C35" s="41" t="s">
        <v>31</v>
      </c>
      <c r="D35" s="40" t="s">
        <v>64</v>
      </c>
      <c r="E35" s="63">
        <v>0.33333333333333331</v>
      </c>
      <c r="F35" s="42">
        <f>155/3</f>
        <v>51.666666666666664</v>
      </c>
      <c r="G35" s="42">
        <v>64.48</v>
      </c>
      <c r="H35" s="58">
        <f>SUM(G35*155/3/1000)</f>
        <v>3.331466666666667</v>
      </c>
      <c r="I35" s="10">
        <f t="shared" si="5"/>
        <v>555.24444444444441</v>
      </c>
    </row>
    <row r="36" spans="1:9" ht="15.75" hidden="1" customHeight="1">
      <c r="A36" s="21"/>
      <c r="B36" s="40" t="s">
        <v>66</v>
      </c>
      <c r="C36" s="41" t="s">
        <v>33</v>
      </c>
      <c r="D36" s="40" t="s">
        <v>68</v>
      </c>
      <c r="E36" s="57"/>
      <c r="F36" s="42">
        <v>3</v>
      </c>
      <c r="G36" s="42">
        <v>217.61</v>
      </c>
      <c r="H36" s="58">
        <f t="shared" si="4"/>
        <v>0.65283000000000002</v>
      </c>
      <c r="I36" s="10">
        <v>0</v>
      </c>
    </row>
    <row r="37" spans="1:9" ht="15.75" hidden="1" customHeight="1">
      <c r="A37" s="21"/>
      <c r="B37" s="40" t="s">
        <v>67</v>
      </c>
      <c r="C37" s="41" t="s">
        <v>32</v>
      </c>
      <c r="D37" s="40" t="s">
        <v>68</v>
      </c>
      <c r="E37" s="57"/>
      <c r="F37" s="42">
        <v>2</v>
      </c>
      <c r="G37" s="42">
        <v>1292.47</v>
      </c>
      <c r="H37" s="58">
        <f t="shared" si="4"/>
        <v>2.58494</v>
      </c>
      <c r="I37" s="10">
        <v>0</v>
      </c>
    </row>
    <row r="38" spans="1:9" ht="15.75" hidden="1" customHeight="1">
      <c r="A38" s="21"/>
      <c r="B38" s="78" t="s">
        <v>5</v>
      </c>
      <c r="C38" s="41"/>
      <c r="D38" s="40"/>
      <c r="E38" s="57"/>
      <c r="F38" s="42"/>
      <c r="G38" s="42"/>
      <c r="H38" s="58" t="s">
        <v>166</v>
      </c>
      <c r="I38" s="62"/>
    </row>
    <row r="39" spans="1:9" ht="15.75" hidden="1" customHeight="1">
      <c r="A39" s="21">
        <v>6</v>
      </c>
      <c r="B39" s="40" t="s">
        <v>26</v>
      </c>
      <c r="C39" s="41" t="s">
        <v>32</v>
      </c>
      <c r="D39" s="40"/>
      <c r="E39" s="57"/>
      <c r="F39" s="42">
        <v>8</v>
      </c>
      <c r="G39" s="42">
        <v>1737.08</v>
      </c>
      <c r="H39" s="58">
        <f t="shared" ref="H39:H45" si="6">SUM(F39*G39/1000)</f>
        <v>13.89664</v>
      </c>
      <c r="I39" s="10">
        <f>F39/6*G39</f>
        <v>2316.1066666666666</v>
      </c>
    </row>
    <row r="40" spans="1:9" ht="15.75" hidden="1" customHeight="1">
      <c r="A40" s="21">
        <v>7</v>
      </c>
      <c r="B40" s="40" t="s">
        <v>69</v>
      </c>
      <c r="C40" s="41" t="s">
        <v>29</v>
      </c>
      <c r="D40" s="40" t="s">
        <v>105</v>
      </c>
      <c r="E40" s="42">
        <v>200</v>
      </c>
      <c r="F40" s="42">
        <f>SUM(E40*30/1000)</f>
        <v>6</v>
      </c>
      <c r="G40" s="42">
        <v>2391.67</v>
      </c>
      <c r="H40" s="58">
        <f t="shared" si="6"/>
        <v>14.350020000000001</v>
      </c>
      <c r="I40" s="10">
        <f>F40/6*G40</f>
        <v>2391.67</v>
      </c>
    </row>
    <row r="41" spans="1:9" ht="15.75" hidden="1" customHeight="1">
      <c r="A41" s="21"/>
      <c r="B41" s="40" t="s">
        <v>129</v>
      </c>
      <c r="C41" s="41" t="s">
        <v>55</v>
      </c>
      <c r="D41" s="40"/>
      <c r="E41" s="57"/>
      <c r="F41" s="42">
        <v>130</v>
      </c>
      <c r="G41" s="42">
        <v>226.84</v>
      </c>
      <c r="H41" s="58">
        <f t="shared" si="6"/>
        <v>29.4892</v>
      </c>
      <c r="I41" s="10">
        <v>0</v>
      </c>
    </row>
    <row r="42" spans="1:9" ht="15.75" hidden="1" customHeight="1">
      <c r="A42" s="21">
        <v>8</v>
      </c>
      <c r="B42" s="40" t="s">
        <v>70</v>
      </c>
      <c r="C42" s="41" t="s">
        <v>29</v>
      </c>
      <c r="D42" s="40" t="s">
        <v>90</v>
      </c>
      <c r="E42" s="42">
        <v>60</v>
      </c>
      <c r="F42" s="42">
        <f>SUM(E42*155/1000)</f>
        <v>9.3000000000000007</v>
      </c>
      <c r="G42" s="42">
        <v>398.95</v>
      </c>
      <c r="H42" s="58">
        <f t="shared" si="6"/>
        <v>3.7102349999999999</v>
      </c>
      <c r="I42" s="10">
        <f t="shared" ref="I42:I45" si="7">F42/6*G42</f>
        <v>618.37249999999995</v>
      </c>
    </row>
    <row r="43" spans="1:9" ht="47.25" hidden="1" customHeight="1">
      <c r="A43" s="21">
        <v>9</v>
      </c>
      <c r="B43" s="40" t="s">
        <v>86</v>
      </c>
      <c r="C43" s="41" t="s">
        <v>91</v>
      </c>
      <c r="D43" s="40" t="s">
        <v>130</v>
      </c>
      <c r="E43" s="42">
        <v>40.9</v>
      </c>
      <c r="F43" s="42">
        <f>SUM(E43*35/1000)</f>
        <v>1.4315</v>
      </c>
      <c r="G43" s="42">
        <v>6600.74</v>
      </c>
      <c r="H43" s="58">
        <f t="shared" si="6"/>
        <v>9.4489593099999993</v>
      </c>
      <c r="I43" s="10">
        <f t="shared" si="7"/>
        <v>1574.8265516666668</v>
      </c>
    </row>
    <row r="44" spans="1:9" ht="15.75" hidden="1" customHeight="1">
      <c r="A44" s="21">
        <v>10</v>
      </c>
      <c r="B44" s="40" t="s">
        <v>92</v>
      </c>
      <c r="C44" s="41" t="s">
        <v>91</v>
      </c>
      <c r="D44" s="40" t="s">
        <v>71</v>
      </c>
      <c r="E44" s="42">
        <v>60</v>
      </c>
      <c r="F44" s="42">
        <f>SUM(E44*45/1000)</f>
        <v>2.7</v>
      </c>
      <c r="G44" s="42">
        <v>487.61</v>
      </c>
      <c r="H44" s="58">
        <f t="shared" si="6"/>
        <v>1.3165470000000001</v>
      </c>
      <c r="I44" s="10">
        <f t="shared" si="7"/>
        <v>219.42450000000002</v>
      </c>
    </row>
    <row r="45" spans="1:9" ht="15.75" hidden="1" customHeight="1">
      <c r="A45" s="21">
        <v>11</v>
      </c>
      <c r="B45" s="40" t="s">
        <v>72</v>
      </c>
      <c r="C45" s="41" t="s">
        <v>33</v>
      </c>
      <c r="D45" s="40"/>
      <c r="E45" s="57"/>
      <c r="F45" s="42">
        <v>0.9</v>
      </c>
      <c r="G45" s="42">
        <v>907.65</v>
      </c>
      <c r="H45" s="58">
        <f t="shared" si="6"/>
        <v>0.81688499999999997</v>
      </c>
      <c r="I45" s="10">
        <f t="shared" si="7"/>
        <v>136.14749999999998</v>
      </c>
    </row>
    <row r="46" spans="1:9" ht="15.75" customHeight="1">
      <c r="A46" s="130" t="s">
        <v>159</v>
      </c>
      <c r="B46" s="131"/>
      <c r="C46" s="131"/>
      <c r="D46" s="131"/>
      <c r="E46" s="131"/>
      <c r="F46" s="131"/>
      <c r="G46" s="131"/>
      <c r="H46" s="131"/>
      <c r="I46" s="132"/>
    </row>
    <row r="47" spans="1:9" ht="15.75" customHeight="1">
      <c r="A47" s="21">
        <v>19</v>
      </c>
      <c r="B47" s="40" t="s">
        <v>167</v>
      </c>
      <c r="C47" s="41" t="s">
        <v>91</v>
      </c>
      <c r="D47" s="40" t="s">
        <v>43</v>
      </c>
      <c r="E47" s="57">
        <v>1300.5</v>
      </c>
      <c r="F47" s="42">
        <f>SUM(E47/1000)*2</f>
        <v>2.601</v>
      </c>
      <c r="G47" s="10">
        <v>1173.18</v>
      </c>
      <c r="H47" s="58">
        <f t="shared" ref="H47:H57" si="8">SUM(F47*G47/1000)</f>
        <v>3.0514411800000003</v>
      </c>
      <c r="I47" s="10">
        <f t="shared" ref="I47:I50" si="9">F47/2*G47</f>
        <v>1525.7205900000001</v>
      </c>
    </row>
    <row r="48" spans="1:9" ht="15.75" customHeight="1">
      <c r="A48" s="21">
        <v>20</v>
      </c>
      <c r="B48" s="40" t="s">
        <v>36</v>
      </c>
      <c r="C48" s="41" t="s">
        <v>91</v>
      </c>
      <c r="D48" s="40" t="s">
        <v>43</v>
      </c>
      <c r="E48" s="57">
        <v>52</v>
      </c>
      <c r="F48" s="42">
        <f>SUM(E48*2/1000)</f>
        <v>0.104</v>
      </c>
      <c r="G48" s="10">
        <v>659.09</v>
      </c>
      <c r="H48" s="58">
        <f t="shared" si="8"/>
        <v>6.854536E-2</v>
      </c>
      <c r="I48" s="10">
        <f t="shared" si="9"/>
        <v>34.272680000000001</v>
      </c>
    </row>
    <row r="49" spans="1:9" ht="15.75" customHeight="1">
      <c r="A49" s="21">
        <v>21</v>
      </c>
      <c r="B49" s="40" t="s">
        <v>37</v>
      </c>
      <c r="C49" s="41" t="s">
        <v>91</v>
      </c>
      <c r="D49" s="40" t="s">
        <v>43</v>
      </c>
      <c r="E49" s="57">
        <v>1483.1</v>
      </c>
      <c r="F49" s="42">
        <f>SUM(E49*2/1000)</f>
        <v>2.9661999999999997</v>
      </c>
      <c r="G49" s="10">
        <v>1564.24</v>
      </c>
      <c r="H49" s="58">
        <f t="shared" si="8"/>
        <v>4.6398486879999998</v>
      </c>
      <c r="I49" s="10">
        <f t="shared" si="9"/>
        <v>2319.924344</v>
      </c>
    </row>
    <row r="50" spans="1:9" ht="15.75" customHeight="1">
      <c r="A50" s="21">
        <v>22</v>
      </c>
      <c r="B50" s="40" t="s">
        <v>38</v>
      </c>
      <c r="C50" s="41" t="s">
        <v>91</v>
      </c>
      <c r="D50" s="40" t="s">
        <v>43</v>
      </c>
      <c r="E50" s="57">
        <v>2320</v>
      </c>
      <c r="F50" s="42">
        <f>SUM(E50*2/1000)</f>
        <v>4.6399999999999997</v>
      </c>
      <c r="G50" s="10">
        <v>1078.3599999999999</v>
      </c>
      <c r="H50" s="58">
        <f t="shared" si="8"/>
        <v>5.0035903999999993</v>
      </c>
      <c r="I50" s="10">
        <f t="shared" si="9"/>
        <v>2501.7951999999996</v>
      </c>
    </row>
    <row r="51" spans="1:9" ht="15.75" customHeight="1">
      <c r="A51" s="21">
        <v>23</v>
      </c>
      <c r="B51" s="40" t="s">
        <v>34</v>
      </c>
      <c r="C51" s="41" t="s">
        <v>35</v>
      </c>
      <c r="D51" s="40" t="s">
        <v>43</v>
      </c>
      <c r="E51" s="57">
        <v>91.84</v>
      </c>
      <c r="F51" s="42">
        <f>SUM(E51*2/100)</f>
        <v>1.8368</v>
      </c>
      <c r="G51" s="10">
        <v>82.82</v>
      </c>
      <c r="H51" s="58">
        <f t="shared" si="8"/>
        <v>0.15212377599999999</v>
      </c>
      <c r="I51" s="10">
        <f>F51/2*G51</f>
        <v>76.061887999999996</v>
      </c>
    </row>
    <row r="52" spans="1:9" ht="15.75" customHeight="1">
      <c r="A52" s="21">
        <v>24</v>
      </c>
      <c r="B52" s="40" t="s">
        <v>57</v>
      </c>
      <c r="C52" s="41" t="s">
        <v>91</v>
      </c>
      <c r="D52" s="40" t="s">
        <v>171</v>
      </c>
      <c r="E52" s="57">
        <v>1040.4000000000001</v>
      </c>
      <c r="F52" s="42">
        <f>SUM(E52*5/1000)</f>
        <v>5.202</v>
      </c>
      <c r="G52" s="10">
        <v>1564.24</v>
      </c>
      <c r="H52" s="58">
        <f>SUM(F52*G52/1000)</f>
        <v>8.1371764800000008</v>
      </c>
      <c r="I52" s="10">
        <f>F52/5*G52</f>
        <v>1627.4352960000001</v>
      </c>
    </row>
    <row r="53" spans="1:9" ht="30.75" customHeight="1">
      <c r="A53" s="21">
        <v>25</v>
      </c>
      <c r="B53" s="40" t="s">
        <v>93</v>
      </c>
      <c r="C53" s="41" t="s">
        <v>91</v>
      </c>
      <c r="D53" s="40" t="s">
        <v>43</v>
      </c>
      <c r="E53" s="57">
        <v>1040.4000000000001</v>
      </c>
      <c r="F53" s="42">
        <f>SUM(E53*2/1000)</f>
        <v>2.0808</v>
      </c>
      <c r="G53" s="10">
        <v>1380.31</v>
      </c>
      <c r="H53" s="58">
        <f t="shared" si="8"/>
        <v>2.8721490479999998</v>
      </c>
      <c r="I53" s="10">
        <f>F53/2*G53</f>
        <v>1436.0745239999999</v>
      </c>
    </row>
    <row r="54" spans="1:9" ht="30.75" customHeight="1">
      <c r="A54" s="21">
        <v>26</v>
      </c>
      <c r="B54" s="40" t="s">
        <v>94</v>
      </c>
      <c r="C54" s="41" t="s">
        <v>39</v>
      </c>
      <c r="D54" s="40" t="s">
        <v>43</v>
      </c>
      <c r="E54" s="57">
        <v>20</v>
      </c>
      <c r="F54" s="42">
        <f>SUM(E54*2/100)</f>
        <v>0.4</v>
      </c>
      <c r="G54" s="10">
        <v>3519.56</v>
      </c>
      <c r="H54" s="58">
        <f t="shared" si="8"/>
        <v>1.407824</v>
      </c>
      <c r="I54" s="10">
        <f t="shared" ref="I54:I55" si="10">F54/2*G54</f>
        <v>703.91200000000003</v>
      </c>
    </row>
    <row r="55" spans="1:9" ht="21.75" customHeight="1">
      <c r="A55" s="21">
        <v>27</v>
      </c>
      <c r="B55" s="40" t="s">
        <v>40</v>
      </c>
      <c r="C55" s="41" t="s">
        <v>41</v>
      </c>
      <c r="D55" s="40" t="s">
        <v>43</v>
      </c>
      <c r="E55" s="57">
        <v>1</v>
      </c>
      <c r="F55" s="42">
        <v>0.02</v>
      </c>
      <c r="G55" s="10">
        <v>6428.82</v>
      </c>
      <c r="H55" s="58">
        <f t="shared" si="8"/>
        <v>0.12857640000000001</v>
      </c>
      <c r="I55" s="10">
        <f t="shared" si="10"/>
        <v>64.288200000000003</v>
      </c>
    </row>
    <row r="56" spans="1:9" ht="15.75" customHeight="1">
      <c r="A56" s="21">
        <v>28</v>
      </c>
      <c r="B56" s="40" t="s">
        <v>103</v>
      </c>
      <c r="C56" s="41" t="s">
        <v>98</v>
      </c>
      <c r="D56" s="40" t="s">
        <v>73</v>
      </c>
      <c r="E56" s="57">
        <v>56</v>
      </c>
      <c r="F56" s="42">
        <f>SUM(E56*3)</f>
        <v>168</v>
      </c>
      <c r="G56" s="10">
        <v>160.51</v>
      </c>
      <c r="H56" s="58">
        <f t="shared" si="8"/>
        <v>26.965679999999999</v>
      </c>
      <c r="I56" s="10">
        <f>E56*G56</f>
        <v>8988.56</v>
      </c>
    </row>
    <row r="57" spans="1:9" ht="15.75" customHeight="1">
      <c r="A57" s="21">
        <v>29</v>
      </c>
      <c r="B57" s="40" t="s">
        <v>42</v>
      </c>
      <c r="C57" s="41" t="s">
        <v>98</v>
      </c>
      <c r="D57" s="40" t="s">
        <v>73</v>
      </c>
      <c r="E57" s="57">
        <v>112</v>
      </c>
      <c r="F57" s="42">
        <f>SUM(E57)*3</f>
        <v>336</v>
      </c>
      <c r="G57" s="10">
        <v>74.709999999999994</v>
      </c>
      <c r="H57" s="58">
        <f t="shared" si="8"/>
        <v>25.102559999999997</v>
      </c>
      <c r="I57" s="10">
        <f>E57*G57</f>
        <v>8367.5199999999986</v>
      </c>
    </row>
    <row r="58" spans="1:9" ht="15.75" customHeight="1">
      <c r="A58" s="130" t="s">
        <v>160</v>
      </c>
      <c r="B58" s="131"/>
      <c r="C58" s="131"/>
      <c r="D58" s="131"/>
      <c r="E58" s="131"/>
      <c r="F58" s="131"/>
      <c r="G58" s="131"/>
      <c r="H58" s="131"/>
      <c r="I58" s="132"/>
    </row>
    <row r="59" spans="1:9" ht="15.75" hidden="1" customHeight="1">
      <c r="A59" s="21"/>
      <c r="B59" s="78" t="s">
        <v>44</v>
      </c>
      <c r="C59" s="41"/>
      <c r="D59" s="40"/>
      <c r="E59" s="57"/>
      <c r="F59" s="42"/>
      <c r="G59" s="42"/>
      <c r="H59" s="58"/>
      <c r="I59" s="62"/>
    </row>
    <row r="60" spans="1:9" ht="31.5" hidden="1" customHeight="1">
      <c r="A60" s="21">
        <v>15</v>
      </c>
      <c r="B60" s="40" t="s">
        <v>106</v>
      </c>
      <c r="C60" s="41" t="s">
        <v>89</v>
      </c>
      <c r="D60" s="40" t="s">
        <v>168</v>
      </c>
      <c r="E60" s="57">
        <v>142.05000000000001</v>
      </c>
      <c r="F60" s="42">
        <f>SUM(E60*6/100)</f>
        <v>8.5230000000000015</v>
      </c>
      <c r="G60" s="10">
        <v>2108.4299999999998</v>
      </c>
      <c r="H60" s="58">
        <f>SUM(F60*G60/1000)</f>
        <v>17.970148890000001</v>
      </c>
      <c r="I60" s="10">
        <f>F60/6*G60</f>
        <v>2995.0248150000002</v>
      </c>
    </row>
    <row r="61" spans="1:9" ht="15.75" customHeight="1">
      <c r="A61" s="21"/>
      <c r="B61" s="78" t="s">
        <v>45</v>
      </c>
      <c r="C61" s="41"/>
      <c r="D61" s="40"/>
      <c r="E61" s="57"/>
      <c r="F61" s="58"/>
      <c r="G61" s="10"/>
      <c r="H61" s="65"/>
      <c r="I61" s="62"/>
    </row>
    <row r="62" spans="1:9" ht="15.75" hidden="1" customHeight="1">
      <c r="A62" s="21"/>
      <c r="B62" s="40" t="s">
        <v>169</v>
      </c>
      <c r="C62" s="41" t="s">
        <v>89</v>
      </c>
      <c r="D62" s="40" t="s">
        <v>54</v>
      </c>
      <c r="E62" s="57">
        <v>1040.4000000000001</v>
      </c>
      <c r="F62" s="58">
        <f>E62/100</f>
        <v>10.404000000000002</v>
      </c>
      <c r="G62" s="10">
        <v>902.66</v>
      </c>
      <c r="H62" s="65">
        <f>G62*F62/1000</f>
        <v>9.3912746400000007</v>
      </c>
      <c r="I62" s="10">
        <v>0</v>
      </c>
    </row>
    <row r="63" spans="1:9" ht="15.75" customHeight="1">
      <c r="A63" s="21">
        <v>30</v>
      </c>
      <c r="B63" s="40" t="s">
        <v>131</v>
      </c>
      <c r="C63" s="41" t="s">
        <v>25</v>
      </c>
      <c r="D63" s="40" t="s">
        <v>132</v>
      </c>
      <c r="E63" s="57">
        <v>240</v>
      </c>
      <c r="F63" s="42">
        <v>2880</v>
      </c>
      <c r="G63" s="52">
        <v>1.2</v>
      </c>
      <c r="H63" s="58">
        <f>F63*G63/1000</f>
        <v>3.456</v>
      </c>
      <c r="I63" s="10">
        <f>2880/12*G63</f>
        <v>288</v>
      </c>
    </row>
    <row r="64" spans="1:9" ht="15.75" customHeight="1">
      <c r="A64" s="21"/>
      <c r="B64" s="79" t="s">
        <v>46</v>
      </c>
      <c r="C64" s="66"/>
      <c r="D64" s="67"/>
      <c r="E64" s="68"/>
      <c r="F64" s="69"/>
      <c r="G64" s="69"/>
      <c r="H64" s="70" t="s">
        <v>166</v>
      </c>
      <c r="I64" s="62"/>
    </row>
    <row r="65" spans="1:9" ht="15.75" hidden="1" customHeight="1">
      <c r="A65" s="21"/>
      <c r="B65" s="11" t="s">
        <v>48</v>
      </c>
      <c r="C65" s="13" t="s">
        <v>41</v>
      </c>
      <c r="D65" s="40" t="s">
        <v>68</v>
      </c>
      <c r="E65" s="15">
        <v>10</v>
      </c>
      <c r="F65" s="42">
        <f>10/100</f>
        <v>0.1</v>
      </c>
      <c r="G65" s="10">
        <v>86.74</v>
      </c>
      <c r="H65" s="71">
        <f t="shared" ref="H65:H80" si="11">SUM(F65*G65/1000)</f>
        <v>8.6739999999999994E-3</v>
      </c>
      <c r="I65" s="10">
        <v>0</v>
      </c>
    </row>
    <row r="66" spans="1:9" ht="15.75" customHeight="1">
      <c r="A66" s="21">
        <v>31</v>
      </c>
      <c r="B66" s="11" t="s">
        <v>49</v>
      </c>
      <c r="C66" s="13" t="s">
        <v>99</v>
      </c>
      <c r="D66" s="11" t="s">
        <v>54</v>
      </c>
      <c r="E66" s="57">
        <v>17532</v>
      </c>
      <c r="F66" s="10">
        <f>SUM(E66/100)</f>
        <v>175.32</v>
      </c>
      <c r="G66" s="10">
        <v>241.31</v>
      </c>
      <c r="H66" s="71">
        <f t="shared" si="11"/>
        <v>42.306469200000002</v>
      </c>
      <c r="I66" s="10">
        <f>F66*G66</f>
        <v>42306.4692</v>
      </c>
    </row>
    <row r="67" spans="1:9" ht="15.75" customHeight="1">
      <c r="A67" s="21">
        <v>32</v>
      </c>
      <c r="B67" s="11" t="s">
        <v>50</v>
      </c>
      <c r="C67" s="13" t="s">
        <v>100</v>
      </c>
      <c r="D67" s="11"/>
      <c r="E67" s="57">
        <v>17532</v>
      </c>
      <c r="F67" s="10">
        <f>SUM(E67/1000)</f>
        <v>17.532</v>
      </c>
      <c r="G67" s="10">
        <v>187.91</v>
      </c>
      <c r="H67" s="71">
        <f t="shared" si="11"/>
        <v>3.2944381199999997</v>
      </c>
      <c r="I67" s="10">
        <f>F67*G67</f>
        <v>3294.4381199999998</v>
      </c>
    </row>
    <row r="68" spans="1:9" ht="15.75" customHeight="1">
      <c r="A68" s="21">
        <v>33</v>
      </c>
      <c r="B68" s="11" t="s">
        <v>51</v>
      </c>
      <c r="C68" s="13" t="s">
        <v>80</v>
      </c>
      <c r="D68" s="11" t="s">
        <v>54</v>
      </c>
      <c r="E68" s="57">
        <v>1365</v>
      </c>
      <c r="F68" s="10">
        <f>SUM(E68/100)</f>
        <v>13.65</v>
      </c>
      <c r="G68" s="10">
        <v>2359.7199999999998</v>
      </c>
      <c r="H68" s="71">
        <f t="shared" si="11"/>
        <v>32.210177999999999</v>
      </c>
      <c r="I68" s="10">
        <f t="shared" ref="I68:I71" si="12">F68*G68</f>
        <v>32210.178</v>
      </c>
    </row>
    <row r="69" spans="1:9" ht="15.75" customHeight="1">
      <c r="A69" s="21">
        <v>34</v>
      </c>
      <c r="B69" s="72" t="s">
        <v>74</v>
      </c>
      <c r="C69" s="13" t="s">
        <v>33</v>
      </c>
      <c r="D69" s="11"/>
      <c r="E69" s="57">
        <v>15.6</v>
      </c>
      <c r="F69" s="10">
        <f>SUM(E69)</f>
        <v>15.6</v>
      </c>
      <c r="G69" s="10">
        <v>45.4</v>
      </c>
      <c r="H69" s="71">
        <f t="shared" si="11"/>
        <v>0.70823999999999998</v>
      </c>
      <c r="I69" s="10">
        <f t="shared" si="12"/>
        <v>708.24</v>
      </c>
    </row>
    <row r="70" spans="1:9" ht="15.75" customHeight="1">
      <c r="A70" s="21">
        <v>35</v>
      </c>
      <c r="B70" s="72" t="s">
        <v>172</v>
      </c>
      <c r="C70" s="13" t="s">
        <v>33</v>
      </c>
      <c r="D70" s="11"/>
      <c r="E70" s="57">
        <v>15.6</v>
      </c>
      <c r="F70" s="10">
        <f>SUM(E70)</f>
        <v>15.6</v>
      </c>
      <c r="G70" s="10">
        <v>42.35</v>
      </c>
      <c r="H70" s="71">
        <f t="shared" si="11"/>
        <v>0.66065999999999991</v>
      </c>
      <c r="I70" s="10">
        <f t="shared" si="12"/>
        <v>660.66</v>
      </c>
    </row>
    <row r="71" spans="1:9" ht="15.75" hidden="1" customHeight="1">
      <c r="A71" s="21"/>
      <c r="B71" s="11" t="s">
        <v>58</v>
      </c>
      <c r="C71" s="13" t="s">
        <v>59</v>
      </c>
      <c r="D71" s="11" t="s">
        <v>54</v>
      </c>
      <c r="E71" s="15">
        <v>4</v>
      </c>
      <c r="F71" s="42">
        <f>SUM(E71)</f>
        <v>4</v>
      </c>
      <c r="G71" s="10">
        <v>56.74</v>
      </c>
      <c r="H71" s="71">
        <f t="shared" si="11"/>
        <v>0.22696</v>
      </c>
      <c r="I71" s="10">
        <f t="shared" si="12"/>
        <v>226.96</v>
      </c>
    </row>
    <row r="72" spans="1:9" ht="15.75" customHeight="1">
      <c r="A72" s="21">
        <v>36</v>
      </c>
      <c r="B72" s="11" t="s">
        <v>133</v>
      </c>
      <c r="C72" s="13" t="s">
        <v>59</v>
      </c>
      <c r="D72" s="11" t="s">
        <v>30</v>
      </c>
      <c r="E72" s="15">
        <v>1</v>
      </c>
      <c r="F72" s="52">
        <v>12</v>
      </c>
      <c r="G72" s="10">
        <v>756.5</v>
      </c>
      <c r="H72" s="71">
        <f t="shared" si="11"/>
        <v>9.0779999999999994</v>
      </c>
      <c r="I72" s="10">
        <f>G72</f>
        <v>756.5</v>
      </c>
    </row>
    <row r="73" spans="1:9" ht="15.75" hidden="1" customHeight="1">
      <c r="A73" s="21"/>
      <c r="B73" s="45" t="s">
        <v>75</v>
      </c>
      <c r="C73" s="13"/>
      <c r="D73" s="11"/>
      <c r="E73" s="15"/>
      <c r="F73" s="10"/>
      <c r="G73" s="10"/>
      <c r="H73" s="71" t="s">
        <v>166</v>
      </c>
      <c r="I73" s="62"/>
    </row>
    <row r="74" spans="1:9" ht="15.75" hidden="1" customHeight="1">
      <c r="A74" s="21"/>
      <c r="B74" s="11" t="s">
        <v>134</v>
      </c>
      <c r="C74" s="13" t="s">
        <v>31</v>
      </c>
      <c r="D74" s="40" t="s">
        <v>68</v>
      </c>
      <c r="E74" s="15">
        <v>2</v>
      </c>
      <c r="F74" s="10">
        <v>2</v>
      </c>
      <c r="G74" s="10">
        <v>892.5</v>
      </c>
      <c r="H74" s="71">
        <f>G74*F74/1000</f>
        <v>1.7849999999999999</v>
      </c>
      <c r="I74" s="10">
        <v>0</v>
      </c>
    </row>
    <row r="75" spans="1:9" ht="15.75" hidden="1" customHeight="1">
      <c r="A75" s="21"/>
      <c r="B75" s="11" t="s">
        <v>119</v>
      </c>
      <c r="C75" s="13" t="s">
        <v>135</v>
      </c>
      <c r="D75" s="11"/>
      <c r="E75" s="15">
        <v>1</v>
      </c>
      <c r="F75" s="10">
        <v>1</v>
      </c>
      <c r="G75" s="10">
        <v>750</v>
      </c>
      <c r="H75" s="71">
        <f>G75*F75/1000</f>
        <v>0.75</v>
      </c>
      <c r="I75" s="10">
        <v>0</v>
      </c>
    </row>
    <row r="76" spans="1:9" ht="15.75" hidden="1" customHeight="1">
      <c r="A76" s="21">
        <v>35</v>
      </c>
      <c r="B76" s="11" t="s">
        <v>76</v>
      </c>
      <c r="C76" s="13" t="s">
        <v>78</v>
      </c>
      <c r="D76" s="11"/>
      <c r="E76" s="15">
        <v>2</v>
      </c>
      <c r="F76" s="10">
        <v>0.2</v>
      </c>
      <c r="G76" s="10">
        <v>570.54</v>
      </c>
      <c r="H76" s="71">
        <f t="shared" si="11"/>
        <v>0.114108</v>
      </c>
      <c r="I76" s="10">
        <f>G76*0.6</f>
        <v>342.32399999999996</v>
      </c>
    </row>
    <row r="77" spans="1:9" ht="15.75" hidden="1" customHeight="1">
      <c r="A77" s="21"/>
      <c r="B77" s="11" t="s">
        <v>77</v>
      </c>
      <c r="C77" s="13" t="s">
        <v>31</v>
      </c>
      <c r="D77" s="11"/>
      <c r="E77" s="15">
        <v>1</v>
      </c>
      <c r="F77" s="52">
        <v>1</v>
      </c>
      <c r="G77" s="10">
        <v>970.21</v>
      </c>
      <c r="H77" s="71">
        <f t="shared" si="11"/>
        <v>0.97021000000000002</v>
      </c>
      <c r="I77" s="10">
        <v>0</v>
      </c>
    </row>
    <row r="78" spans="1:9" ht="15.75" hidden="1" customHeight="1">
      <c r="A78" s="21"/>
      <c r="B78" s="11" t="s">
        <v>136</v>
      </c>
      <c r="C78" s="13" t="s">
        <v>98</v>
      </c>
      <c r="D78" s="11"/>
      <c r="E78" s="15">
        <v>1</v>
      </c>
      <c r="F78" s="42">
        <f>SUM(E78)</f>
        <v>1</v>
      </c>
      <c r="G78" s="10">
        <v>407.79</v>
      </c>
      <c r="H78" s="71">
        <f t="shared" si="11"/>
        <v>0.40779000000000004</v>
      </c>
      <c r="I78" s="10">
        <v>0</v>
      </c>
    </row>
    <row r="79" spans="1:9" ht="15.75" hidden="1" customHeight="1">
      <c r="A79" s="21"/>
      <c r="B79" s="76" t="s">
        <v>79</v>
      </c>
      <c r="C79" s="13"/>
      <c r="D79" s="11"/>
      <c r="E79" s="15"/>
      <c r="F79" s="10"/>
      <c r="G79" s="10" t="s">
        <v>166</v>
      </c>
      <c r="H79" s="71" t="s">
        <v>166</v>
      </c>
      <c r="I79" s="62"/>
    </row>
    <row r="80" spans="1:9" ht="15.75" hidden="1" customHeight="1">
      <c r="A80" s="21"/>
      <c r="B80" s="34" t="s">
        <v>104</v>
      </c>
      <c r="C80" s="13" t="s">
        <v>80</v>
      </c>
      <c r="D80" s="11"/>
      <c r="E80" s="15"/>
      <c r="F80" s="10">
        <v>0.6</v>
      </c>
      <c r="G80" s="10">
        <v>3138.65</v>
      </c>
      <c r="H80" s="71">
        <f t="shared" si="11"/>
        <v>1.8831900000000001</v>
      </c>
      <c r="I80" s="10">
        <v>0</v>
      </c>
    </row>
    <row r="81" spans="1:9" ht="15.75" hidden="1" customHeight="1">
      <c r="A81" s="21"/>
      <c r="B81" s="45" t="s">
        <v>95</v>
      </c>
      <c r="C81" s="13"/>
      <c r="D81" s="11"/>
      <c r="E81" s="53"/>
      <c r="F81" s="10"/>
      <c r="G81" s="10"/>
      <c r="H81" s="71"/>
      <c r="I81" s="10"/>
    </row>
    <row r="82" spans="1:9" ht="15.75" hidden="1" customHeight="1">
      <c r="A82" s="21"/>
      <c r="B82" s="40" t="s">
        <v>101</v>
      </c>
      <c r="C82" s="13"/>
      <c r="D82" s="11"/>
      <c r="E82" s="53"/>
      <c r="F82" s="10">
        <v>1</v>
      </c>
      <c r="G82" s="10">
        <v>21095</v>
      </c>
      <c r="H82" s="71">
        <f>G82*F82/1000</f>
        <v>21.094999999999999</v>
      </c>
      <c r="I82" s="10">
        <v>0</v>
      </c>
    </row>
    <row r="83" spans="1:9" ht="15.75" customHeight="1">
      <c r="A83" s="21"/>
      <c r="B83" s="80" t="s">
        <v>107</v>
      </c>
      <c r="C83" s="76"/>
      <c r="D83" s="23"/>
      <c r="E83" s="24"/>
      <c r="F83" s="75"/>
      <c r="G83" s="75"/>
      <c r="H83" s="73"/>
      <c r="I83" s="61"/>
    </row>
    <row r="84" spans="1:9" ht="31.5" hidden="1" customHeight="1">
      <c r="A84" s="21"/>
      <c r="B84" s="77" t="s">
        <v>137</v>
      </c>
      <c r="C84" s="13" t="s">
        <v>138</v>
      </c>
      <c r="D84" s="40" t="s">
        <v>68</v>
      </c>
      <c r="E84" s="15">
        <v>10</v>
      </c>
      <c r="F84" s="10">
        <v>10</v>
      </c>
      <c r="G84" s="10">
        <v>271.88</v>
      </c>
      <c r="H84" s="71">
        <f t="shared" ref="H84:H97" si="13">F84*G84/1000</f>
        <v>2.7188000000000003</v>
      </c>
      <c r="I84" s="10">
        <v>0</v>
      </c>
    </row>
    <row r="85" spans="1:9" ht="15.75" hidden="1" customHeight="1">
      <c r="A85" s="21"/>
      <c r="B85" s="77" t="s">
        <v>108</v>
      </c>
      <c r="C85" s="13" t="s">
        <v>84</v>
      </c>
      <c r="D85" s="40" t="s">
        <v>68</v>
      </c>
      <c r="E85" s="15">
        <v>100</v>
      </c>
      <c r="F85" s="10">
        <v>100</v>
      </c>
      <c r="G85" s="10">
        <v>111.84</v>
      </c>
      <c r="H85" s="71">
        <f t="shared" si="13"/>
        <v>11.183999999999999</v>
      </c>
      <c r="I85" s="10">
        <v>0</v>
      </c>
    </row>
    <row r="86" spans="1:9" ht="15.75" hidden="1" customHeight="1">
      <c r="A86" s="21">
        <v>36</v>
      </c>
      <c r="B86" s="77" t="s">
        <v>139</v>
      </c>
      <c r="C86" s="13" t="s">
        <v>140</v>
      </c>
      <c r="D86" s="40" t="s">
        <v>68</v>
      </c>
      <c r="E86" s="15">
        <v>30</v>
      </c>
      <c r="F86" s="10">
        <v>10</v>
      </c>
      <c r="G86" s="10">
        <v>972.09</v>
      </c>
      <c r="H86" s="71">
        <f t="shared" si="13"/>
        <v>9.7209000000000003</v>
      </c>
      <c r="I86" s="10">
        <f>G86</f>
        <v>972.09</v>
      </c>
    </row>
    <row r="87" spans="1:9" ht="15.75" hidden="1" customHeight="1">
      <c r="A87" s="21"/>
      <c r="B87" s="77" t="s">
        <v>141</v>
      </c>
      <c r="C87" s="13" t="s">
        <v>53</v>
      </c>
      <c r="D87" s="40" t="s">
        <v>68</v>
      </c>
      <c r="E87" s="15">
        <v>100</v>
      </c>
      <c r="F87" s="10">
        <v>1</v>
      </c>
      <c r="G87" s="10">
        <v>1829.52</v>
      </c>
      <c r="H87" s="71">
        <f t="shared" si="13"/>
        <v>1.82952</v>
      </c>
      <c r="I87" s="10">
        <v>0</v>
      </c>
    </row>
    <row r="88" spans="1:9" ht="31.5" hidden="1" customHeight="1">
      <c r="A88" s="21">
        <v>37</v>
      </c>
      <c r="B88" s="77" t="s">
        <v>142</v>
      </c>
      <c r="C88" s="13" t="s">
        <v>143</v>
      </c>
      <c r="D88" s="40" t="s">
        <v>68</v>
      </c>
      <c r="E88" s="15">
        <v>40</v>
      </c>
      <c r="F88" s="10">
        <v>4</v>
      </c>
      <c r="G88" s="10">
        <v>272.39</v>
      </c>
      <c r="H88" s="71">
        <f t="shared" si="13"/>
        <v>1.0895599999999999</v>
      </c>
      <c r="I88" s="10">
        <f>G88*((4+8+4)/10)</f>
        <v>435.82400000000001</v>
      </c>
    </row>
    <row r="89" spans="1:9" ht="31.5" hidden="1" customHeight="1">
      <c r="A89" s="21"/>
      <c r="B89" s="77" t="s">
        <v>144</v>
      </c>
      <c r="C89" s="13" t="s">
        <v>84</v>
      </c>
      <c r="D89" s="40" t="s">
        <v>68</v>
      </c>
      <c r="E89" s="15">
        <v>15</v>
      </c>
      <c r="F89" s="10">
        <v>15</v>
      </c>
      <c r="G89" s="10">
        <v>1430.02</v>
      </c>
      <c r="H89" s="71">
        <f t="shared" si="13"/>
        <v>21.450299999999999</v>
      </c>
      <c r="I89" s="10">
        <v>0</v>
      </c>
    </row>
    <row r="90" spans="1:9" ht="31.5" hidden="1" customHeight="1">
      <c r="A90" s="21"/>
      <c r="B90" s="77" t="s">
        <v>145</v>
      </c>
      <c r="C90" s="13" t="s">
        <v>84</v>
      </c>
      <c r="D90" s="40" t="s">
        <v>68</v>
      </c>
      <c r="E90" s="15">
        <v>10</v>
      </c>
      <c r="F90" s="10">
        <v>10</v>
      </c>
      <c r="G90" s="10">
        <v>1743.04</v>
      </c>
      <c r="H90" s="71">
        <f t="shared" si="13"/>
        <v>17.430400000000002</v>
      </c>
      <c r="I90" s="10">
        <v>0</v>
      </c>
    </row>
    <row r="91" spans="1:9" ht="31.5" hidden="1" customHeight="1">
      <c r="A91" s="21"/>
      <c r="B91" s="77" t="s">
        <v>146</v>
      </c>
      <c r="C91" s="13" t="s">
        <v>84</v>
      </c>
      <c r="D91" s="40" t="s">
        <v>68</v>
      </c>
      <c r="E91" s="15">
        <v>20</v>
      </c>
      <c r="F91" s="10">
        <v>20</v>
      </c>
      <c r="G91" s="10">
        <v>607.27</v>
      </c>
      <c r="H91" s="71">
        <f t="shared" si="13"/>
        <v>12.1454</v>
      </c>
      <c r="I91" s="10">
        <v>0</v>
      </c>
    </row>
    <row r="92" spans="1:9" ht="31.5" hidden="1" customHeight="1">
      <c r="A92" s="21"/>
      <c r="B92" s="77" t="s">
        <v>147</v>
      </c>
      <c r="C92" s="13" t="s">
        <v>84</v>
      </c>
      <c r="D92" s="40" t="s">
        <v>68</v>
      </c>
      <c r="E92" s="15">
        <v>30</v>
      </c>
      <c r="F92" s="10">
        <v>30</v>
      </c>
      <c r="G92" s="10">
        <v>711.93</v>
      </c>
      <c r="H92" s="71">
        <f t="shared" si="13"/>
        <v>21.357899999999997</v>
      </c>
      <c r="I92" s="10">
        <v>0</v>
      </c>
    </row>
    <row r="93" spans="1:9" ht="15.75" hidden="1" customHeight="1">
      <c r="A93" s="21"/>
      <c r="B93" s="77" t="s">
        <v>109</v>
      </c>
      <c r="C93" s="13" t="s">
        <v>31</v>
      </c>
      <c r="D93" s="40" t="s">
        <v>68</v>
      </c>
      <c r="E93" s="15">
        <v>10</v>
      </c>
      <c r="F93" s="10">
        <v>10</v>
      </c>
      <c r="G93" s="10">
        <v>455.31</v>
      </c>
      <c r="H93" s="71">
        <f t="shared" si="13"/>
        <v>4.5531000000000006</v>
      </c>
      <c r="I93" s="10">
        <v>0</v>
      </c>
    </row>
    <row r="94" spans="1:9" ht="31.5" hidden="1" customHeight="1">
      <c r="A94" s="21"/>
      <c r="B94" s="77" t="s">
        <v>148</v>
      </c>
      <c r="C94" s="13" t="s">
        <v>84</v>
      </c>
      <c r="D94" s="40" t="s">
        <v>68</v>
      </c>
      <c r="E94" s="15">
        <v>30</v>
      </c>
      <c r="F94" s="10">
        <v>30</v>
      </c>
      <c r="G94" s="10">
        <v>1155.7</v>
      </c>
      <c r="H94" s="71">
        <f t="shared" si="13"/>
        <v>34.670999999999999</v>
      </c>
      <c r="I94" s="10">
        <v>0</v>
      </c>
    </row>
    <row r="95" spans="1:9" ht="31.5" customHeight="1">
      <c r="A95" s="21">
        <v>37</v>
      </c>
      <c r="B95" s="77" t="s">
        <v>149</v>
      </c>
      <c r="C95" s="13" t="s">
        <v>29</v>
      </c>
      <c r="D95" s="11" t="s">
        <v>43</v>
      </c>
      <c r="E95" s="15">
        <v>1040.4000000000001</v>
      </c>
      <c r="F95" s="10">
        <f>E95*2/1000</f>
        <v>2.0808</v>
      </c>
      <c r="G95" s="10">
        <v>1560.98</v>
      </c>
      <c r="H95" s="71">
        <f t="shared" si="13"/>
        <v>3.2480871840000001</v>
      </c>
      <c r="I95" s="10">
        <f>F95/2*G95</f>
        <v>1624.043592</v>
      </c>
    </row>
    <row r="96" spans="1:9" ht="31.5" hidden="1" customHeight="1">
      <c r="A96" s="21"/>
      <c r="B96" s="77" t="s">
        <v>150</v>
      </c>
      <c r="C96" s="21" t="s">
        <v>152</v>
      </c>
      <c r="D96" s="40" t="s">
        <v>68</v>
      </c>
      <c r="E96" s="15">
        <v>100</v>
      </c>
      <c r="F96" s="10">
        <v>1</v>
      </c>
      <c r="G96" s="10">
        <v>12859.93</v>
      </c>
      <c r="H96" s="71">
        <f t="shared" si="13"/>
        <v>12.85993</v>
      </c>
      <c r="I96" s="10">
        <v>0</v>
      </c>
    </row>
    <row r="97" spans="1:9" ht="15.75" hidden="1" customHeight="1">
      <c r="A97" s="21"/>
      <c r="B97" s="77" t="s">
        <v>151</v>
      </c>
      <c r="C97" s="13" t="s">
        <v>29</v>
      </c>
      <c r="D97" s="11" t="s">
        <v>43</v>
      </c>
      <c r="E97" s="15">
        <v>1040.4000000000001</v>
      </c>
      <c r="F97" s="10">
        <v>2.08</v>
      </c>
      <c r="G97" s="10">
        <v>1453.29</v>
      </c>
      <c r="H97" s="71">
        <f t="shared" si="13"/>
        <v>3.0228432000000001</v>
      </c>
      <c r="I97" s="10">
        <v>0</v>
      </c>
    </row>
    <row r="98" spans="1:9" ht="15.75" customHeight="1">
      <c r="A98" s="133" t="s">
        <v>161</v>
      </c>
      <c r="B98" s="134"/>
      <c r="C98" s="134"/>
      <c r="D98" s="134"/>
      <c r="E98" s="134"/>
      <c r="F98" s="134"/>
      <c r="G98" s="134"/>
      <c r="H98" s="134"/>
      <c r="I98" s="135"/>
    </row>
    <row r="99" spans="1:9" ht="15.75" customHeight="1">
      <c r="A99" s="21">
        <v>38</v>
      </c>
      <c r="B99" s="77" t="s">
        <v>102</v>
      </c>
      <c r="C99" s="13" t="s">
        <v>55</v>
      </c>
      <c r="D99" s="51" t="s">
        <v>56</v>
      </c>
      <c r="E99" s="10">
        <v>3455.3</v>
      </c>
      <c r="F99" s="10">
        <v>41463.599999999999</v>
      </c>
      <c r="G99" s="10">
        <v>2.7</v>
      </c>
      <c r="H99" s="71">
        <f>SUM(F99*G99/1000)</f>
        <v>111.95171999999999</v>
      </c>
      <c r="I99" s="10">
        <f>F99/12*G99</f>
        <v>9329.31</v>
      </c>
    </row>
    <row r="100" spans="1:9" ht="31.5" customHeight="1">
      <c r="A100" s="21">
        <v>39</v>
      </c>
      <c r="B100" s="11" t="s">
        <v>81</v>
      </c>
      <c r="C100" s="13"/>
      <c r="D100" s="51" t="s">
        <v>56</v>
      </c>
      <c r="E100" s="57">
        <f>E99</f>
        <v>3455.3</v>
      </c>
      <c r="F100" s="10">
        <f>E100*12</f>
        <v>41463.600000000006</v>
      </c>
      <c r="G100" s="10">
        <v>3.05</v>
      </c>
      <c r="H100" s="71">
        <f>F100*G100/1000</f>
        <v>126.46398000000001</v>
      </c>
      <c r="I100" s="10">
        <f>F100/12*G100</f>
        <v>10538.665000000001</v>
      </c>
    </row>
    <row r="101" spans="1:9" ht="15.75" customHeight="1">
      <c r="A101" s="21"/>
      <c r="B101" s="27" t="s">
        <v>83</v>
      </c>
      <c r="C101" s="76"/>
      <c r="D101" s="74"/>
      <c r="E101" s="75"/>
      <c r="F101" s="75"/>
      <c r="G101" s="75"/>
      <c r="H101" s="73">
        <f>SUM(H100)</f>
        <v>126.46398000000001</v>
      </c>
      <c r="I101" s="75">
        <f>I100+I99+I95+I72+I70+I69+I68+I67+I66+I63+I57+I56+I55+I54+I53+I52+I51+I50+I49+I48+I47+I35+I34+I33+I32+I31+I28+I27+I26+I25+I24+I23+I22+I21+I20+I19+I18+I17+I16</f>
        <v>162105.00226511114</v>
      </c>
    </row>
    <row r="102" spans="1:9" ht="15.75" customHeight="1">
      <c r="A102" s="140" t="s">
        <v>61</v>
      </c>
      <c r="B102" s="141"/>
      <c r="C102" s="141"/>
      <c r="D102" s="141"/>
      <c r="E102" s="141"/>
      <c r="F102" s="141"/>
      <c r="G102" s="141"/>
      <c r="H102" s="141"/>
      <c r="I102" s="142"/>
    </row>
    <row r="103" spans="1:9" ht="19.5" customHeight="1">
      <c r="A103" s="21">
        <v>40</v>
      </c>
      <c r="B103" s="90" t="s">
        <v>202</v>
      </c>
      <c r="C103" s="112" t="s">
        <v>41</v>
      </c>
      <c r="D103" s="34"/>
      <c r="E103" s="10"/>
      <c r="F103" s="10">
        <v>5</v>
      </c>
      <c r="G103" s="110">
        <v>7709.44</v>
      </c>
      <c r="H103" s="71">
        <f t="shared" ref="H103" si="14">G103*F103/1000</f>
        <v>38.547199999999997</v>
      </c>
      <c r="I103" s="10">
        <f>G103*0.02</f>
        <v>154.18879999999999</v>
      </c>
    </row>
    <row r="104" spans="1:9" ht="15.75" customHeight="1">
      <c r="A104" s="21">
        <v>41</v>
      </c>
      <c r="B104" s="37" t="s">
        <v>85</v>
      </c>
      <c r="C104" s="59" t="s">
        <v>98</v>
      </c>
      <c r="D104" s="34"/>
      <c r="E104" s="10"/>
      <c r="F104" s="10">
        <v>11</v>
      </c>
      <c r="G104" s="10">
        <v>197.48</v>
      </c>
      <c r="H104" s="87">
        <f>G104*F104/1000</f>
        <v>2.1722799999999998</v>
      </c>
      <c r="I104" s="10">
        <f>G104*1</f>
        <v>197.48</v>
      </c>
    </row>
    <row r="105" spans="1:9" ht="15.75" customHeight="1">
      <c r="A105" s="21">
        <v>42</v>
      </c>
      <c r="B105" s="39" t="s">
        <v>210</v>
      </c>
      <c r="C105" s="88" t="s">
        <v>186</v>
      </c>
      <c r="D105" s="34"/>
      <c r="E105" s="10"/>
      <c r="F105" s="10"/>
      <c r="G105" s="26">
        <v>147.34</v>
      </c>
      <c r="H105" s="87"/>
      <c r="I105" s="10">
        <f>G105</f>
        <v>147.34</v>
      </c>
    </row>
    <row r="106" spans="1:9" ht="31.5" customHeight="1">
      <c r="A106" s="21">
        <v>43</v>
      </c>
      <c r="B106" s="90" t="s">
        <v>203</v>
      </c>
      <c r="C106" s="91" t="s">
        <v>91</v>
      </c>
      <c r="D106" s="38"/>
      <c r="E106" s="26"/>
      <c r="F106" s="26">
        <v>14</v>
      </c>
      <c r="G106" s="110">
        <v>1655.27</v>
      </c>
      <c r="H106" s="87">
        <f t="shared" ref="H106" si="15">G106*F106/1000</f>
        <v>23.173779999999997</v>
      </c>
      <c r="I106" s="10">
        <f>G106*1.04</f>
        <v>1721.4808</v>
      </c>
    </row>
    <row r="107" spans="1:9">
      <c r="A107" s="21"/>
      <c r="B107" s="32" t="s">
        <v>52</v>
      </c>
      <c r="C107" s="28"/>
      <c r="D107" s="35"/>
      <c r="E107" s="28">
        <v>1</v>
      </c>
      <c r="F107" s="28"/>
      <c r="G107" s="28"/>
      <c r="H107" s="28"/>
      <c r="I107" s="24">
        <f>SUM(I103:I106)</f>
        <v>2220.4895999999999</v>
      </c>
    </row>
    <row r="108" spans="1:9">
      <c r="A108" s="21"/>
      <c r="B108" s="34" t="s">
        <v>82</v>
      </c>
      <c r="C108" s="12"/>
      <c r="D108" s="12"/>
      <c r="E108" s="29"/>
      <c r="F108" s="29"/>
      <c r="G108" s="30"/>
      <c r="H108" s="30"/>
      <c r="I108" s="14">
        <v>0</v>
      </c>
    </row>
    <row r="109" spans="1:9" ht="15.75" customHeight="1">
      <c r="A109" s="36"/>
      <c r="B109" s="33" t="s">
        <v>184</v>
      </c>
      <c r="C109" s="25"/>
      <c r="D109" s="25"/>
      <c r="E109" s="25"/>
      <c r="F109" s="25"/>
      <c r="G109" s="25"/>
      <c r="H109" s="25"/>
      <c r="I109" s="31">
        <f>I101+I107</f>
        <v>164325.49186511114</v>
      </c>
    </row>
    <row r="110" spans="1:9" ht="15.75">
      <c r="A110" s="136" t="s">
        <v>211</v>
      </c>
      <c r="B110" s="136"/>
      <c r="C110" s="136"/>
      <c r="D110" s="136"/>
      <c r="E110" s="136"/>
      <c r="F110" s="136"/>
      <c r="G110" s="136"/>
      <c r="H110" s="136"/>
      <c r="I110" s="136"/>
    </row>
    <row r="111" spans="1:9" ht="15.75">
      <c r="A111" s="50"/>
      <c r="B111" s="137" t="s">
        <v>212</v>
      </c>
      <c r="C111" s="137"/>
      <c r="D111" s="137"/>
      <c r="E111" s="137"/>
      <c r="F111" s="137"/>
      <c r="G111" s="137"/>
      <c r="H111" s="56"/>
      <c r="I111" s="2"/>
    </row>
    <row r="112" spans="1:9">
      <c r="A112" s="44"/>
      <c r="B112" s="124" t="s">
        <v>6</v>
      </c>
      <c r="C112" s="124"/>
      <c r="D112" s="124"/>
      <c r="E112" s="124"/>
      <c r="F112" s="124"/>
      <c r="G112" s="124"/>
      <c r="H112" s="16"/>
      <c r="I112" s="4"/>
    </row>
    <row r="113" spans="1:9">
      <c r="A113" s="7"/>
      <c r="B113" s="7"/>
      <c r="C113" s="7"/>
      <c r="D113" s="7"/>
      <c r="E113" s="7"/>
      <c r="F113" s="7"/>
      <c r="G113" s="7"/>
      <c r="H113" s="7"/>
      <c r="I113" s="7"/>
    </row>
    <row r="114" spans="1:9" ht="15.75" customHeight="1">
      <c r="A114" s="138" t="s">
        <v>7</v>
      </c>
      <c r="B114" s="138"/>
      <c r="C114" s="138"/>
      <c r="D114" s="138"/>
      <c r="E114" s="138"/>
      <c r="F114" s="138"/>
      <c r="G114" s="138"/>
      <c r="H114" s="138"/>
      <c r="I114" s="138"/>
    </row>
    <row r="115" spans="1:9" ht="15.75" customHeight="1">
      <c r="A115" s="138" t="s">
        <v>8</v>
      </c>
      <c r="B115" s="138"/>
      <c r="C115" s="138"/>
      <c r="D115" s="138"/>
      <c r="E115" s="138"/>
      <c r="F115" s="138"/>
      <c r="G115" s="138"/>
      <c r="H115" s="138"/>
      <c r="I115" s="138"/>
    </row>
    <row r="116" spans="1:9" ht="15.75" customHeight="1">
      <c r="A116" s="139" t="s">
        <v>62</v>
      </c>
      <c r="B116" s="139"/>
      <c r="C116" s="139"/>
      <c r="D116" s="139"/>
      <c r="E116" s="139"/>
      <c r="F116" s="139"/>
      <c r="G116" s="139"/>
      <c r="H116" s="139"/>
      <c r="I116" s="139"/>
    </row>
    <row r="117" spans="1:9" ht="15.75" customHeight="1">
      <c r="A117" s="8"/>
    </row>
    <row r="118" spans="1:9" ht="15.75" customHeight="1">
      <c r="A118" s="128" t="s">
        <v>9</v>
      </c>
      <c r="B118" s="128"/>
      <c r="C118" s="128"/>
      <c r="D118" s="128"/>
      <c r="E118" s="128"/>
      <c r="F118" s="128"/>
      <c r="G118" s="128"/>
      <c r="H118" s="128"/>
      <c r="I118" s="128"/>
    </row>
    <row r="119" spans="1:9" ht="15.75" customHeight="1">
      <c r="A119" s="3"/>
    </row>
    <row r="120" spans="1:9" ht="15.75" customHeight="1">
      <c r="B120" s="46" t="s">
        <v>10</v>
      </c>
      <c r="C120" s="123" t="s">
        <v>158</v>
      </c>
      <c r="D120" s="123"/>
      <c r="E120" s="123"/>
      <c r="F120" s="54"/>
      <c r="I120" s="48"/>
    </row>
    <row r="121" spans="1:9">
      <c r="A121" s="44"/>
      <c r="C121" s="124" t="s">
        <v>11</v>
      </c>
      <c r="D121" s="124"/>
      <c r="E121" s="124"/>
      <c r="F121" s="16"/>
      <c r="I121" s="49" t="s">
        <v>12</v>
      </c>
    </row>
    <row r="122" spans="1:9" ht="15.75">
      <c r="A122" s="17"/>
      <c r="C122" s="9"/>
      <c r="D122" s="9"/>
      <c r="G122" s="9"/>
      <c r="H122" s="9"/>
    </row>
    <row r="123" spans="1:9" ht="15.75">
      <c r="B123" s="46" t="s">
        <v>13</v>
      </c>
      <c r="C123" s="125"/>
      <c r="D123" s="125"/>
      <c r="E123" s="125"/>
      <c r="F123" s="55"/>
      <c r="I123" s="48"/>
    </row>
    <row r="124" spans="1:9">
      <c r="A124" s="44"/>
      <c r="C124" s="126" t="s">
        <v>11</v>
      </c>
      <c r="D124" s="126"/>
      <c r="E124" s="126"/>
      <c r="F124" s="44"/>
      <c r="I124" s="49" t="s">
        <v>12</v>
      </c>
    </row>
    <row r="125" spans="1:9" ht="15.75">
      <c r="A125" s="3" t="s">
        <v>14</v>
      </c>
    </row>
    <row r="126" spans="1:9">
      <c r="A126" s="127" t="s">
        <v>15</v>
      </c>
      <c r="B126" s="127"/>
      <c r="C126" s="127"/>
      <c r="D126" s="127"/>
      <c r="E126" s="127"/>
      <c r="F126" s="127"/>
      <c r="G126" s="127"/>
      <c r="H126" s="127"/>
      <c r="I126" s="127"/>
    </row>
    <row r="127" spans="1:9" ht="45" customHeight="1">
      <c r="A127" s="122" t="s">
        <v>16</v>
      </c>
      <c r="B127" s="122"/>
      <c r="C127" s="122"/>
      <c r="D127" s="122"/>
      <c r="E127" s="122"/>
      <c r="F127" s="122"/>
      <c r="G127" s="122"/>
      <c r="H127" s="122"/>
      <c r="I127" s="122"/>
    </row>
    <row r="128" spans="1:9" ht="30" customHeight="1">
      <c r="A128" s="122" t="s">
        <v>17</v>
      </c>
      <c r="B128" s="122"/>
      <c r="C128" s="122"/>
      <c r="D128" s="122"/>
      <c r="E128" s="122"/>
      <c r="F128" s="122"/>
      <c r="G128" s="122"/>
      <c r="H128" s="122"/>
      <c r="I128" s="122"/>
    </row>
    <row r="129" spans="1:9" ht="30" customHeight="1">
      <c r="A129" s="122" t="s">
        <v>21</v>
      </c>
      <c r="B129" s="122"/>
      <c r="C129" s="122"/>
      <c r="D129" s="122"/>
      <c r="E129" s="122"/>
      <c r="F129" s="122"/>
      <c r="G129" s="122"/>
      <c r="H129" s="122"/>
      <c r="I129" s="122"/>
    </row>
    <row r="130" spans="1:9" ht="15" customHeight="1">
      <c r="A130" s="122" t="s">
        <v>20</v>
      </c>
      <c r="B130" s="122"/>
      <c r="C130" s="122"/>
      <c r="D130" s="122"/>
      <c r="E130" s="122"/>
      <c r="F130" s="122"/>
      <c r="G130" s="122"/>
      <c r="H130" s="122"/>
      <c r="I130" s="122"/>
    </row>
  </sheetData>
  <mergeCells count="28">
    <mergeCell ref="A14:I14"/>
    <mergeCell ref="A3:I3"/>
    <mergeCell ref="A4:I4"/>
    <mergeCell ref="A5:I5"/>
    <mergeCell ref="A8:I8"/>
    <mergeCell ref="A10:I10"/>
    <mergeCell ref="A118:I118"/>
    <mergeCell ref="A15:I15"/>
    <mergeCell ref="A29:I29"/>
    <mergeCell ref="A46:I46"/>
    <mergeCell ref="A58:I58"/>
    <mergeCell ref="A98:I98"/>
    <mergeCell ref="A110:I110"/>
    <mergeCell ref="B111:G111"/>
    <mergeCell ref="B112:G112"/>
    <mergeCell ref="A114:I114"/>
    <mergeCell ref="A115:I115"/>
    <mergeCell ref="A116:I116"/>
    <mergeCell ref="A102:I102"/>
    <mergeCell ref="A128:I128"/>
    <mergeCell ref="A129:I129"/>
    <mergeCell ref="A130:I130"/>
    <mergeCell ref="C120:E120"/>
    <mergeCell ref="C121:E121"/>
    <mergeCell ref="C123:E123"/>
    <mergeCell ref="C124:E124"/>
    <mergeCell ref="A126:I126"/>
    <mergeCell ref="A127:I127"/>
  </mergeCells>
  <pageMargins left="0.70866141732283472" right="0.70866141732283472" top="0.27559055118110237" bottom="0.27559055118110237" header="0.31496062992125984" footer="0.31496062992125984"/>
  <pageSetup paperSize="9" scale="61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31"/>
  <sheetViews>
    <sheetView topLeftCell="A73" workbookViewId="0">
      <selection activeCell="J103" sqref="J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1.285156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88</v>
      </c>
      <c r="I1" s="18"/>
    </row>
    <row r="2" spans="1:9" ht="15.75">
      <c r="A2" s="20" t="s">
        <v>63</v>
      </c>
    </row>
    <row r="3" spans="1:9" ht="15.75">
      <c r="A3" s="144" t="s">
        <v>177</v>
      </c>
      <c r="B3" s="144"/>
      <c r="C3" s="144"/>
      <c r="D3" s="144"/>
      <c r="E3" s="144"/>
      <c r="F3" s="144"/>
      <c r="G3" s="144"/>
      <c r="H3" s="144"/>
      <c r="I3" s="144"/>
    </row>
    <row r="4" spans="1:9" ht="31.5" customHeight="1">
      <c r="A4" s="145" t="s">
        <v>154</v>
      </c>
      <c r="B4" s="145"/>
      <c r="C4" s="145"/>
      <c r="D4" s="145"/>
      <c r="E4" s="145"/>
      <c r="F4" s="145"/>
      <c r="G4" s="145"/>
      <c r="H4" s="145"/>
      <c r="I4" s="145"/>
    </row>
    <row r="5" spans="1:9" ht="15.75">
      <c r="A5" s="144" t="s">
        <v>213</v>
      </c>
      <c r="B5" s="146"/>
      <c r="C5" s="146"/>
      <c r="D5" s="146"/>
      <c r="E5" s="146"/>
      <c r="F5" s="146"/>
      <c r="G5" s="146"/>
      <c r="H5" s="146"/>
      <c r="I5" s="146"/>
    </row>
    <row r="6" spans="1:9" ht="15.75">
      <c r="A6" s="1"/>
      <c r="B6" s="47"/>
      <c r="C6" s="47"/>
      <c r="D6" s="47"/>
      <c r="E6" s="47"/>
      <c r="F6" s="47"/>
      <c r="G6" s="47"/>
      <c r="H6" s="47"/>
      <c r="I6" s="22">
        <v>43281</v>
      </c>
    </row>
    <row r="7" spans="1:9" ht="15.75">
      <c r="B7" s="46"/>
      <c r="C7" s="46"/>
      <c r="D7" s="46"/>
      <c r="E7" s="2"/>
      <c r="F7" s="2"/>
      <c r="G7" s="2"/>
      <c r="H7" s="2"/>
    </row>
    <row r="8" spans="1:9" ht="78.75" customHeight="1">
      <c r="A8" s="147" t="s">
        <v>182</v>
      </c>
      <c r="B8" s="147"/>
      <c r="C8" s="147"/>
      <c r="D8" s="147"/>
      <c r="E8" s="147"/>
      <c r="F8" s="147"/>
      <c r="G8" s="147"/>
      <c r="H8" s="147"/>
      <c r="I8" s="147"/>
    </row>
    <row r="9" spans="1:9" ht="15.75">
      <c r="A9" s="3"/>
    </row>
    <row r="10" spans="1:9" ht="47.25" customHeight="1">
      <c r="A10" s="148" t="s">
        <v>183</v>
      </c>
      <c r="B10" s="148"/>
      <c r="C10" s="148"/>
      <c r="D10" s="148"/>
      <c r="E10" s="148"/>
      <c r="F10" s="148"/>
      <c r="G10" s="148"/>
      <c r="H10" s="148"/>
      <c r="I10" s="148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3" t="s">
        <v>60</v>
      </c>
      <c r="B14" s="143"/>
      <c r="C14" s="143"/>
      <c r="D14" s="143"/>
      <c r="E14" s="143"/>
      <c r="F14" s="143"/>
      <c r="G14" s="143"/>
      <c r="H14" s="143"/>
      <c r="I14" s="143"/>
    </row>
    <row r="15" spans="1:9" ht="15.75" customHeight="1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</row>
    <row r="16" spans="1:9" ht="15.75" customHeight="1">
      <c r="A16" s="21">
        <v>1</v>
      </c>
      <c r="B16" s="40" t="s">
        <v>110</v>
      </c>
      <c r="C16" s="41" t="s">
        <v>89</v>
      </c>
      <c r="D16" s="40" t="s">
        <v>155</v>
      </c>
      <c r="E16" s="57">
        <v>70.7</v>
      </c>
      <c r="F16" s="42">
        <f>SUM(E16*156/100)</f>
        <v>110.292</v>
      </c>
      <c r="G16" s="42">
        <v>199.46</v>
      </c>
      <c r="H16" s="58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40" t="s">
        <v>121</v>
      </c>
      <c r="C17" s="41" t="s">
        <v>89</v>
      </c>
      <c r="D17" s="40" t="s">
        <v>156</v>
      </c>
      <c r="E17" s="57">
        <v>282.8</v>
      </c>
      <c r="F17" s="42">
        <f>SUM(E17*104/100)</f>
        <v>294.11200000000002</v>
      </c>
      <c r="G17" s="42">
        <v>199.46</v>
      </c>
      <c r="H17" s="58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40" t="s">
        <v>122</v>
      </c>
      <c r="C18" s="41" t="s">
        <v>89</v>
      </c>
      <c r="D18" s="40" t="s">
        <v>157</v>
      </c>
      <c r="E18" s="57">
        <f>SUM(E16+E17)</f>
        <v>353.5</v>
      </c>
      <c r="F18" s="42">
        <f>SUM(E18*24/100)</f>
        <v>84.84</v>
      </c>
      <c r="G18" s="42">
        <v>573.83000000000004</v>
      </c>
      <c r="H18" s="58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1"/>
      <c r="B19" s="40" t="s">
        <v>111</v>
      </c>
      <c r="C19" s="41" t="s">
        <v>112</v>
      </c>
      <c r="D19" s="40" t="s">
        <v>113</v>
      </c>
      <c r="E19" s="57">
        <v>40</v>
      </c>
      <c r="F19" s="42">
        <f>SUM(E19/10)</f>
        <v>4</v>
      </c>
      <c r="G19" s="42">
        <v>193.55</v>
      </c>
      <c r="H19" s="58">
        <f t="shared" si="0"/>
        <v>0.7742</v>
      </c>
      <c r="I19" s="10">
        <v>0</v>
      </c>
    </row>
    <row r="20" spans="1:9" ht="15.75" hidden="1" customHeight="1">
      <c r="A20" s="21"/>
      <c r="B20" s="40" t="s">
        <v>114</v>
      </c>
      <c r="C20" s="41" t="s">
        <v>89</v>
      </c>
      <c r="D20" s="40" t="s">
        <v>43</v>
      </c>
      <c r="E20" s="57">
        <v>10.5</v>
      </c>
      <c r="F20" s="42">
        <f>E20*2/100</f>
        <v>0.21</v>
      </c>
      <c r="G20" s="42">
        <v>247.82</v>
      </c>
      <c r="H20" s="58">
        <f t="shared" si="0"/>
        <v>5.2042199999999997E-2</v>
      </c>
      <c r="I20" s="10">
        <v>0</v>
      </c>
    </row>
    <row r="21" spans="1:9" ht="15.75" hidden="1" customHeight="1">
      <c r="A21" s="21"/>
      <c r="B21" s="40" t="s">
        <v>115</v>
      </c>
      <c r="C21" s="41" t="s">
        <v>89</v>
      </c>
      <c r="D21" s="40" t="s">
        <v>43</v>
      </c>
      <c r="E21" s="57">
        <v>2.7</v>
      </c>
      <c r="F21" s="42">
        <f>SUM(E21*2/100)</f>
        <v>5.4000000000000006E-2</v>
      </c>
      <c r="G21" s="42">
        <v>245.81</v>
      </c>
      <c r="H21" s="58">
        <f t="shared" si="0"/>
        <v>1.3273740000000003E-2</v>
      </c>
      <c r="I21" s="10">
        <v>0</v>
      </c>
    </row>
    <row r="22" spans="1:9" ht="15.75" hidden="1" customHeight="1">
      <c r="A22" s="21"/>
      <c r="B22" s="40" t="s">
        <v>116</v>
      </c>
      <c r="C22" s="41" t="s">
        <v>53</v>
      </c>
      <c r="D22" s="40" t="s">
        <v>113</v>
      </c>
      <c r="E22" s="57">
        <v>357</v>
      </c>
      <c r="F22" s="42">
        <f>SUM(E22/100)</f>
        <v>3.57</v>
      </c>
      <c r="G22" s="42">
        <v>306.26</v>
      </c>
      <c r="H22" s="58">
        <f t="shared" si="0"/>
        <v>1.0933481999999999</v>
      </c>
      <c r="I22" s="10">
        <v>0</v>
      </c>
    </row>
    <row r="23" spans="1:9" ht="15.75" hidden="1" customHeight="1">
      <c r="A23" s="21"/>
      <c r="B23" s="40" t="s">
        <v>117</v>
      </c>
      <c r="C23" s="41" t="s">
        <v>53</v>
      </c>
      <c r="D23" s="40" t="s">
        <v>113</v>
      </c>
      <c r="E23" s="60">
        <v>38.64</v>
      </c>
      <c r="F23" s="42">
        <f>SUM(E23/100)</f>
        <v>0.38640000000000002</v>
      </c>
      <c r="G23" s="42">
        <v>50.37</v>
      </c>
      <c r="H23" s="58">
        <f t="shared" si="0"/>
        <v>1.9462968000000001E-2</v>
      </c>
      <c r="I23" s="10">
        <v>0</v>
      </c>
    </row>
    <row r="24" spans="1:9" ht="15.75" hidden="1" customHeight="1">
      <c r="A24" s="21"/>
      <c r="B24" s="40" t="s">
        <v>118</v>
      </c>
      <c r="C24" s="41" t="s">
        <v>53</v>
      </c>
      <c r="D24" s="40" t="s">
        <v>123</v>
      </c>
      <c r="E24" s="57">
        <v>15</v>
      </c>
      <c r="F24" s="42">
        <f>E24/100</f>
        <v>0.15</v>
      </c>
      <c r="G24" s="42">
        <v>443.27</v>
      </c>
      <c r="H24" s="58">
        <f t="shared" si="0"/>
        <v>6.6490499999999994E-2</v>
      </c>
      <c r="I24" s="10">
        <v>0</v>
      </c>
    </row>
    <row r="25" spans="1:9" ht="15.75" hidden="1" customHeight="1">
      <c r="A25" s="21"/>
      <c r="B25" s="40" t="s">
        <v>124</v>
      </c>
      <c r="C25" s="41" t="s">
        <v>89</v>
      </c>
      <c r="D25" s="40" t="s">
        <v>54</v>
      </c>
      <c r="E25" s="57">
        <v>14.25</v>
      </c>
      <c r="F25" s="42">
        <v>0.1</v>
      </c>
      <c r="G25" s="42">
        <v>245.81</v>
      </c>
      <c r="H25" s="58">
        <v>3.1E-2</v>
      </c>
      <c r="I25" s="10">
        <v>0</v>
      </c>
    </row>
    <row r="26" spans="1:9" ht="15.75" hidden="1" customHeight="1">
      <c r="A26" s="21"/>
      <c r="B26" s="40" t="s">
        <v>125</v>
      </c>
      <c r="C26" s="41" t="s">
        <v>53</v>
      </c>
      <c r="D26" s="40" t="s">
        <v>113</v>
      </c>
      <c r="E26" s="57">
        <v>6.38</v>
      </c>
      <c r="F26" s="42">
        <f>SUM(E26/100)</f>
        <v>6.3799999999999996E-2</v>
      </c>
      <c r="G26" s="42">
        <v>592.37</v>
      </c>
      <c r="H26" s="58">
        <f t="shared" si="0"/>
        <v>3.7793205999999996E-2</v>
      </c>
      <c r="I26" s="10">
        <v>0</v>
      </c>
    </row>
    <row r="27" spans="1:9" ht="15.75" customHeight="1">
      <c r="A27" s="21">
        <v>4</v>
      </c>
      <c r="B27" s="40" t="s">
        <v>65</v>
      </c>
      <c r="C27" s="41" t="s">
        <v>33</v>
      </c>
      <c r="D27" s="40"/>
      <c r="E27" s="57">
        <v>0.1</v>
      </c>
      <c r="F27" s="42">
        <f>SUM(E27*365)</f>
        <v>36.5</v>
      </c>
      <c r="G27" s="42">
        <v>167.24</v>
      </c>
      <c r="H27" s="58">
        <f>SUM(F27*G27/1000)</f>
        <v>6.10426</v>
      </c>
      <c r="I27" s="10">
        <f>F27/12*G27</f>
        <v>508.68833333333333</v>
      </c>
    </row>
    <row r="28" spans="1:9" ht="15.75" customHeight="1">
      <c r="A28" s="21">
        <v>5</v>
      </c>
      <c r="B28" s="64" t="s">
        <v>23</v>
      </c>
      <c r="C28" s="41" t="s">
        <v>24</v>
      </c>
      <c r="D28" s="40"/>
      <c r="E28" s="57">
        <v>2661.7</v>
      </c>
      <c r="F28" s="42">
        <f>SUM(E28*12)</f>
        <v>31940.399999999998</v>
      </c>
      <c r="G28" s="42">
        <v>5.58</v>
      </c>
      <c r="H28" s="58">
        <f>SUM(F28*G28/1000)</f>
        <v>178.22743199999999</v>
      </c>
      <c r="I28" s="10">
        <f>F28/12*G28</f>
        <v>14852.286</v>
      </c>
    </row>
    <row r="29" spans="1:9" ht="15.75" customHeight="1">
      <c r="A29" s="129" t="s">
        <v>87</v>
      </c>
      <c r="B29" s="129"/>
      <c r="C29" s="129"/>
      <c r="D29" s="129"/>
      <c r="E29" s="129"/>
      <c r="F29" s="129"/>
      <c r="G29" s="129"/>
      <c r="H29" s="129"/>
      <c r="I29" s="129"/>
    </row>
    <row r="30" spans="1:9" ht="15.75" customHeight="1">
      <c r="A30" s="21"/>
      <c r="B30" s="78" t="s">
        <v>28</v>
      </c>
      <c r="C30" s="41"/>
      <c r="D30" s="40"/>
      <c r="E30" s="57"/>
      <c r="F30" s="42"/>
      <c r="G30" s="42"/>
      <c r="H30" s="58"/>
      <c r="I30" s="62"/>
    </row>
    <row r="31" spans="1:9" ht="15.75" customHeight="1">
      <c r="A31" s="21">
        <v>6</v>
      </c>
      <c r="B31" s="40" t="s">
        <v>97</v>
      </c>
      <c r="C31" s="41" t="s">
        <v>91</v>
      </c>
      <c r="D31" s="40" t="s">
        <v>187</v>
      </c>
      <c r="E31" s="42">
        <v>573.6</v>
      </c>
      <c r="F31" s="42">
        <f>SUM(E31*52/1000)</f>
        <v>29.827200000000001</v>
      </c>
      <c r="G31" s="42">
        <v>177.3</v>
      </c>
      <c r="H31" s="58">
        <f t="shared" ref="H31:H37" si="2">SUM(F31*G31/1000)</f>
        <v>5.2883625600000004</v>
      </c>
      <c r="I31" s="10">
        <f>F31/6*G31</f>
        <v>881.39376000000016</v>
      </c>
    </row>
    <row r="32" spans="1:9" ht="31.5" customHeight="1">
      <c r="A32" s="21">
        <v>7</v>
      </c>
      <c r="B32" s="40" t="s">
        <v>170</v>
      </c>
      <c r="C32" s="41" t="s">
        <v>91</v>
      </c>
      <c r="D32" s="40" t="s">
        <v>188</v>
      </c>
      <c r="E32" s="42">
        <v>200</v>
      </c>
      <c r="F32" s="42">
        <f>SUM(E32*78/1000)</f>
        <v>15.6</v>
      </c>
      <c r="G32" s="42">
        <v>294.17</v>
      </c>
      <c r="H32" s="58">
        <f t="shared" si="2"/>
        <v>4.5890520000000006</v>
      </c>
      <c r="I32" s="10">
        <f t="shared" ref="I32:I35" si="3">F32/6*G32</f>
        <v>764.8420000000001</v>
      </c>
    </row>
    <row r="33" spans="1:9" ht="15.75" hidden="1" customHeight="1">
      <c r="A33" s="21">
        <v>16</v>
      </c>
      <c r="B33" s="40" t="s">
        <v>27</v>
      </c>
      <c r="C33" s="41" t="s">
        <v>91</v>
      </c>
      <c r="D33" s="40" t="s">
        <v>54</v>
      </c>
      <c r="E33" s="42">
        <v>573.6</v>
      </c>
      <c r="F33" s="42">
        <f>SUM(E33/1000)</f>
        <v>0.5736</v>
      </c>
      <c r="G33" s="42">
        <v>3435.36</v>
      </c>
      <c r="H33" s="58">
        <f t="shared" si="2"/>
        <v>1.9705224960000001</v>
      </c>
      <c r="I33" s="10">
        <f t="shared" si="3"/>
        <v>328.42041600000005</v>
      </c>
    </row>
    <row r="34" spans="1:9" ht="15.75" customHeight="1">
      <c r="A34" s="21">
        <v>8</v>
      </c>
      <c r="B34" s="40" t="s">
        <v>128</v>
      </c>
      <c r="C34" s="41" t="s">
        <v>41</v>
      </c>
      <c r="D34" s="40" t="s">
        <v>64</v>
      </c>
      <c r="E34" s="42">
        <v>1</v>
      </c>
      <c r="F34" s="42">
        <v>1.55</v>
      </c>
      <c r="G34" s="42">
        <v>1480.94</v>
      </c>
      <c r="H34" s="58">
        <f>G34*F34/1000</f>
        <v>2.2954570000000003</v>
      </c>
      <c r="I34" s="10">
        <f t="shared" si="3"/>
        <v>382.57616666666672</v>
      </c>
    </row>
    <row r="35" spans="1:9" ht="15.75" customHeight="1">
      <c r="A35" s="21">
        <v>9</v>
      </c>
      <c r="B35" s="40" t="s">
        <v>96</v>
      </c>
      <c r="C35" s="41" t="s">
        <v>31</v>
      </c>
      <c r="D35" s="40" t="s">
        <v>64</v>
      </c>
      <c r="E35" s="63">
        <v>0.33333333333333331</v>
      </c>
      <c r="F35" s="42">
        <f>155/3</f>
        <v>51.666666666666664</v>
      </c>
      <c r="G35" s="42">
        <v>64.48</v>
      </c>
      <c r="H35" s="58">
        <f>SUM(G35*155/3/1000)</f>
        <v>3.331466666666667</v>
      </c>
      <c r="I35" s="10">
        <f t="shared" si="3"/>
        <v>555.24444444444441</v>
      </c>
    </row>
    <row r="36" spans="1:9" ht="15.75" hidden="1" customHeight="1">
      <c r="A36" s="21"/>
      <c r="B36" s="40" t="s">
        <v>66</v>
      </c>
      <c r="C36" s="41" t="s">
        <v>33</v>
      </c>
      <c r="D36" s="40" t="s">
        <v>68</v>
      </c>
      <c r="E36" s="57"/>
      <c r="F36" s="42">
        <v>3</v>
      </c>
      <c r="G36" s="42">
        <v>217.61</v>
      </c>
      <c r="H36" s="58">
        <f t="shared" si="2"/>
        <v>0.65283000000000002</v>
      </c>
      <c r="I36" s="10">
        <v>0</v>
      </c>
    </row>
    <row r="37" spans="1:9" ht="15.75" hidden="1" customHeight="1">
      <c r="A37" s="21"/>
      <c r="B37" s="40" t="s">
        <v>67</v>
      </c>
      <c r="C37" s="41" t="s">
        <v>32</v>
      </c>
      <c r="D37" s="40" t="s">
        <v>68</v>
      </c>
      <c r="E37" s="57"/>
      <c r="F37" s="42">
        <v>2</v>
      </c>
      <c r="G37" s="42">
        <v>1292.47</v>
      </c>
      <c r="H37" s="58">
        <f t="shared" si="2"/>
        <v>2.58494</v>
      </c>
      <c r="I37" s="10">
        <v>0</v>
      </c>
    </row>
    <row r="38" spans="1:9" ht="15.75" hidden="1" customHeight="1">
      <c r="A38" s="21"/>
      <c r="B38" s="78" t="s">
        <v>5</v>
      </c>
      <c r="C38" s="41"/>
      <c r="D38" s="40"/>
      <c r="E38" s="57"/>
      <c r="F38" s="42"/>
      <c r="G38" s="42"/>
      <c r="H38" s="58" t="s">
        <v>166</v>
      </c>
      <c r="I38" s="62"/>
    </row>
    <row r="39" spans="1:9" ht="15.75" hidden="1" customHeight="1">
      <c r="A39" s="21">
        <v>6</v>
      </c>
      <c r="B39" s="40" t="s">
        <v>26</v>
      </c>
      <c r="C39" s="41" t="s">
        <v>32</v>
      </c>
      <c r="D39" s="40"/>
      <c r="E39" s="57"/>
      <c r="F39" s="42">
        <v>8</v>
      </c>
      <c r="G39" s="42">
        <v>1737.08</v>
      </c>
      <c r="H39" s="58">
        <f t="shared" ref="H39:H45" si="4">SUM(F39*G39/1000)</f>
        <v>13.89664</v>
      </c>
      <c r="I39" s="10">
        <f>F39/6*G39</f>
        <v>2316.1066666666666</v>
      </c>
    </row>
    <row r="40" spans="1:9" ht="15.75" hidden="1" customHeight="1">
      <c r="A40" s="21">
        <v>7</v>
      </c>
      <c r="B40" s="40" t="s">
        <v>69</v>
      </c>
      <c r="C40" s="41" t="s">
        <v>29</v>
      </c>
      <c r="D40" s="40" t="s">
        <v>105</v>
      </c>
      <c r="E40" s="42">
        <v>200</v>
      </c>
      <c r="F40" s="42">
        <f>SUM(E40*30/1000)</f>
        <v>6</v>
      </c>
      <c r="G40" s="42">
        <v>2391.67</v>
      </c>
      <c r="H40" s="58">
        <f t="shared" si="4"/>
        <v>14.350020000000001</v>
      </c>
      <c r="I40" s="10">
        <f>F40/6*G40</f>
        <v>2391.67</v>
      </c>
    </row>
    <row r="41" spans="1:9" ht="15.75" hidden="1" customHeight="1">
      <c r="A41" s="21"/>
      <c r="B41" s="40" t="s">
        <v>129</v>
      </c>
      <c r="C41" s="41" t="s">
        <v>55</v>
      </c>
      <c r="D41" s="40"/>
      <c r="E41" s="57"/>
      <c r="F41" s="42">
        <v>130</v>
      </c>
      <c r="G41" s="42">
        <v>226.84</v>
      </c>
      <c r="H41" s="58">
        <f t="shared" si="4"/>
        <v>29.4892</v>
      </c>
      <c r="I41" s="10">
        <v>0</v>
      </c>
    </row>
    <row r="42" spans="1:9" ht="15.75" hidden="1" customHeight="1">
      <c r="A42" s="21">
        <v>8</v>
      </c>
      <c r="B42" s="40" t="s">
        <v>70</v>
      </c>
      <c r="C42" s="41" t="s">
        <v>29</v>
      </c>
      <c r="D42" s="40" t="s">
        <v>90</v>
      </c>
      <c r="E42" s="42">
        <v>60</v>
      </c>
      <c r="F42" s="42">
        <f>SUM(E42*155/1000)</f>
        <v>9.3000000000000007</v>
      </c>
      <c r="G42" s="42">
        <v>398.95</v>
      </c>
      <c r="H42" s="58">
        <f t="shared" si="4"/>
        <v>3.7102349999999999</v>
      </c>
      <c r="I42" s="10">
        <f t="shared" ref="I42:I45" si="5">F42/6*G42</f>
        <v>618.37249999999995</v>
      </c>
    </row>
    <row r="43" spans="1:9" ht="47.25" hidden="1" customHeight="1">
      <c r="A43" s="21">
        <v>9</v>
      </c>
      <c r="B43" s="40" t="s">
        <v>86</v>
      </c>
      <c r="C43" s="41" t="s">
        <v>91</v>
      </c>
      <c r="D43" s="40" t="s">
        <v>130</v>
      </c>
      <c r="E43" s="42">
        <v>40.9</v>
      </c>
      <c r="F43" s="42">
        <f>SUM(E43*35/1000)</f>
        <v>1.4315</v>
      </c>
      <c r="G43" s="42">
        <v>6600.74</v>
      </c>
      <c r="H43" s="58">
        <f t="shared" si="4"/>
        <v>9.4489593099999993</v>
      </c>
      <c r="I43" s="10">
        <f t="shared" si="5"/>
        <v>1574.8265516666668</v>
      </c>
    </row>
    <row r="44" spans="1:9" ht="15.75" hidden="1" customHeight="1">
      <c r="A44" s="21">
        <v>10</v>
      </c>
      <c r="B44" s="40" t="s">
        <v>92</v>
      </c>
      <c r="C44" s="41" t="s">
        <v>91</v>
      </c>
      <c r="D44" s="40" t="s">
        <v>71</v>
      </c>
      <c r="E44" s="42">
        <v>60</v>
      </c>
      <c r="F44" s="42">
        <f>SUM(E44*45/1000)</f>
        <v>2.7</v>
      </c>
      <c r="G44" s="42">
        <v>487.61</v>
      </c>
      <c r="H44" s="58">
        <f t="shared" si="4"/>
        <v>1.3165470000000001</v>
      </c>
      <c r="I44" s="10">
        <f t="shared" si="5"/>
        <v>219.42450000000002</v>
      </c>
    </row>
    <row r="45" spans="1:9" ht="15.75" hidden="1" customHeight="1">
      <c r="A45" s="21">
        <v>11</v>
      </c>
      <c r="B45" s="40" t="s">
        <v>72</v>
      </c>
      <c r="C45" s="41" t="s">
        <v>33</v>
      </c>
      <c r="D45" s="40"/>
      <c r="E45" s="57"/>
      <c r="F45" s="42">
        <v>0.9</v>
      </c>
      <c r="G45" s="42">
        <v>907.65</v>
      </c>
      <c r="H45" s="58">
        <f t="shared" si="4"/>
        <v>0.81688499999999997</v>
      </c>
      <c r="I45" s="10">
        <f t="shared" si="5"/>
        <v>136.14749999999998</v>
      </c>
    </row>
    <row r="46" spans="1:9" ht="15.75" hidden="1" customHeight="1">
      <c r="A46" s="130" t="s">
        <v>159</v>
      </c>
      <c r="B46" s="131"/>
      <c r="C46" s="131"/>
      <c r="D46" s="131"/>
      <c r="E46" s="131"/>
      <c r="F46" s="131"/>
      <c r="G46" s="131"/>
      <c r="H46" s="131"/>
      <c r="I46" s="132"/>
    </row>
    <row r="47" spans="1:9" ht="15.75" hidden="1" customHeight="1">
      <c r="A47" s="21"/>
      <c r="B47" s="40" t="s">
        <v>167</v>
      </c>
      <c r="C47" s="41" t="s">
        <v>91</v>
      </c>
      <c r="D47" s="40" t="s">
        <v>43</v>
      </c>
      <c r="E47" s="57">
        <v>1300.5</v>
      </c>
      <c r="F47" s="42">
        <f>SUM(E47/1000)*2</f>
        <v>2.601</v>
      </c>
      <c r="G47" s="10">
        <v>1173.18</v>
      </c>
      <c r="H47" s="58">
        <f t="shared" ref="H47:H57" si="6">SUM(F47*G47/1000)</f>
        <v>3.0514411800000003</v>
      </c>
      <c r="I47" s="10">
        <v>0</v>
      </c>
    </row>
    <row r="48" spans="1:9" ht="15.75" hidden="1" customHeight="1">
      <c r="A48" s="21"/>
      <c r="B48" s="40" t="s">
        <v>36</v>
      </c>
      <c r="C48" s="41" t="s">
        <v>91</v>
      </c>
      <c r="D48" s="40" t="s">
        <v>43</v>
      </c>
      <c r="E48" s="57">
        <v>52</v>
      </c>
      <c r="F48" s="42">
        <f>SUM(E48*2/1000)</f>
        <v>0.104</v>
      </c>
      <c r="G48" s="10">
        <v>659.09</v>
      </c>
      <c r="H48" s="58">
        <f t="shared" si="6"/>
        <v>6.854536E-2</v>
      </c>
      <c r="I48" s="10">
        <v>0</v>
      </c>
    </row>
    <row r="49" spans="1:9" ht="15.75" hidden="1" customHeight="1">
      <c r="A49" s="21"/>
      <c r="B49" s="40" t="s">
        <v>37</v>
      </c>
      <c r="C49" s="41" t="s">
        <v>91</v>
      </c>
      <c r="D49" s="40" t="s">
        <v>43</v>
      </c>
      <c r="E49" s="57">
        <v>1483.1</v>
      </c>
      <c r="F49" s="42">
        <f>SUM(E49*2/1000)</f>
        <v>2.9661999999999997</v>
      </c>
      <c r="G49" s="10">
        <v>1564.24</v>
      </c>
      <c r="H49" s="58">
        <f t="shared" si="6"/>
        <v>4.6398486879999998</v>
      </c>
      <c r="I49" s="10">
        <v>0</v>
      </c>
    </row>
    <row r="50" spans="1:9" ht="15.75" hidden="1" customHeight="1">
      <c r="A50" s="21"/>
      <c r="B50" s="40" t="s">
        <v>38</v>
      </c>
      <c r="C50" s="41" t="s">
        <v>91</v>
      </c>
      <c r="D50" s="40" t="s">
        <v>43</v>
      </c>
      <c r="E50" s="57">
        <v>2320</v>
      </c>
      <c r="F50" s="42">
        <f>SUM(E50*2/1000)</f>
        <v>4.6399999999999997</v>
      </c>
      <c r="G50" s="10">
        <v>1078.3599999999999</v>
      </c>
      <c r="H50" s="58">
        <f t="shared" si="6"/>
        <v>5.0035903999999993</v>
      </c>
      <c r="I50" s="10">
        <v>0</v>
      </c>
    </row>
    <row r="51" spans="1:9" ht="15.75" hidden="1" customHeight="1">
      <c r="A51" s="21"/>
      <c r="B51" s="40" t="s">
        <v>34</v>
      </c>
      <c r="C51" s="41" t="s">
        <v>35</v>
      </c>
      <c r="D51" s="40" t="s">
        <v>43</v>
      </c>
      <c r="E51" s="57">
        <v>91.84</v>
      </c>
      <c r="F51" s="42">
        <f>SUM(E51*2/100)</f>
        <v>1.8368</v>
      </c>
      <c r="G51" s="10">
        <v>82.82</v>
      </c>
      <c r="H51" s="58">
        <f t="shared" si="6"/>
        <v>0.15212377599999999</v>
      </c>
      <c r="I51" s="10">
        <v>0</v>
      </c>
    </row>
    <row r="52" spans="1:9" ht="15.75" hidden="1" customHeight="1">
      <c r="A52" s="21">
        <v>12</v>
      </c>
      <c r="B52" s="40" t="s">
        <v>57</v>
      </c>
      <c r="C52" s="41" t="s">
        <v>91</v>
      </c>
      <c r="D52" s="40" t="s">
        <v>171</v>
      </c>
      <c r="E52" s="57">
        <v>1040.4000000000001</v>
      </c>
      <c r="F52" s="42">
        <f>SUM(E52*5/1000)</f>
        <v>5.202</v>
      </c>
      <c r="G52" s="10">
        <v>1564.24</v>
      </c>
      <c r="H52" s="58">
        <f>SUM(F52*G52/1000)</f>
        <v>8.1371764800000008</v>
      </c>
      <c r="I52" s="10">
        <f>F52/5*G52</f>
        <v>1627.4352960000001</v>
      </c>
    </row>
    <row r="53" spans="1:9" ht="31.5" hidden="1" customHeight="1">
      <c r="A53" s="21"/>
      <c r="B53" s="40" t="s">
        <v>93</v>
      </c>
      <c r="C53" s="41" t="s">
        <v>91</v>
      </c>
      <c r="D53" s="40" t="s">
        <v>43</v>
      </c>
      <c r="E53" s="57">
        <v>1040.4000000000001</v>
      </c>
      <c r="F53" s="42">
        <f>SUM(E53*2/1000)</f>
        <v>2.0808</v>
      </c>
      <c r="G53" s="10">
        <v>1380.31</v>
      </c>
      <c r="H53" s="58">
        <f t="shared" si="6"/>
        <v>2.8721490479999998</v>
      </c>
      <c r="I53" s="10">
        <v>0</v>
      </c>
    </row>
    <row r="54" spans="1:9" ht="31.5" hidden="1" customHeight="1">
      <c r="A54" s="21"/>
      <c r="B54" s="40" t="s">
        <v>94</v>
      </c>
      <c r="C54" s="41" t="s">
        <v>39</v>
      </c>
      <c r="D54" s="40" t="s">
        <v>43</v>
      </c>
      <c r="E54" s="57">
        <v>20</v>
      </c>
      <c r="F54" s="42">
        <f>SUM(E54*2/100)</f>
        <v>0.4</v>
      </c>
      <c r="G54" s="10">
        <v>3519.56</v>
      </c>
      <c r="H54" s="58">
        <f t="shared" si="6"/>
        <v>1.407824</v>
      </c>
      <c r="I54" s="10">
        <v>0</v>
      </c>
    </row>
    <row r="55" spans="1:9" ht="15.75" hidden="1" customHeight="1">
      <c r="A55" s="21"/>
      <c r="B55" s="40" t="s">
        <v>40</v>
      </c>
      <c r="C55" s="41" t="s">
        <v>41</v>
      </c>
      <c r="D55" s="40" t="s">
        <v>43</v>
      </c>
      <c r="E55" s="57">
        <v>1</v>
      </c>
      <c r="F55" s="42">
        <v>0.02</v>
      </c>
      <c r="G55" s="10">
        <v>6428.82</v>
      </c>
      <c r="H55" s="58">
        <f t="shared" si="6"/>
        <v>0.12857640000000001</v>
      </c>
      <c r="I55" s="10">
        <v>0</v>
      </c>
    </row>
    <row r="56" spans="1:9" ht="15.75" hidden="1" customHeight="1">
      <c r="A56" s="21">
        <v>13</v>
      </c>
      <c r="B56" s="40" t="s">
        <v>103</v>
      </c>
      <c r="C56" s="41" t="s">
        <v>98</v>
      </c>
      <c r="D56" s="40" t="s">
        <v>73</v>
      </c>
      <c r="E56" s="57">
        <v>56</v>
      </c>
      <c r="F56" s="42">
        <f>SUM(E56*3)</f>
        <v>168</v>
      </c>
      <c r="G56" s="10">
        <v>160.51</v>
      </c>
      <c r="H56" s="58">
        <f t="shared" si="6"/>
        <v>26.965679999999999</v>
      </c>
      <c r="I56" s="10">
        <f>E56*G56</f>
        <v>8988.56</v>
      </c>
    </row>
    <row r="57" spans="1:9" ht="15.75" hidden="1" customHeight="1">
      <c r="A57" s="21">
        <v>14</v>
      </c>
      <c r="B57" s="40" t="s">
        <v>42</v>
      </c>
      <c r="C57" s="41" t="s">
        <v>98</v>
      </c>
      <c r="D57" s="40" t="s">
        <v>73</v>
      </c>
      <c r="E57" s="57">
        <v>112</v>
      </c>
      <c r="F57" s="42">
        <f>SUM(E57)*3</f>
        <v>336</v>
      </c>
      <c r="G57" s="10">
        <v>74.709999999999994</v>
      </c>
      <c r="H57" s="58">
        <f t="shared" si="6"/>
        <v>25.102559999999997</v>
      </c>
      <c r="I57" s="10">
        <f>E57*G57</f>
        <v>8367.5199999999986</v>
      </c>
    </row>
    <row r="58" spans="1:9" ht="15.75" customHeight="1">
      <c r="A58" s="130" t="s">
        <v>162</v>
      </c>
      <c r="B58" s="131"/>
      <c r="C58" s="131"/>
      <c r="D58" s="131"/>
      <c r="E58" s="131"/>
      <c r="F58" s="131"/>
      <c r="G58" s="131"/>
      <c r="H58" s="131"/>
      <c r="I58" s="132"/>
    </row>
    <row r="59" spans="1:9" ht="15.75" hidden="1" customHeight="1">
      <c r="A59" s="21"/>
      <c r="B59" s="78" t="s">
        <v>44</v>
      </c>
      <c r="C59" s="41"/>
      <c r="D59" s="40"/>
      <c r="E59" s="57"/>
      <c r="F59" s="42"/>
      <c r="G59" s="42"/>
      <c r="H59" s="58"/>
      <c r="I59" s="62"/>
    </row>
    <row r="60" spans="1:9" ht="31.5" hidden="1" customHeight="1">
      <c r="A60" s="21">
        <v>15</v>
      </c>
      <c r="B60" s="40" t="s">
        <v>106</v>
      </c>
      <c r="C60" s="41" t="s">
        <v>89</v>
      </c>
      <c r="D60" s="40" t="s">
        <v>168</v>
      </c>
      <c r="E60" s="57">
        <v>142.05000000000001</v>
      </c>
      <c r="F60" s="42">
        <f>SUM(E60*6/100)</f>
        <v>8.5230000000000015</v>
      </c>
      <c r="G60" s="10">
        <v>2108.4299999999998</v>
      </c>
      <c r="H60" s="58">
        <f>SUM(F60*G60/1000)</f>
        <v>17.970148890000001</v>
      </c>
      <c r="I60" s="10">
        <f>F60/6*G60</f>
        <v>2995.0248150000002</v>
      </c>
    </row>
    <row r="61" spans="1:9" ht="15.75" customHeight="1">
      <c r="A61" s="21"/>
      <c r="B61" s="78" t="s">
        <v>45</v>
      </c>
      <c r="C61" s="41"/>
      <c r="D61" s="40"/>
      <c r="E61" s="57"/>
      <c r="F61" s="58"/>
      <c r="G61" s="10"/>
      <c r="H61" s="65"/>
      <c r="I61" s="62"/>
    </row>
    <row r="62" spans="1:9" ht="15.75" hidden="1" customHeight="1">
      <c r="A62" s="21"/>
      <c r="B62" s="40" t="s">
        <v>169</v>
      </c>
      <c r="C62" s="41" t="s">
        <v>89</v>
      </c>
      <c r="D62" s="40" t="s">
        <v>54</v>
      </c>
      <c r="E62" s="57">
        <v>1040.4000000000001</v>
      </c>
      <c r="F62" s="58">
        <f>E62/100</f>
        <v>10.404000000000002</v>
      </c>
      <c r="G62" s="10">
        <v>902.66</v>
      </c>
      <c r="H62" s="65">
        <f>G62*F62/1000</f>
        <v>9.3912746400000007</v>
      </c>
      <c r="I62" s="10">
        <v>0</v>
      </c>
    </row>
    <row r="63" spans="1:9" ht="15.75" customHeight="1">
      <c r="A63" s="21">
        <v>10</v>
      </c>
      <c r="B63" s="40" t="s">
        <v>131</v>
      </c>
      <c r="C63" s="41" t="s">
        <v>25</v>
      </c>
      <c r="D63" s="40" t="s">
        <v>132</v>
      </c>
      <c r="E63" s="57">
        <v>240</v>
      </c>
      <c r="F63" s="42">
        <v>2880</v>
      </c>
      <c r="G63" s="52">
        <v>1.2</v>
      </c>
      <c r="H63" s="58">
        <f>F63*G63/1000</f>
        <v>3.456</v>
      </c>
      <c r="I63" s="10">
        <f>F63/12*G63</f>
        <v>288</v>
      </c>
    </row>
    <row r="64" spans="1:9" ht="15.75" customHeight="1">
      <c r="A64" s="21"/>
      <c r="B64" s="79" t="s">
        <v>46</v>
      </c>
      <c r="C64" s="66"/>
      <c r="D64" s="67"/>
      <c r="E64" s="68"/>
      <c r="F64" s="69"/>
      <c r="G64" s="69"/>
      <c r="H64" s="70" t="s">
        <v>166</v>
      </c>
      <c r="I64" s="62"/>
    </row>
    <row r="65" spans="1:9" ht="15.75" hidden="1" customHeight="1">
      <c r="A65" s="21">
        <v>17</v>
      </c>
      <c r="B65" s="11" t="s">
        <v>47</v>
      </c>
      <c r="C65" s="13" t="s">
        <v>41</v>
      </c>
      <c r="D65" s="40" t="s">
        <v>68</v>
      </c>
      <c r="E65" s="15">
        <v>15</v>
      </c>
      <c r="F65" s="42">
        <f>15/100</f>
        <v>0.15</v>
      </c>
      <c r="G65" s="10">
        <v>252.96</v>
      </c>
      <c r="H65" s="71">
        <f t="shared" ref="H65:H81" si="7">SUM(F65*G65/1000)</f>
        <v>3.7944000000000006E-2</v>
      </c>
      <c r="I65" s="10">
        <f>G65*5</f>
        <v>1264.8</v>
      </c>
    </row>
    <row r="66" spans="1:9" ht="15.75" hidden="1" customHeight="1">
      <c r="A66" s="21"/>
      <c r="B66" s="11" t="s">
        <v>48</v>
      </c>
      <c r="C66" s="13" t="s">
        <v>41</v>
      </c>
      <c r="D66" s="40" t="s">
        <v>68</v>
      </c>
      <c r="E66" s="15">
        <v>10</v>
      </c>
      <c r="F66" s="42">
        <f>10/100</f>
        <v>0.1</v>
      </c>
      <c r="G66" s="10">
        <v>86.74</v>
      </c>
      <c r="H66" s="71">
        <f t="shared" si="7"/>
        <v>8.6739999999999994E-3</v>
      </c>
      <c r="I66" s="10">
        <v>0</v>
      </c>
    </row>
    <row r="67" spans="1:9" ht="15.75" hidden="1" customHeight="1">
      <c r="A67" s="21"/>
      <c r="B67" s="11" t="s">
        <v>49</v>
      </c>
      <c r="C67" s="13" t="s">
        <v>99</v>
      </c>
      <c r="D67" s="11" t="s">
        <v>54</v>
      </c>
      <c r="E67" s="57">
        <v>17532</v>
      </c>
      <c r="F67" s="10">
        <f>SUM(E67/100)</f>
        <v>175.32</v>
      </c>
      <c r="G67" s="10">
        <v>241.31</v>
      </c>
      <c r="H67" s="71">
        <f t="shared" si="7"/>
        <v>42.306469200000002</v>
      </c>
      <c r="I67" s="10">
        <f>F67*G67</f>
        <v>42306.4692</v>
      </c>
    </row>
    <row r="68" spans="1:9" ht="15.75" hidden="1" customHeight="1">
      <c r="A68" s="21"/>
      <c r="B68" s="11" t="s">
        <v>50</v>
      </c>
      <c r="C68" s="13" t="s">
        <v>100</v>
      </c>
      <c r="D68" s="11"/>
      <c r="E68" s="57">
        <v>17532</v>
      </c>
      <c r="F68" s="10">
        <f>SUM(E68/1000)</f>
        <v>17.532</v>
      </c>
      <c r="G68" s="10">
        <v>187.91</v>
      </c>
      <c r="H68" s="71">
        <f t="shared" si="7"/>
        <v>3.2944381199999997</v>
      </c>
      <c r="I68" s="10">
        <f>F68*G68</f>
        <v>3294.4381199999998</v>
      </c>
    </row>
    <row r="69" spans="1:9" ht="15.75" hidden="1" customHeight="1">
      <c r="A69" s="21"/>
      <c r="B69" s="11" t="s">
        <v>51</v>
      </c>
      <c r="C69" s="13" t="s">
        <v>80</v>
      </c>
      <c r="D69" s="11" t="s">
        <v>54</v>
      </c>
      <c r="E69" s="57">
        <v>1365</v>
      </c>
      <c r="F69" s="10">
        <f>SUM(E69/100)</f>
        <v>13.65</v>
      </c>
      <c r="G69" s="10">
        <v>2359.7199999999998</v>
      </c>
      <c r="H69" s="71">
        <f t="shared" si="7"/>
        <v>32.210177999999999</v>
      </c>
      <c r="I69" s="10">
        <f t="shared" ref="I69:I72" si="8">F69*G69</f>
        <v>32210.178</v>
      </c>
    </row>
    <row r="70" spans="1:9" ht="15.75" hidden="1" customHeight="1">
      <c r="A70" s="21"/>
      <c r="B70" s="72" t="s">
        <v>74</v>
      </c>
      <c r="C70" s="13" t="s">
        <v>33</v>
      </c>
      <c r="D70" s="11"/>
      <c r="E70" s="57">
        <v>15.6</v>
      </c>
      <c r="F70" s="10">
        <f>SUM(E70)</f>
        <v>15.6</v>
      </c>
      <c r="G70" s="10">
        <v>45.4</v>
      </c>
      <c r="H70" s="71">
        <f t="shared" si="7"/>
        <v>0.70823999999999998</v>
      </c>
      <c r="I70" s="10">
        <f t="shared" si="8"/>
        <v>708.24</v>
      </c>
    </row>
    <row r="71" spans="1:9" ht="15.75" hidden="1" customHeight="1">
      <c r="A71" s="21"/>
      <c r="B71" s="72" t="s">
        <v>172</v>
      </c>
      <c r="C71" s="13" t="s">
        <v>33</v>
      </c>
      <c r="D71" s="11"/>
      <c r="E71" s="57">
        <v>15.6</v>
      </c>
      <c r="F71" s="10">
        <f>SUM(E71)</f>
        <v>15.6</v>
      </c>
      <c r="G71" s="10">
        <v>42.35</v>
      </c>
      <c r="H71" s="71">
        <f t="shared" si="7"/>
        <v>0.66065999999999991</v>
      </c>
      <c r="I71" s="10">
        <f t="shared" si="8"/>
        <v>660.66</v>
      </c>
    </row>
    <row r="72" spans="1:9" ht="15.75" hidden="1" customHeight="1">
      <c r="A72" s="21"/>
      <c r="B72" s="11" t="s">
        <v>58</v>
      </c>
      <c r="C72" s="13" t="s">
        <v>59</v>
      </c>
      <c r="D72" s="11" t="s">
        <v>54</v>
      </c>
      <c r="E72" s="15">
        <v>4</v>
      </c>
      <c r="F72" s="42">
        <f>SUM(E72)</f>
        <v>4</v>
      </c>
      <c r="G72" s="10">
        <v>56.74</v>
      </c>
      <c r="H72" s="71">
        <f t="shared" si="7"/>
        <v>0.22696</v>
      </c>
      <c r="I72" s="10">
        <f t="shared" si="8"/>
        <v>226.96</v>
      </c>
    </row>
    <row r="73" spans="1:9" ht="18.75" customHeight="1">
      <c r="A73" s="21">
        <v>11</v>
      </c>
      <c r="B73" s="11" t="s">
        <v>133</v>
      </c>
      <c r="C73" s="13" t="s">
        <v>59</v>
      </c>
      <c r="D73" s="11" t="s">
        <v>30</v>
      </c>
      <c r="E73" s="15">
        <v>1</v>
      </c>
      <c r="F73" s="52">
        <v>12</v>
      </c>
      <c r="G73" s="10">
        <v>756.5</v>
      </c>
      <c r="H73" s="71">
        <f t="shared" si="7"/>
        <v>9.0779999999999994</v>
      </c>
      <c r="I73" s="10">
        <f>G73</f>
        <v>756.5</v>
      </c>
    </row>
    <row r="74" spans="1:9" ht="15.75" hidden="1" customHeight="1">
      <c r="A74" s="21"/>
      <c r="B74" s="45" t="s">
        <v>75</v>
      </c>
      <c r="C74" s="13"/>
      <c r="D74" s="11"/>
      <c r="E74" s="15"/>
      <c r="F74" s="10"/>
      <c r="G74" s="10"/>
      <c r="H74" s="71" t="s">
        <v>166</v>
      </c>
      <c r="I74" s="62"/>
    </row>
    <row r="75" spans="1:9" ht="15.75" hidden="1" customHeight="1">
      <c r="A75" s="21"/>
      <c r="B75" s="11" t="s">
        <v>134</v>
      </c>
      <c r="C75" s="13" t="s">
        <v>31</v>
      </c>
      <c r="D75" s="40" t="s">
        <v>68</v>
      </c>
      <c r="E75" s="15">
        <v>2</v>
      </c>
      <c r="F75" s="10">
        <v>2</v>
      </c>
      <c r="G75" s="10">
        <v>892.5</v>
      </c>
      <c r="H75" s="71">
        <f>G75*F75/1000</f>
        <v>1.7849999999999999</v>
      </c>
      <c r="I75" s="10">
        <v>0</v>
      </c>
    </row>
    <row r="76" spans="1:9" ht="15.75" hidden="1" customHeight="1">
      <c r="A76" s="21"/>
      <c r="B76" s="11" t="s">
        <v>119</v>
      </c>
      <c r="C76" s="13" t="s">
        <v>135</v>
      </c>
      <c r="D76" s="11"/>
      <c r="E76" s="15">
        <v>1</v>
      </c>
      <c r="F76" s="10">
        <v>1</v>
      </c>
      <c r="G76" s="10">
        <v>750</v>
      </c>
      <c r="H76" s="71">
        <f>G76*F76/1000</f>
        <v>0.75</v>
      </c>
      <c r="I76" s="10">
        <v>0</v>
      </c>
    </row>
    <row r="77" spans="1:9" ht="15.75" hidden="1" customHeight="1">
      <c r="A77" s="21">
        <v>12</v>
      </c>
      <c r="B77" s="11" t="s">
        <v>76</v>
      </c>
      <c r="C77" s="13" t="s">
        <v>78</v>
      </c>
      <c r="D77" s="11"/>
      <c r="E77" s="15">
        <v>2</v>
      </c>
      <c r="F77" s="10">
        <v>0.2</v>
      </c>
      <c r="G77" s="10">
        <v>570.54</v>
      </c>
      <c r="H77" s="71">
        <f t="shared" si="7"/>
        <v>0.114108</v>
      </c>
      <c r="I77" s="10">
        <f>G77*0.2</f>
        <v>114.108</v>
      </c>
    </row>
    <row r="78" spans="1:9" ht="15.75" hidden="1" customHeight="1">
      <c r="A78" s="21"/>
      <c r="B78" s="11" t="s">
        <v>77</v>
      </c>
      <c r="C78" s="13" t="s">
        <v>31</v>
      </c>
      <c r="D78" s="11"/>
      <c r="E78" s="15">
        <v>1</v>
      </c>
      <c r="F78" s="52">
        <v>1</v>
      </c>
      <c r="G78" s="10">
        <v>970.21</v>
      </c>
      <c r="H78" s="71">
        <f t="shared" si="7"/>
        <v>0.97021000000000002</v>
      </c>
      <c r="I78" s="10">
        <v>0</v>
      </c>
    </row>
    <row r="79" spans="1:9" ht="15.75" hidden="1" customHeight="1">
      <c r="A79" s="21"/>
      <c r="B79" s="11" t="s">
        <v>136</v>
      </c>
      <c r="C79" s="13" t="s">
        <v>98</v>
      </c>
      <c r="D79" s="11"/>
      <c r="E79" s="15">
        <v>1</v>
      </c>
      <c r="F79" s="42">
        <f>SUM(E79)</f>
        <v>1</v>
      </c>
      <c r="G79" s="10">
        <v>407.79</v>
      </c>
      <c r="H79" s="71">
        <f t="shared" si="7"/>
        <v>0.40779000000000004</v>
      </c>
      <c r="I79" s="10">
        <v>0</v>
      </c>
    </row>
    <row r="80" spans="1:9" ht="15.75" hidden="1" customHeight="1">
      <c r="A80" s="21"/>
      <c r="B80" s="76" t="s">
        <v>79</v>
      </c>
      <c r="C80" s="13"/>
      <c r="D80" s="11"/>
      <c r="E80" s="15"/>
      <c r="F80" s="10"/>
      <c r="G80" s="10" t="s">
        <v>166</v>
      </c>
      <c r="H80" s="71" t="s">
        <v>166</v>
      </c>
      <c r="I80" s="62"/>
    </row>
    <row r="81" spans="1:9" ht="15.75" hidden="1" customHeight="1">
      <c r="A81" s="21"/>
      <c r="B81" s="34" t="s">
        <v>104</v>
      </c>
      <c r="C81" s="13" t="s">
        <v>80</v>
      </c>
      <c r="D81" s="11"/>
      <c r="E81" s="15"/>
      <c r="F81" s="10">
        <v>0.6</v>
      </c>
      <c r="G81" s="10">
        <v>3138.65</v>
      </c>
      <c r="H81" s="71">
        <f t="shared" si="7"/>
        <v>1.8831900000000001</v>
      </c>
      <c r="I81" s="10">
        <v>0</v>
      </c>
    </row>
    <row r="82" spans="1:9" ht="15.75" hidden="1" customHeight="1">
      <c r="A82" s="21"/>
      <c r="B82" s="45" t="s">
        <v>95</v>
      </c>
      <c r="C82" s="13"/>
      <c r="D82" s="11"/>
      <c r="E82" s="53"/>
      <c r="F82" s="10"/>
      <c r="G82" s="10"/>
      <c r="H82" s="71"/>
      <c r="I82" s="10"/>
    </row>
    <row r="83" spans="1:9" ht="15.75" hidden="1" customHeight="1">
      <c r="A83" s="21"/>
      <c r="B83" s="40" t="s">
        <v>101</v>
      </c>
      <c r="C83" s="13"/>
      <c r="D83" s="11"/>
      <c r="E83" s="53"/>
      <c r="F83" s="10">
        <v>1</v>
      </c>
      <c r="G83" s="10">
        <v>21095</v>
      </c>
      <c r="H83" s="71">
        <f>G83*F83/1000</f>
        <v>21.094999999999999</v>
      </c>
      <c r="I83" s="10">
        <v>0</v>
      </c>
    </row>
    <row r="84" spans="1:9" ht="18" customHeight="1">
      <c r="A84" s="21"/>
      <c r="B84" s="80" t="s">
        <v>107</v>
      </c>
      <c r="C84" s="76"/>
      <c r="D84" s="23"/>
      <c r="E84" s="24"/>
      <c r="F84" s="75"/>
      <c r="G84" s="75"/>
      <c r="H84" s="73"/>
      <c r="I84" s="61"/>
    </row>
    <row r="85" spans="1:9" ht="24" hidden="1" customHeight="1">
      <c r="A85" s="21"/>
      <c r="B85" s="77" t="s">
        <v>137</v>
      </c>
      <c r="C85" s="13" t="s">
        <v>138</v>
      </c>
      <c r="D85" s="40" t="s">
        <v>68</v>
      </c>
      <c r="E85" s="15">
        <v>10</v>
      </c>
      <c r="F85" s="10">
        <v>10</v>
      </c>
      <c r="G85" s="10">
        <v>271.88</v>
      </c>
      <c r="H85" s="71">
        <f t="shared" ref="H85:H98" si="9">F85*G85/1000</f>
        <v>2.7188000000000003</v>
      </c>
      <c r="I85" s="10">
        <v>0</v>
      </c>
    </row>
    <row r="86" spans="1:9" ht="25.5" hidden="1" customHeight="1">
      <c r="A86" s="21"/>
      <c r="B86" s="77" t="s">
        <v>108</v>
      </c>
      <c r="C86" s="13" t="s">
        <v>84</v>
      </c>
      <c r="D86" s="40" t="s">
        <v>68</v>
      </c>
      <c r="E86" s="15">
        <v>100</v>
      </c>
      <c r="F86" s="10">
        <v>100</v>
      </c>
      <c r="G86" s="10">
        <v>111.84</v>
      </c>
      <c r="H86" s="71">
        <f t="shared" si="9"/>
        <v>11.183999999999999</v>
      </c>
      <c r="I86" s="10">
        <v>0</v>
      </c>
    </row>
    <row r="87" spans="1:9" ht="33.75" hidden="1" customHeight="1">
      <c r="A87" s="21">
        <v>13</v>
      </c>
      <c r="B87" s="77" t="s">
        <v>139</v>
      </c>
      <c r="C87" s="13" t="s">
        <v>140</v>
      </c>
      <c r="D87" s="40" t="s">
        <v>68</v>
      </c>
      <c r="E87" s="15">
        <v>30</v>
      </c>
      <c r="F87" s="10">
        <v>10</v>
      </c>
      <c r="G87" s="10">
        <v>972.09</v>
      </c>
      <c r="H87" s="71">
        <f t="shared" si="9"/>
        <v>9.7209000000000003</v>
      </c>
      <c r="I87" s="10">
        <f>G87</f>
        <v>972.09</v>
      </c>
    </row>
    <row r="88" spans="1:9" ht="30" hidden="1" customHeight="1">
      <c r="A88" s="21"/>
      <c r="B88" s="77" t="s">
        <v>141</v>
      </c>
      <c r="C88" s="13" t="s">
        <v>53</v>
      </c>
      <c r="D88" s="40" t="s">
        <v>68</v>
      </c>
      <c r="E88" s="15">
        <v>100</v>
      </c>
      <c r="F88" s="10">
        <v>1</v>
      </c>
      <c r="G88" s="10">
        <v>1829.52</v>
      </c>
      <c r="H88" s="71">
        <f t="shared" si="9"/>
        <v>1.82952</v>
      </c>
      <c r="I88" s="10">
        <v>0</v>
      </c>
    </row>
    <row r="89" spans="1:9" ht="30.75" customHeight="1">
      <c r="A89" s="21">
        <v>12</v>
      </c>
      <c r="B89" s="77" t="s">
        <v>142</v>
      </c>
      <c r="C89" s="13" t="s">
        <v>143</v>
      </c>
      <c r="D89" s="40" t="s">
        <v>68</v>
      </c>
      <c r="E89" s="15">
        <v>40</v>
      </c>
      <c r="F89" s="10">
        <v>4</v>
      </c>
      <c r="G89" s="10">
        <v>272.39</v>
      </c>
      <c r="H89" s="71">
        <f t="shared" si="9"/>
        <v>1.0895599999999999</v>
      </c>
      <c r="I89" s="10">
        <f>G89*0.3</f>
        <v>81.716999999999999</v>
      </c>
    </row>
    <row r="90" spans="1:9" ht="36" hidden="1" customHeight="1">
      <c r="A90" s="21"/>
      <c r="B90" s="77" t="s">
        <v>144</v>
      </c>
      <c r="C90" s="13" t="s">
        <v>84</v>
      </c>
      <c r="D90" s="40" t="s">
        <v>68</v>
      </c>
      <c r="E90" s="15">
        <v>15</v>
      </c>
      <c r="F90" s="10">
        <v>15</v>
      </c>
      <c r="G90" s="10">
        <v>1430.02</v>
      </c>
      <c r="H90" s="71">
        <f t="shared" si="9"/>
        <v>21.450299999999999</v>
      </c>
      <c r="I90" s="10">
        <v>0</v>
      </c>
    </row>
    <row r="91" spans="1:9" ht="32.25" hidden="1" customHeight="1">
      <c r="A91" s="21"/>
      <c r="B91" s="77" t="s">
        <v>145</v>
      </c>
      <c r="C91" s="13" t="s">
        <v>84</v>
      </c>
      <c r="D91" s="40" t="s">
        <v>68</v>
      </c>
      <c r="E91" s="15">
        <v>10</v>
      </c>
      <c r="F91" s="10">
        <v>10</v>
      </c>
      <c r="G91" s="10">
        <v>1743.04</v>
      </c>
      <c r="H91" s="71">
        <f t="shared" si="9"/>
        <v>17.430400000000002</v>
      </c>
      <c r="I91" s="10">
        <v>0</v>
      </c>
    </row>
    <row r="92" spans="1:9" ht="29.25" hidden="1" customHeight="1">
      <c r="A92" s="21"/>
      <c r="B92" s="77" t="s">
        <v>146</v>
      </c>
      <c r="C92" s="13" t="s">
        <v>84</v>
      </c>
      <c r="D92" s="40" t="s">
        <v>68</v>
      </c>
      <c r="E92" s="15">
        <v>20</v>
      </c>
      <c r="F92" s="10">
        <v>20</v>
      </c>
      <c r="G92" s="10">
        <v>607.27</v>
      </c>
      <c r="H92" s="71">
        <f t="shared" si="9"/>
        <v>12.1454</v>
      </c>
      <c r="I92" s="10">
        <v>0</v>
      </c>
    </row>
    <row r="93" spans="1:9" ht="24.75" hidden="1" customHeight="1">
      <c r="A93" s="21"/>
      <c r="B93" s="77" t="s">
        <v>147</v>
      </c>
      <c r="C93" s="13" t="s">
        <v>84</v>
      </c>
      <c r="D93" s="40" t="s">
        <v>68</v>
      </c>
      <c r="E93" s="15">
        <v>30</v>
      </c>
      <c r="F93" s="10">
        <v>30</v>
      </c>
      <c r="G93" s="10">
        <v>711.93</v>
      </c>
      <c r="H93" s="71">
        <f t="shared" si="9"/>
        <v>21.357899999999997</v>
      </c>
      <c r="I93" s="10">
        <v>0</v>
      </c>
    </row>
    <row r="94" spans="1:9" ht="24.75" hidden="1" customHeight="1">
      <c r="A94" s="21"/>
      <c r="B94" s="77" t="s">
        <v>109</v>
      </c>
      <c r="C94" s="13" t="s">
        <v>31</v>
      </c>
      <c r="D94" s="40" t="s">
        <v>68</v>
      </c>
      <c r="E94" s="15">
        <v>10</v>
      </c>
      <c r="F94" s="10">
        <v>10</v>
      </c>
      <c r="G94" s="10">
        <v>455.31</v>
      </c>
      <c r="H94" s="71">
        <f t="shared" si="9"/>
        <v>4.5531000000000006</v>
      </c>
      <c r="I94" s="10">
        <v>0</v>
      </c>
    </row>
    <row r="95" spans="1:9" ht="28.5" hidden="1" customHeight="1">
      <c r="A95" s="21"/>
      <c r="B95" s="77" t="s">
        <v>148</v>
      </c>
      <c r="C95" s="13" t="s">
        <v>84</v>
      </c>
      <c r="D95" s="40" t="s">
        <v>68</v>
      </c>
      <c r="E95" s="15">
        <v>30</v>
      </c>
      <c r="F95" s="10">
        <v>30</v>
      </c>
      <c r="G95" s="10">
        <v>1155.7</v>
      </c>
      <c r="H95" s="71">
        <f t="shared" si="9"/>
        <v>34.670999999999999</v>
      </c>
      <c r="I95" s="10">
        <v>0</v>
      </c>
    </row>
    <row r="96" spans="1:9" ht="21.75" hidden="1" customHeight="1">
      <c r="A96" s="21"/>
      <c r="B96" s="77" t="s">
        <v>149</v>
      </c>
      <c r="C96" s="13" t="s">
        <v>29</v>
      </c>
      <c r="D96" s="11" t="s">
        <v>43</v>
      </c>
      <c r="E96" s="15">
        <v>1040.4000000000001</v>
      </c>
      <c r="F96" s="10">
        <f>E96*2/1000</f>
        <v>2.0808</v>
      </c>
      <c r="G96" s="10">
        <v>1560.98</v>
      </c>
      <c r="H96" s="71">
        <f t="shared" si="9"/>
        <v>3.2480871840000001</v>
      </c>
      <c r="I96" s="10">
        <v>0</v>
      </c>
    </row>
    <row r="97" spans="1:9" ht="23.25" hidden="1" customHeight="1">
      <c r="A97" s="21"/>
      <c r="B97" s="77" t="s">
        <v>150</v>
      </c>
      <c r="C97" s="21" t="s">
        <v>152</v>
      </c>
      <c r="D97" s="40" t="s">
        <v>68</v>
      </c>
      <c r="E97" s="15">
        <v>100</v>
      </c>
      <c r="F97" s="10">
        <v>1</v>
      </c>
      <c r="G97" s="10">
        <v>12859.93</v>
      </c>
      <c r="H97" s="71">
        <f t="shared" si="9"/>
        <v>12.85993</v>
      </c>
      <c r="I97" s="10">
        <v>0</v>
      </c>
    </row>
    <row r="98" spans="1:9" ht="21.75" hidden="1" customHeight="1">
      <c r="A98" s="21"/>
      <c r="B98" s="77" t="s">
        <v>151</v>
      </c>
      <c r="C98" s="13" t="s">
        <v>29</v>
      </c>
      <c r="D98" s="11" t="s">
        <v>43</v>
      </c>
      <c r="E98" s="15">
        <v>1040.4000000000001</v>
      </c>
      <c r="F98" s="10">
        <v>2.08</v>
      </c>
      <c r="G98" s="10">
        <v>1453.29</v>
      </c>
      <c r="H98" s="71">
        <f t="shared" si="9"/>
        <v>3.0228432000000001</v>
      </c>
      <c r="I98" s="10">
        <v>0</v>
      </c>
    </row>
    <row r="99" spans="1:9" ht="15.75" customHeight="1">
      <c r="A99" s="133" t="s">
        <v>163</v>
      </c>
      <c r="B99" s="134"/>
      <c r="C99" s="134"/>
      <c r="D99" s="134"/>
      <c r="E99" s="134"/>
      <c r="F99" s="134"/>
      <c r="G99" s="134"/>
      <c r="H99" s="134"/>
      <c r="I99" s="135"/>
    </row>
    <row r="100" spans="1:9" ht="15.75" customHeight="1">
      <c r="A100" s="21">
        <v>13</v>
      </c>
      <c r="B100" s="77" t="s">
        <v>102</v>
      </c>
      <c r="C100" s="13" t="s">
        <v>55</v>
      </c>
      <c r="D100" s="51" t="s">
        <v>56</v>
      </c>
      <c r="E100" s="10">
        <v>3455.3</v>
      </c>
      <c r="F100" s="10">
        <v>41463.599999999999</v>
      </c>
      <c r="G100" s="10">
        <v>2.7</v>
      </c>
      <c r="H100" s="71">
        <f>SUM(F100*G100/1000)</f>
        <v>111.95171999999999</v>
      </c>
      <c r="I100" s="10">
        <f>F100/12*G100</f>
        <v>9329.31</v>
      </c>
    </row>
    <row r="101" spans="1:9" ht="31.5" customHeight="1">
      <c r="A101" s="21">
        <v>14</v>
      </c>
      <c r="B101" s="11" t="s">
        <v>81</v>
      </c>
      <c r="C101" s="13"/>
      <c r="D101" s="51" t="s">
        <v>56</v>
      </c>
      <c r="E101" s="57">
        <f>E100</f>
        <v>3455.3</v>
      </c>
      <c r="F101" s="10">
        <f>E101*12</f>
        <v>41463.600000000006</v>
      </c>
      <c r="G101" s="10">
        <v>3.05</v>
      </c>
      <c r="H101" s="71">
        <f>F101*G101/1000</f>
        <v>126.46398000000001</v>
      </c>
      <c r="I101" s="10">
        <f>F101/12*G101</f>
        <v>10538.665000000001</v>
      </c>
    </row>
    <row r="102" spans="1:9" ht="15.75" customHeight="1">
      <c r="A102" s="21"/>
      <c r="B102" s="27" t="s">
        <v>83</v>
      </c>
      <c r="C102" s="76"/>
      <c r="D102" s="74"/>
      <c r="E102" s="75"/>
      <c r="F102" s="75"/>
      <c r="G102" s="75"/>
      <c r="H102" s="73">
        <f>SUM(H101)</f>
        <v>126.46398000000001</v>
      </c>
      <c r="I102" s="75">
        <f>I101+I100+I89+I73+I63+I35+I34+I32+I31+I28+I27+I18+I17+I16</f>
        <v>49718.069291111104</v>
      </c>
    </row>
    <row r="103" spans="1:9" ht="15.75" customHeight="1">
      <c r="A103" s="140" t="s">
        <v>61</v>
      </c>
      <c r="B103" s="141"/>
      <c r="C103" s="141"/>
      <c r="D103" s="141"/>
      <c r="E103" s="141"/>
      <c r="F103" s="141"/>
      <c r="G103" s="141"/>
      <c r="H103" s="141"/>
      <c r="I103" s="142"/>
    </row>
    <row r="104" spans="1:9" ht="15.75" customHeight="1">
      <c r="A104" s="21">
        <v>15</v>
      </c>
      <c r="B104" s="39" t="s">
        <v>214</v>
      </c>
      <c r="C104" s="88" t="s">
        <v>215</v>
      </c>
      <c r="D104" s="34"/>
      <c r="E104" s="10"/>
      <c r="F104" s="10">
        <v>2</v>
      </c>
      <c r="G104" s="110">
        <v>689.92</v>
      </c>
      <c r="H104" s="87">
        <f t="shared" ref="H104:H105" si="10">G104*F104/1000</f>
        <v>1.37984</v>
      </c>
      <c r="I104" s="10">
        <f>G104*1</f>
        <v>689.92</v>
      </c>
    </row>
    <row r="105" spans="1:9" ht="15.75" hidden="1" customHeight="1">
      <c r="A105" s="21">
        <v>18</v>
      </c>
      <c r="B105" s="37"/>
      <c r="C105" s="59"/>
      <c r="D105" s="34"/>
      <c r="E105" s="10"/>
      <c r="F105" s="10">
        <v>1</v>
      </c>
      <c r="G105" s="10"/>
      <c r="H105" s="71">
        <f t="shared" si="10"/>
        <v>0</v>
      </c>
      <c r="I105" s="10"/>
    </row>
    <row r="106" spans="1:9" ht="31.5" hidden="1" customHeight="1">
      <c r="A106" s="21">
        <v>19</v>
      </c>
      <c r="B106" s="37"/>
      <c r="C106" s="59"/>
      <c r="D106" s="38"/>
      <c r="E106" s="26"/>
      <c r="F106" s="26">
        <v>9</v>
      </c>
      <c r="G106" s="26"/>
      <c r="H106" s="87">
        <f>G106*F106/1000</f>
        <v>0</v>
      </c>
      <c r="I106" s="10"/>
    </row>
    <row r="107" spans="1:9" ht="15.75" hidden="1" customHeight="1">
      <c r="A107" s="21">
        <v>20</v>
      </c>
      <c r="B107" s="37"/>
      <c r="C107" s="59"/>
      <c r="D107" s="38"/>
      <c r="E107" s="26"/>
      <c r="F107" s="26">
        <v>1</v>
      </c>
      <c r="G107" s="26"/>
      <c r="H107" s="87">
        <f t="shared" ref="H107" si="11">G107*F107/1000</f>
        <v>0</v>
      </c>
      <c r="I107" s="10"/>
    </row>
    <row r="108" spans="1:9">
      <c r="A108" s="21"/>
      <c r="B108" s="32" t="s">
        <v>52</v>
      </c>
      <c r="C108" s="28"/>
      <c r="D108" s="35"/>
      <c r="E108" s="28">
        <v>1</v>
      </c>
      <c r="F108" s="28"/>
      <c r="G108" s="28"/>
      <c r="H108" s="28"/>
      <c r="I108" s="24">
        <f>SUM(I104:I107)</f>
        <v>689.92</v>
      </c>
    </row>
    <row r="109" spans="1:9">
      <c r="A109" s="21"/>
      <c r="B109" s="34" t="s">
        <v>82</v>
      </c>
      <c r="C109" s="12"/>
      <c r="D109" s="12"/>
      <c r="E109" s="29"/>
      <c r="F109" s="29"/>
      <c r="G109" s="30"/>
      <c r="H109" s="30"/>
      <c r="I109" s="14">
        <v>0</v>
      </c>
    </row>
    <row r="110" spans="1:9" ht="15.75" customHeight="1">
      <c r="A110" s="36"/>
      <c r="B110" s="33" t="s">
        <v>184</v>
      </c>
      <c r="C110" s="25"/>
      <c r="D110" s="25"/>
      <c r="E110" s="25"/>
      <c r="F110" s="25"/>
      <c r="G110" s="25"/>
      <c r="H110" s="25"/>
      <c r="I110" s="31">
        <f>I102+I108</f>
        <v>50407.989291111102</v>
      </c>
    </row>
    <row r="111" spans="1:9" ht="15.75">
      <c r="A111" s="136" t="s">
        <v>218</v>
      </c>
      <c r="B111" s="136"/>
      <c r="C111" s="136"/>
      <c r="D111" s="136"/>
      <c r="E111" s="136"/>
      <c r="F111" s="136"/>
      <c r="G111" s="136"/>
      <c r="H111" s="136"/>
      <c r="I111" s="136"/>
    </row>
    <row r="112" spans="1:9" ht="15.75">
      <c r="A112" s="50"/>
      <c r="B112" s="137" t="s">
        <v>219</v>
      </c>
      <c r="C112" s="137"/>
      <c r="D112" s="137"/>
      <c r="E112" s="137"/>
      <c r="F112" s="137"/>
      <c r="G112" s="137"/>
      <c r="H112" s="56"/>
      <c r="I112" s="2"/>
    </row>
    <row r="113" spans="1:9">
      <c r="A113" s="44"/>
      <c r="B113" s="124" t="s">
        <v>6</v>
      </c>
      <c r="C113" s="124"/>
      <c r="D113" s="124"/>
      <c r="E113" s="124"/>
      <c r="F113" s="124"/>
      <c r="G113" s="124"/>
      <c r="H113" s="16"/>
      <c r="I113" s="4"/>
    </row>
    <row r="114" spans="1:9">
      <c r="A114" s="7"/>
      <c r="B114" s="7"/>
      <c r="C114" s="7"/>
      <c r="D114" s="7"/>
      <c r="E114" s="7"/>
      <c r="F114" s="7"/>
      <c r="G114" s="7"/>
      <c r="H114" s="7"/>
      <c r="I114" s="7"/>
    </row>
    <row r="115" spans="1:9" ht="15.75" customHeight="1">
      <c r="A115" s="138" t="s">
        <v>7</v>
      </c>
      <c r="B115" s="138"/>
      <c r="C115" s="138"/>
      <c r="D115" s="138"/>
      <c r="E115" s="138"/>
      <c r="F115" s="138"/>
      <c r="G115" s="138"/>
      <c r="H115" s="138"/>
      <c r="I115" s="138"/>
    </row>
    <row r="116" spans="1:9" ht="15.75" customHeight="1">
      <c r="A116" s="138" t="s">
        <v>8</v>
      </c>
      <c r="B116" s="138"/>
      <c r="C116" s="138"/>
      <c r="D116" s="138"/>
      <c r="E116" s="138"/>
      <c r="F116" s="138"/>
      <c r="G116" s="138"/>
      <c r="H116" s="138"/>
      <c r="I116" s="138"/>
    </row>
    <row r="117" spans="1:9" ht="15.75" customHeight="1">
      <c r="A117" s="139" t="s">
        <v>62</v>
      </c>
      <c r="B117" s="139"/>
      <c r="C117" s="139"/>
      <c r="D117" s="139"/>
      <c r="E117" s="139"/>
      <c r="F117" s="139"/>
      <c r="G117" s="139"/>
      <c r="H117" s="139"/>
      <c r="I117" s="139"/>
    </row>
    <row r="118" spans="1:9" ht="15.75" customHeight="1">
      <c r="A118" s="8"/>
    </row>
    <row r="119" spans="1:9" ht="15.75" customHeight="1">
      <c r="A119" s="128" t="s">
        <v>9</v>
      </c>
      <c r="B119" s="128"/>
      <c r="C119" s="128"/>
      <c r="D119" s="128"/>
      <c r="E119" s="128"/>
      <c r="F119" s="128"/>
      <c r="G119" s="128"/>
      <c r="H119" s="128"/>
      <c r="I119" s="128"/>
    </row>
    <row r="120" spans="1:9" ht="15.75" customHeight="1">
      <c r="A120" s="3"/>
    </row>
    <row r="121" spans="1:9" ht="15.75" customHeight="1">
      <c r="B121" s="46" t="s">
        <v>10</v>
      </c>
      <c r="C121" s="123" t="s">
        <v>158</v>
      </c>
      <c r="D121" s="123"/>
      <c r="E121" s="123"/>
      <c r="F121" s="54"/>
      <c r="I121" s="48"/>
    </row>
    <row r="122" spans="1:9">
      <c r="A122" s="44"/>
      <c r="C122" s="124" t="s">
        <v>11</v>
      </c>
      <c r="D122" s="124"/>
      <c r="E122" s="124"/>
      <c r="F122" s="16"/>
      <c r="I122" s="49" t="s">
        <v>12</v>
      </c>
    </row>
    <row r="123" spans="1:9" ht="15.75">
      <c r="A123" s="17"/>
      <c r="C123" s="9"/>
      <c r="D123" s="9"/>
      <c r="G123" s="9"/>
      <c r="H123" s="9"/>
    </row>
    <row r="124" spans="1:9" ht="15.75">
      <c r="B124" s="46" t="s">
        <v>13</v>
      </c>
      <c r="C124" s="125"/>
      <c r="D124" s="125"/>
      <c r="E124" s="125"/>
      <c r="F124" s="55"/>
      <c r="I124" s="48"/>
    </row>
    <row r="125" spans="1:9">
      <c r="A125" s="44"/>
      <c r="C125" s="126" t="s">
        <v>11</v>
      </c>
      <c r="D125" s="126"/>
      <c r="E125" s="126"/>
      <c r="F125" s="44"/>
      <c r="I125" s="49" t="s">
        <v>12</v>
      </c>
    </row>
    <row r="126" spans="1:9" ht="15.75">
      <c r="A126" s="3" t="s">
        <v>14</v>
      </c>
    </row>
    <row r="127" spans="1:9">
      <c r="A127" s="127" t="s">
        <v>15</v>
      </c>
      <c r="B127" s="127"/>
      <c r="C127" s="127"/>
      <c r="D127" s="127"/>
      <c r="E127" s="127"/>
      <c r="F127" s="127"/>
      <c r="G127" s="127"/>
      <c r="H127" s="127"/>
      <c r="I127" s="127"/>
    </row>
    <row r="128" spans="1:9" ht="45" customHeight="1">
      <c r="A128" s="122" t="s">
        <v>16</v>
      </c>
      <c r="B128" s="122"/>
      <c r="C128" s="122"/>
      <c r="D128" s="122"/>
      <c r="E128" s="122"/>
      <c r="F128" s="122"/>
      <c r="G128" s="122"/>
      <c r="H128" s="122"/>
      <c r="I128" s="122"/>
    </row>
    <row r="129" spans="1:9" ht="30" customHeight="1">
      <c r="A129" s="122" t="s">
        <v>17</v>
      </c>
      <c r="B129" s="122"/>
      <c r="C129" s="122"/>
      <c r="D129" s="122"/>
      <c r="E129" s="122"/>
      <c r="F129" s="122"/>
      <c r="G129" s="122"/>
      <c r="H129" s="122"/>
      <c r="I129" s="122"/>
    </row>
    <row r="130" spans="1:9" ht="30" customHeight="1">
      <c r="A130" s="122" t="s">
        <v>21</v>
      </c>
      <c r="B130" s="122"/>
      <c r="C130" s="122"/>
      <c r="D130" s="122"/>
      <c r="E130" s="122"/>
      <c r="F130" s="122"/>
      <c r="G130" s="122"/>
      <c r="H130" s="122"/>
      <c r="I130" s="122"/>
    </row>
    <row r="131" spans="1:9" ht="15" customHeight="1">
      <c r="A131" s="122" t="s">
        <v>20</v>
      </c>
      <c r="B131" s="122"/>
      <c r="C131" s="122"/>
      <c r="D131" s="122"/>
      <c r="E131" s="122"/>
      <c r="F131" s="122"/>
      <c r="G131" s="122"/>
      <c r="H131" s="122"/>
      <c r="I131" s="122"/>
    </row>
  </sheetData>
  <mergeCells count="28">
    <mergeCell ref="A14:I14"/>
    <mergeCell ref="A3:I3"/>
    <mergeCell ref="A4:I4"/>
    <mergeCell ref="A5:I5"/>
    <mergeCell ref="A8:I8"/>
    <mergeCell ref="A10:I10"/>
    <mergeCell ref="A119:I119"/>
    <mergeCell ref="A15:I15"/>
    <mergeCell ref="A29:I29"/>
    <mergeCell ref="A46:I46"/>
    <mergeCell ref="A58:I58"/>
    <mergeCell ref="A99:I99"/>
    <mergeCell ref="A111:I111"/>
    <mergeCell ref="B112:G112"/>
    <mergeCell ref="B113:G113"/>
    <mergeCell ref="A115:I115"/>
    <mergeCell ref="A116:I116"/>
    <mergeCell ref="A117:I117"/>
    <mergeCell ref="A103:I103"/>
    <mergeCell ref="A129:I129"/>
    <mergeCell ref="A130:I130"/>
    <mergeCell ref="A131:I131"/>
    <mergeCell ref="C121:E121"/>
    <mergeCell ref="C122:E122"/>
    <mergeCell ref="C124:E124"/>
    <mergeCell ref="C125:E125"/>
    <mergeCell ref="A127:I127"/>
    <mergeCell ref="A128:I128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29"/>
  <sheetViews>
    <sheetView topLeftCell="A89" workbookViewId="0">
      <selection activeCell="A58" sqref="A58:I5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1.710937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220</v>
      </c>
      <c r="I1" s="18"/>
    </row>
    <row r="2" spans="1:9" ht="15.75">
      <c r="A2" s="20" t="s">
        <v>63</v>
      </c>
    </row>
    <row r="3" spans="1:9" ht="15.75">
      <c r="A3" s="144" t="s">
        <v>178</v>
      </c>
      <c r="B3" s="144"/>
      <c r="C3" s="144"/>
      <c r="D3" s="144"/>
      <c r="E3" s="144"/>
      <c r="F3" s="144"/>
      <c r="G3" s="144"/>
      <c r="H3" s="144"/>
      <c r="I3" s="144"/>
    </row>
    <row r="4" spans="1:9" ht="31.5" customHeight="1">
      <c r="A4" s="145" t="s">
        <v>154</v>
      </c>
      <c r="B4" s="145"/>
      <c r="C4" s="145"/>
      <c r="D4" s="145"/>
      <c r="E4" s="145"/>
      <c r="F4" s="145"/>
      <c r="G4" s="145"/>
      <c r="H4" s="145"/>
      <c r="I4" s="145"/>
    </row>
    <row r="5" spans="1:9" ht="15.75">
      <c r="A5" s="144" t="s">
        <v>221</v>
      </c>
      <c r="B5" s="146"/>
      <c r="C5" s="146"/>
      <c r="D5" s="146"/>
      <c r="E5" s="146"/>
      <c r="F5" s="146"/>
      <c r="G5" s="146"/>
      <c r="H5" s="146"/>
      <c r="I5" s="146"/>
    </row>
    <row r="6" spans="1:9" ht="15.75">
      <c r="A6" s="1"/>
      <c r="B6" s="47"/>
      <c r="C6" s="47"/>
      <c r="D6" s="47"/>
      <c r="E6" s="47"/>
      <c r="F6" s="47"/>
      <c r="G6" s="47"/>
      <c r="H6" s="47"/>
      <c r="I6" s="22">
        <v>43312</v>
      </c>
    </row>
    <row r="7" spans="1:9" ht="15.75">
      <c r="B7" s="46"/>
      <c r="C7" s="46"/>
      <c r="D7" s="46"/>
      <c r="E7" s="2"/>
      <c r="F7" s="2"/>
      <c r="G7" s="2"/>
      <c r="H7" s="2"/>
    </row>
    <row r="8" spans="1:9" ht="78.75" customHeight="1">
      <c r="A8" s="147" t="s">
        <v>222</v>
      </c>
      <c r="B8" s="147"/>
      <c r="C8" s="147"/>
      <c r="D8" s="147"/>
      <c r="E8" s="147"/>
      <c r="F8" s="147"/>
      <c r="G8" s="147"/>
      <c r="H8" s="147"/>
      <c r="I8" s="147"/>
    </row>
    <row r="9" spans="1:9" ht="15.75">
      <c r="A9" s="3"/>
    </row>
    <row r="10" spans="1:9" ht="47.25" customHeight="1">
      <c r="A10" s="148" t="s">
        <v>183</v>
      </c>
      <c r="B10" s="148"/>
      <c r="C10" s="148"/>
      <c r="D10" s="148"/>
      <c r="E10" s="148"/>
      <c r="F10" s="148"/>
      <c r="G10" s="148"/>
      <c r="H10" s="148"/>
      <c r="I10" s="148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3" t="s">
        <v>60</v>
      </c>
      <c r="B14" s="143"/>
      <c r="C14" s="143"/>
      <c r="D14" s="143"/>
      <c r="E14" s="143"/>
      <c r="F14" s="143"/>
      <c r="G14" s="143"/>
      <c r="H14" s="143"/>
      <c r="I14" s="143"/>
    </row>
    <row r="15" spans="1:9" ht="15.75" customHeight="1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</row>
    <row r="16" spans="1:9" ht="15.75" customHeight="1">
      <c r="A16" s="21">
        <v>1</v>
      </c>
      <c r="B16" s="40" t="s">
        <v>110</v>
      </c>
      <c r="C16" s="41" t="s">
        <v>89</v>
      </c>
      <c r="D16" s="40" t="s">
        <v>155</v>
      </c>
      <c r="E16" s="57">
        <v>70.7</v>
      </c>
      <c r="F16" s="42">
        <f>SUM(E16*156/100)</f>
        <v>110.292</v>
      </c>
      <c r="G16" s="42">
        <v>199.46</v>
      </c>
      <c r="H16" s="58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40" t="s">
        <v>121</v>
      </c>
      <c r="C17" s="41" t="s">
        <v>89</v>
      </c>
      <c r="D17" s="40" t="s">
        <v>156</v>
      </c>
      <c r="E17" s="57">
        <v>282.8</v>
      </c>
      <c r="F17" s="42">
        <f>SUM(E17*104/100)</f>
        <v>294.11200000000002</v>
      </c>
      <c r="G17" s="42">
        <v>199.46</v>
      </c>
      <c r="H17" s="58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40" t="s">
        <v>122</v>
      </c>
      <c r="C18" s="41" t="s">
        <v>89</v>
      </c>
      <c r="D18" s="40" t="s">
        <v>157</v>
      </c>
      <c r="E18" s="57">
        <f>SUM(E16+E17)</f>
        <v>353.5</v>
      </c>
      <c r="F18" s="42">
        <f>SUM(E18*24/100)</f>
        <v>84.84</v>
      </c>
      <c r="G18" s="42">
        <v>573.83000000000004</v>
      </c>
      <c r="H18" s="58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1"/>
      <c r="B19" s="40" t="s">
        <v>111</v>
      </c>
      <c r="C19" s="41" t="s">
        <v>112</v>
      </c>
      <c r="D19" s="40" t="s">
        <v>113</v>
      </c>
      <c r="E19" s="57">
        <v>40</v>
      </c>
      <c r="F19" s="42">
        <f>SUM(E19/10)</f>
        <v>4</v>
      </c>
      <c r="G19" s="42">
        <v>193.55</v>
      </c>
      <c r="H19" s="58">
        <f t="shared" si="0"/>
        <v>0.7742</v>
      </c>
      <c r="I19" s="10">
        <v>0</v>
      </c>
    </row>
    <row r="20" spans="1:9" ht="15.75" hidden="1" customHeight="1">
      <c r="A20" s="21"/>
      <c r="B20" s="40" t="s">
        <v>114</v>
      </c>
      <c r="C20" s="41" t="s">
        <v>89</v>
      </c>
      <c r="D20" s="40" t="s">
        <v>43</v>
      </c>
      <c r="E20" s="57">
        <v>10.5</v>
      </c>
      <c r="F20" s="42">
        <f>E20*2/100</f>
        <v>0.21</v>
      </c>
      <c r="G20" s="42">
        <v>247.82</v>
      </c>
      <c r="H20" s="58">
        <f t="shared" si="0"/>
        <v>5.2042199999999997E-2</v>
      </c>
      <c r="I20" s="10">
        <v>0</v>
      </c>
    </row>
    <row r="21" spans="1:9" ht="15.75" hidden="1" customHeight="1">
      <c r="A21" s="21"/>
      <c r="B21" s="40" t="s">
        <v>115</v>
      </c>
      <c r="C21" s="41" t="s">
        <v>89</v>
      </c>
      <c r="D21" s="40" t="s">
        <v>43</v>
      </c>
      <c r="E21" s="57">
        <v>2.7</v>
      </c>
      <c r="F21" s="42">
        <f>SUM(E21*2/100)</f>
        <v>5.4000000000000006E-2</v>
      </c>
      <c r="G21" s="42">
        <v>245.81</v>
      </c>
      <c r="H21" s="58">
        <f t="shared" si="0"/>
        <v>1.3273740000000003E-2</v>
      </c>
      <c r="I21" s="10">
        <v>0</v>
      </c>
    </row>
    <row r="22" spans="1:9" ht="15.75" hidden="1" customHeight="1">
      <c r="A22" s="21"/>
      <c r="B22" s="40" t="s">
        <v>116</v>
      </c>
      <c r="C22" s="41" t="s">
        <v>53</v>
      </c>
      <c r="D22" s="40" t="s">
        <v>113</v>
      </c>
      <c r="E22" s="57">
        <v>357</v>
      </c>
      <c r="F22" s="42">
        <f>SUM(E22/100)</f>
        <v>3.57</v>
      </c>
      <c r="G22" s="42">
        <v>306.26</v>
      </c>
      <c r="H22" s="58">
        <f t="shared" si="0"/>
        <v>1.0933481999999999</v>
      </c>
      <c r="I22" s="10">
        <v>0</v>
      </c>
    </row>
    <row r="23" spans="1:9" ht="15.75" hidden="1" customHeight="1">
      <c r="A23" s="21"/>
      <c r="B23" s="40" t="s">
        <v>117</v>
      </c>
      <c r="C23" s="41" t="s">
        <v>53</v>
      </c>
      <c r="D23" s="40" t="s">
        <v>113</v>
      </c>
      <c r="E23" s="60">
        <v>38.64</v>
      </c>
      <c r="F23" s="42">
        <f>SUM(E23/100)</f>
        <v>0.38640000000000002</v>
      </c>
      <c r="G23" s="42">
        <v>50.37</v>
      </c>
      <c r="H23" s="58">
        <f t="shared" si="0"/>
        <v>1.9462968000000001E-2</v>
      </c>
      <c r="I23" s="10">
        <v>0</v>
      </c>
    </row>
    <row r="24" spans="1:9" ht="15.75" hidden="1" customHeight="1">
      <c r="A24" s="21"/>
      <c r="B24" s="40" t="s">
        <v>118</v>
      </c>
      <c r="C24" s="41" t="s">
        <v>53</v>
      </c>
      <c r="D24" s="40" t="s">
        <v>123</v>
      </c>
      <c r="E24" s="57">
        <v>15</v>
      </c>
      <c r="F24" s="42">
        <f>E24/100</f>
        <v>0.15</v>
      </c>
      <c r="G24" s="42">
        <v>443.27</v>
      </c>
      <c r="H24" s="58">
        <f t="shared" si="0"/>
        <v>6.6490499999999994E-2</v>
      </c>
      <c r="I24" s="10">
        <v>0</v>
      </c>
    </row>
    <row r="25" spans="1:9" ht="15.75" hidden="1" customHeight="1">
      <c r="A25" s="21"/>
      <c r="B25" s="40" t="s">
        <v>124</v>
      </c>
      <c r="C25" s="41" t="s">
        <v>89</v>
      </c>
      <c r="D25" s="40" t="s">
        <v>54</v>
      </c>
      <c r="E25" s="57">
        <v>14.25</v>
      </c>
      <c r="F25" s="42">
        <v>0.1</v>
      </c>
      <c r="G25" s="42">
        <v>245.81</v>
      </c>
      <c r="H25" s="58">
        <v>3.1E-2</v>
      </c>
      <c r="I25" s="10">
        <v>0</v>
      </c>
    </row>
    <row r="26" spans="1:9" ht="15.75" hidden="1" customHeight="1">
      <c r="A26" s="21"/>
      <c r="B26" s="40" t="s">
        <v>125</v>
      </c>
      <c r="C26" s="41" t="s">
        <v>53</v>
      </c>
      <c r="D26" s="40" t="s">
        <v>113</v>
      </c>
      <c r="E26" s="57">
        <v>6.38</v>
      </c>
      <c r="F26" s="42">
        <f>SUM(E26/100)</f>
        <v>6.3799999999999996E-2</v>
      </c>
      <c r="G26" s="42">
        <v>592.37</v>
      </c>
      <c r="H26" s="58">
        <f t="shared" si="0"/>
        <v>3.7793205999999996E-2</v>
      </c>
      <c r="I26" s="10">
        <v>0</v>
      </c>
    </row>
    <row r="27" spans="1:9" ht="15.75" customHeight="1">
      <c r="A27" s="21">
        <v>4</v>
      </c>
      <c r="B27" s="40" t="s">
        <v>65</v>
      </c>
      <c r="C27" s="41" t="s">
        <v>33</v>
      </c>
      <c r="D27" s="40"/>
      <c r="E27" s="57">
        <v>0.1</v>
      </c>
      <c r="F27" s="42">
        <f>SUM(E27*365)</f>
        <v>36.5</v>
      </c>
      <c r="G27" s="42">
        <v>167.24</v>
      </c>
      <c r="H27" s="58">
        <f>SUM(F27*G27/1000)</f>
        <v>6.10426</v>
      </c>
      <c r="I27" s="10">
        <f>F27/12*G27</f>
        <v>508.68833333333333</v>
      </c>
    </row>
    <row r="28" spans="1:9" ht="15.75" customHeight="1">
      <c r="A28" s="21">
        <v>5</v>
      </c>
      <c r="B28" s="64" t="s">
        <v>23</v>
      </c>
      <c r="C28" s="41" t="s">
        <v>24</v>
      </c>
      <c r="D28" s="40"/>
      <c r="E28" s="57">
        <v>2661.7</v>
      </c>
      <c r="F28" s="42">
        <f>SUM(E28*12)</f>
        <v>31940.399999999998</v>
      </c>
      <c r="G28" s="42">
        <v>5.58</v>
      </c>
      <c r="H28" s="58">
        <f>SUM(F28*G28/1000)</f>
        <v>178.22743199999999</v>
      </c>
      <c r="I28" s="10">
        <f>F28/12*G28</f>
        <v>14852.286</v>
      </c>
    </row>
    <row r="29" spans="1:9" ht="15.75" customHeight="1">
      <c r="A29" s="129" t="s">
        <v>87</v>
      </c>
      <c r="B29" s="129"/>
      <c r="C29" s="129"/>
      <c r="D29" s="129"/>
      <c r="E29" s="129"/>
      <c r="F29" s="129"/>
      <c r="G29" s="129"/>
      <c r="H29" s="129"/>
      <c r="I29" s="129"/>
    </row>
    <row r="30" spans="1:9" ht="15.75" customHeight="1">
      <c r="A30" s="21"/>
      <c r="B30" s="78" t="s">
        <v>28</v>
      </c>
      <c r="C30" s="41"/>
      <c r="D30" s="40"/>
      <c r="E30" s="57"/>
      <c r="F30" s="42"/>
      <c r="G30" s="42"/>
      <c r="H30" s="58"/>
      <c r="I30" s="62"/>
    </row>
    <row r="31" spans="1:9" ht="15.75" customHeight="1">
      <c r="A31" s="21">
        <v>6</v>
      </c>
      <c r="B31" s="40" t="s">
        <v>97</v>
      </c>
      <c r="C31" s="41" t="s">
        <v>91</v>
      </c>
      <c r="D31" s="40" t="s">
        <v>187</v>
      </c>
      <c r="E31" s="42">
        <v>573.6</v>
      </c>
      <c r="F31" s="42">
        <f>SUM(E31*52/1000)</f>
        <v>29.827200000000001</v>
      </c>
      <c r="G31" s="42">
        <v>177.3</v>
      </c>
      <c r="H31" s="58">
        <f t="shared" ref="H31:H37" si="2">SUM(F31*G31/1000)</f>
        <v>5.2883625600000004</v>
      </c>
      <c r="I31" s="10">
        <f>F31/6*G31</f>
        <v>881.39376000000016</v>
      </c>
    </row>
    <row r="32" spans="1:9" ht="31.5" customHeight="1">
      <c r="A32" s="21">
        <v>7</v>
      </c>
      <c r="B32" s="40" t="s">
        <v>170</v>
      </c>
      <c r="C32" s="41" t="s">
        <v>91</v>
      </c>
      <c r="D32" s="40" t="s">
        <v>188</v>
      </c>
      <c r="E32" s="42">
        <v>200</v>
      </c>
      <c r="F32" s="42">
        <f>SUM(E32*78/1000)</f>
        <v>15.6</v>
      </c>
      <c r="G32" s="42">
        <v>294.17</v>
      </c>
      <c r="H32" s="58">
        <f t="shared" si="2"/>
        <v>4.5890520000000006</v>
      </c>
      <c r="I32" s="10">
        <f t="shared" ref="I32:I35" si="3">F32/6*G32</f>
        <v>764.8420000000001</v>
      </c>
    </row>
    <row r="33" spans="1:9" ht="15.75" hidden="1" customHeight="1">
      <c r="A33" s="21">
        <v>16</v>
      </c>
      <c r="B33" s="40" t="s">
        <v>27</v>
      </c>
      <c r="C33" s="41" t="s">
        <v>91</v>
      </c>
      <c r="D33" s="40" t="s">
        <v>54</v>
      </c>
      <c r="E33" s="42">
        <v>573.6</v>
      </c>
      <c r="F33" s="42">
        <f>SUM(E33/1000)</f>
        <v>0.5736</v>
      </c>
      <c r="G33" s="42">
        <v>3435.36</v>
      </c>
      <c r="H33" s="58">
        <f t="shared" si="2"/>
        <v>1.9705224960000001</v>
      </c>
      <c r="I33" s="10">
        <f t="shared" si="3"/>
        <v>328.42041600000005</v>
      </c>
    </row>
    <row r="34" spans="1:9" ht="15.75" customHeight="1">
      <c r="A34" s="21">
        <v>8</v>
      </c>
      <c r="B34" s="40" t="s">
        <v>128</v>
      </c>
      <c r="C34" s="41" t="s">
        <v>41</v>
      </c>
      <c r="D34" s="40" t="s">
        <v>64</v>
      </c>
      <c r="E34" s="42">
        <v>1</v>
      </c>
      <c r="F34" s="42">
        <v>1.55</v>
      </c>
      <c r="G34" s="42">
        <v>1480.94</v>
      </c>
      <c r="H34" s="58">
        <f>G34*F34/1000</f>
        <v>2.2954570000000003</v>
      </c>
      <c r="I34" s="10">
        <f t="shared" si="3"/>
        <v>382.57616666666672</v>
      </c>
    </row>
    <row r="35" spans="1:9" ht="15.75" customHeight="1">
      <c r="A35" s="21">
        <v>9</v>
      </c>
      <c r="B35" s="40" t="s">
        <v>96</v>
      </c>
      <c r="C35" s="41" t="s">
        <v>31</v>
      </c>
      <c r="D35" s="40" t="s">
        <v>64</v>
      </c>
      <c r="E35" s="63">
        <v>0.33333333333333331</v>
      </c>
      <c r="F35" s="42">
        <f>155/3</f>
        <v>51.666666666666664</v>
      </c>
      <c r="G35" s="42">
        <v>64.48</v>
      </c>
      <c r="H35" s="58">
        <f>SUM(G35*155/3/1000)</f>
        <v>3.331466666666667</v>
      </c>
      <c r="I35" s="10">
        <f t="shared" si="3"/>
        <v>555.24444444444441</v>
      </c>
    </row>
    <row r="36" spans="1:9" ht="15.75" hidden="1" customHeight="1">
      <c r="A36" s="21"/>
      <c r="B36" s="40" t="s">
        <v>66</v>
      </c>
      <c r="C36" s="41" t="s">
        <v>33</v>
      </c>
      <c r="D36" s="40" t="s">
        <v>68</v>
      </c>
      <c r="E36" s="57"/>
      <c r="F36" s="42">
        <v>3</v>
      </c>
      <c r="G36" s="42">
        <v>217.61</v>
      </c>
      <c r="H36" s="58">
        <f t="shared" si="2"/>
        <v>0.65283000000000002</v>
      </c>
      <c r="I36" s="10">
        <v>0</v>
      </c>
    </row>
    <row r="37" spans="1:9" ht="15.75" hidden="1" customHeight="1">
      <c r="A37" s="21"/>
      <c r="B37" s="40" t="s">
        <v>67</v>
      </c>
      <c r="C37" s="41" t="s">
        <v>32</v>
      </c>
      <c r="D37" s="40" t="s">
        <v>68</v>
      </c>
      <c r="E37" s="57"/>
      <c r="F37" s="42">
        <v>2</v>
      </c>
      <c r="G37" s="42">
        <v>1292.47</v>
      </c>
      <c r="H37" s="58">
        <f t="shared" si="2"/>
        <v>2.58494</v>
      </c>
      <c r="I37" s="10">
        <v>0</v>
      </c>
    </row>
    <row r="38" spans="1:9" ht="15.75" hidden="1" customHeight="1">
      <c r="A38" s="21"/>
      <c r="B38" s="78" t="s">
        <v>5</v>
      </c>
      <c r="C38" s="41"/>
      <c r="D38" s="40"/>
      <c r="E38" s="57"/>
      <c r="F38" s="42"/>
      <c r="G38" s="42"/>
      <c r="H38" s="58" t="s">
        <v>166</v>
      </c>
      <c r="I38" s="62"/>
    </row>
    <row r="39" spans="1:9" ht="15.75" hidden="1" customHeight="1">
      <c r="A39" s="21">
        <v>6</v>
      </c>
      <c r="B39" s="40" t="s">
        <v>26</v>
      </c>
      <c r="C39" s="41" t="s">
        <v>32</v>
      </c>
      <c r="D39" s="40"/>
      <c r="E39" s="57"/>
      <c r="F39" s="42">
        <v>8</v>
      </c>
      <c r="G39" s="42">
        <v>1737.08</v>
      </c>
      <c r="H39" s="58">
        <f t="shared" ref="H39:H45" si="4">SUM(F39*G39/1000)</f>
        <v>13.89664</v>
      </c>
      <c r="I39" s="10">
        <f>F39/6*G39</f>
        <v>2316.1066666666666</v>
      </c>
    </row>
    <row r="40" spans="1:9" ht="15.75" hidden="1" customHeight="1">
      <c r="A40" s="21">
        <v>7</v>
      </c>
      <c r="B40" s="40" t="s">
        <v>69</v>
      </c>
      <c r="C40" s="41" t="s">
        <v>29</v>
      </c>
      <c r="D40" s="40" t="s">
        <v>105</v>
      </c>
      <c r="E40" s="42">
        <v>200</v>
      </c>
      <c r="F40" s="42">
        <f>SUM(E40*30/1000)</f>
        <v>6</v>
      </c>
      <c r="G40" s="42">
        <v>2391.67</v>
      </c>
      <c r="H40" s="58">
        <f t="shared" si="4"/>
        <v>14.350020000000001</v>
      </c>
      <c r="I40" s="10">
        <f>F40/6*G40</f>
        <v>2391.67</v>
      </c>
    </row>
    <row r="41" spans="1:9" ht="15.75" hidden="1" customHeight="1">
      <c r="A41" s="21"/>
      <c r="B41" s="40" t="s">
        <v>129</v>
      </c>
      <c r="C41" s="41" t="s">
        <v>55</v>
      </c>
      <c r="D41" s="40"/>
      <c r="E41" s="57"/>
      <c r="F41" s="42">
        <v>130</v>
      </c>
      <c r="G41" s="42">
        <v>226.84</v>
      </c>
      <c r="H41" s="58">
        <f t="shared" si="4"/>
        <v>29.4892</v>
      </c>
      <c r="I41" s="10">
        <v>0</v>
      </c>
    </row>
    <row r="42" spans="1:9" ht="15.75" hidden="1" customHeight="1">
      <c r="A42" s="21">
        <v>8</v>
      </c>
      <c r="B42" s="40" t="s">
        <v>70</v>
      </c>
      <c r="C42" s="41" t="s">
        <v>29</v>
      </c>
      <c r="D42" s="40" t="s">
        <v>90</v>
      </c>
      <c r="E42" s="42">
        <v>60</v>
      </c>
      <c r="F42" s="42">
        <f>SUM(E42*155/1000)</f>
        <v>9.3000000000000007</v>
      </c>
      <c r="G42" s="42">
        <v>398.95</v>
      </c>
      <c r="H42" s="58">
        <f t="shared" si="4"/>
        <v>3.7102349999999999</v>
      </c>
      <c r="I42" s="10">
        <f t="shared" ref="I42:I45" si="5">F42/6*G42</f>
        <v>618.37249999999995</v>
      </c>
    </row>
    <row r="43" spans="1:9" ht="47.25" hidden="1" customHeight="1">
      <c r="A43" s="21">
        <v>9</v>
      </c>
      <c r="B43" s="40" t="s">
        <v>86</v>
      </c>
      <c r="C43" s="41" t="s">
        <v>91</v>
      </c>
      <c r="D43" s="40" t="s">
        <v>130</v>
      </c>
      <c r="E43" s="42">
        <v>40.9</v>
      </c>
      <c r="F43" s="42">
        <f>SUM(E43*35/1000)</f>
        <v>1.4315</v>
      </c>
      <c r="G43" s="42">
        <v>6600.74</v>
      </c>
      <c r="H43" s="58">
        <f t="shared" si="4"/>
        <v>9.4489593099999993</v>
      </c>
      <c r="I43" s="10">
        <f t="shared" si="5"/>
        <v>1574.8265516666668</v>
      </c>
    </row>
    <row r="44" spans="1:9" ht="15.75" hidden="1" customHeight="1">
      <c r="A44" s="21">
        <v>10</v>
      </c>
      <c r="B44" s="40" t="s">
        <v>92</v>
      </c>
      <c r="C44" s="41" t="s">
        <v>91</v>
      </c>
      <c r="D44" s="40" t="s">
        <v>71</v>
      </c>
      <c r="E44" s="42">
        <v>60</v>
      </c>
      <c r="F44" s="42">
        <f>SUM(E44*45/1000)</f>
        <v>2.7</v>
      </c>
      <c r="G44" s="42">
        <v>487.61</v>
      </c>
      <c r="H44" s="58">
        <f t="shared" si="4"/>
        <v>1.3165470000000001</v>
      </c>
      <c r="I44" s="10">
        <f t="shared" si="5"/>
        <v>219.42450000000002</v>
      </c>
    </row>
    <row r="45" spans="1:9" ht="15.75" hidden="1" customHeight="1">
      <c r="A45" s="21">
        <v>11</v>
      </c>
      <c r="B45" s="40" t="s">
        <v>72</v>
      </c>
      <c r="C45" s="41" t="s">
        <v>33</v>
      </c>
      <c r="D45" s="40"/>
      <c r="E45" s="57"/>
      <c r="F45" s="42">
        <v>0.9</v>
      </c>
      <c r="G45" s="42">
        <v>907.65</v>
      </c>
      <c r="H45" s="58">
        <f t="shared" si="4"/>
        <v>0.81688499999999997</v>
      </c>
      <c r="I45" s="10">
        <f t="shared" si="5"/>
        <v>136.14749999999998</v>
      </c>
    </row>
    <row r="46" spans="1:9" ht="15.75" hidden="1" customHeight="1">
      <c r="A46" s="130" t="s">
        <v>159</v>
      </c>
      <c r="B46" s="131"/>
      <c r="C46" s="131"/>
      <c r="D46" s="131"/>
      <c r="E46" s="131"/>
      <c r="F46" s="131"/>
      <c r="G46" s="131"/>
      <c r="H46" s="131"/>
      <c r="I46" s="132"/>
    </row>
    <row r="47" spans="1:9" ht="15.75" hidden="1" customHeight="1">
      <c r="A47" s="21"/>
      <c r="B47" s="40" t="s">
        <v>167</v>
      </c>
      <c r="C47" s="41" t="s">
        <v>91</v>
      </c>
      <c r="D47" s="40" t="s">
        <v>43</v>
      </c>
      <c r="E47" s="57">
        <v>1300.5</v>
      </c>
      <c r="F47" s="42">
        <f>SUM(E47/1000)*2</f>
        <v>2.601</v>
      </c>
      <c r="G47" s="10">
        <v>1173.18</v>
      </c>
      <c r="H47" s="58">
        <f t="shared" ref="H47:H57" si="6">SUM(F47*G47/1000)</f>
        <v>3.0514411800000003</v>
      </c>
      <c r="I47" s="10">
        <v>0</v>
      </c>
    </row>
    <row r="48" spans="1:9" ht="15.75" hidden="1" customHeight="1">
      <c r="A48" s="21"/>
      <c r="B48" s="40" t="s">
        <v>36</v>
      </c>
      <c r="C48" s="41" t="s">
        <v>91</v>
      </c>
      <c r="D48" s="40" t="s">
        <v>43</v>
      </c>
      <c r="E48" s="57">
        <v>52</v>
      </c>
      <c r="F48" s="42">
        <f>SUM(E48*2/1000)</f>
        <v>0.104</v>
      </c>
      <c r="G48" s="10">
        <v>659.09</v>
      </c>
      <c r="H48" s="58">
        <f t="shared" si="6"/>
        <v>6.854536E-2</v>
      </c>
      <c r="I48" s="10">
        <v>0</v>
      </c>
    </row>
    <row r="49" spans="1:9" ht="15.75" hidden="1" customHeight="1">
      <c r="A49" s="21"/>
      <c r="B49" s="40" t="s">
        <v>37</v>
      </c>
      <c r="C49" s="41" t="s">
        <v>91</v>
      </c>
      <c r="D49" s="40" t="s">
        <v>43</v>
      </c>
      <c r="E49" s="57">
        <v>1483.1</v>
      </c>
      <c r="F49" s="42">
        <f>SUM(E49*2/1000)</f>
        <v>2.9661999999999997</v>
      </c>
      <c r="G49" s="10">
        <v>1564.24</v>
      </c>
      <c r="H49" s="58">
        <f t="shared" si="6"/>
        <v>4.6398486879999998</v>
      </c>
      <c r="I49" s="10">
        <v>0</v>
      </c>
    </row>
    <row r="50" spans="1:9" ht="15.75" hidden="1" customHeight="1">
      <c r="A50" s="21"/>
      <c r="B50" s="40" t="s">
        <v>38</v>
      </c>
      <c r="C50" s="41" t="s">
        <v>91</v>
      </c>
      <c r="D50" s="40" t="s">
        <v>43</v>
      </c>
      <c r="E50" s="57">
        <v>2320</v>
      </c>
      <c r="F50" s="42">
        <f>SUM(E50*2/1000)</f>
        <v>4.6399999999999997</v>
      </c>
      <c r="G50" s="10">
        <v>1078.3599999999999</v>
      </c>
      <c r="H50" s="58">
        <f t="shared" si="6"/>
        <v>5.0035903999999993</v>
      </c>
      <c r="I50" s="10">
        <v>0</v>
      </c>
    </row>
    <row r="51" spans="1:9" ht="15.75" hidden="1" customHeight="1">
      <c r="A51" s="21"/>
      <c r="B51" s="40" t="s">
        <v>34</v>
      </c>
      <c r="C51" s="41" t="s">
        <v>35</v>
      </c>
      <c r="D51" s="40" t="s">
        <v>43</v>
      </c>
      <c r="E51" s="57">
        <v>91.84</v>
      </c>
      <c r="F51" s="42">
        <f>SUM(E51*2/100)</f>
        <v>1.8368</v>
      </c>
      <c r="G51" s="10">
        <v>82.82</v>
      </c>
      <c r="H51" s="58">
        <f t="shared" si="6"/>
        <v>0.15212377599999999</v>
      </c>
      <c r="I51" s="10">
        <v>0</v>
      </c>
    </row>
    <row r="52" spans="1:9" ht="15.75" hidden="1" customHeight="1">
      <c r="A52" s="21">
        <v>12</v>
      </c>
      <c r="B52" s="40" t="s">
        <v>57</v>
      </c>
      <c r="C52" s="41" t="s">
        <v>91</v>
      </c>
      <c r="D52" s="40" t="s">
        <v>171</v>
      </c>
      <c r="E52" s="57">
        <v>1040.4000000000001</v>
      </c>
      <c r="F52" s="42">
        <f>SUM(E52*5/1000)</f>
        <v>5.202</v>
      </c>
      <c r="G52" s="10">
        <v>1564.24</v>
      </c>
      <c r="H52" s="58">
        <f>SUM(F52*G52/1000)</f>
        <v>8.1371764800000008</v>
      </c>
      <c r="I52" s="10">
        <f>F52/5*G52</f>
        <v>1627.4352960000001</v>
      </c>
    </row>
    <row r="53" spans="1:9" ht="31.5" hidden="1" customHeight="1">
      <c r="A53" s="21">
        <v>10</v>
      </c>
      <c r="B53" s="40" t="s">
        <v>93</v>
      </c>
      <c r="C53" s="41" t="s">
        <v>91</v>
      </c>
      <c r="D53" s="40" t="s">
        <v>43</v>
      </c>
      <c r="E53" s="57">
        <v>1040.4000000000001</v>
      </c>
      <c r="F53" s="42">
        <f>SUM(E53*2/1000)</f>
        <v>2.0808</v>
      </c>
      <c r="G53" s="10">
        <v>1380.31</v>
      </c>
      <c r="H53" s="58">
        <f t="shared" si="6"/>
        <v>2.8721490479999998</v>
      </c>
      <c r="I53" s="10">
        <f>F53/2*G53</f>
        <v>1436.0745239999999</v>
      </c>
    </row>
    <row r="54" spans="1:9" ht="31.5" hidden="1" customHeight="1">
      <c r="A54" s="21">
        <v>11</v>
      </c>
      <c r="B54" s="40" t="s">
        <v>94</v>
      </c>
      <c r="C54" s="41" t="s">
        <v>39</v>
      </c>
      <c r="D54" s="40" t="s">
        <v>43</v>
      </c>
      <c r="E54" s="57">
        <v>20</v>
      </c>
      <c r="F54" s="42">
        <f>SUM(E54*2/100)</f>
        <v>0.4</v>
      </c>
      <c r="G54" s="10">
        <v>3519.56</v>
      </c>
      <c r="H54" s="58">
        <f t="shared" si="6"/>
        <v>1.407824</v>
      </c>
      <c r="I54" s="10">
        <f>F54/2*G54</f>
        <v>703.91200000000003</v>
      </c>
    </row>
    <row r="55" spans="1:9" ht="15.75" hidden="1" customHeight="1">
      <c r="A55" s="21"/>
      <c r="B55" s="40" t="s">
        <v>40</v>
      </c>
      <c r="C55" s="41" t="s">
        <v>41</v>
      </c>
      <c r="D55" s="40" t="s">
        <v>43</v>
      </c>
      <c r="E55" s="57">
        <v>1</v>
      </c>
      <c r="F55" s="42">
        <v>0.02</v>
      </c>
      <c r="G55" s="10">
        <v>6428.82</v>
      </c>
      <c r="H55" s="58">
        <f t="shared" si="6"/>
        <v>0.12857640000000001</v>
      </c>
      <c r="I55" s="10">
        <v>0</v>
      </c>
    </row>
    <row r="56" spans="1:9" ht="15.75" hidden="1" customHeight="1">
      <c r="A56" s="21">
        <v>13</v>
      </c>
      <c r="B56" s="40" t="s">
        <v>103</v>
      </c>
      <c r="C56" s="41" t="s">
        <v>98</v>
      </c>
      <c r="D56" s="40" t="s">
        <v>73</v>
      </c>
      <c r="E56" s="57">
        <v>56</v>
      </c>
      <c r="F56" s="42">
        <f>SUM(E56*3)</f>
        <v>168</v>
      </c>
      <c r="G56" s="10">
        <v>160.51</v>
      </c>
      <c r="H56" s="58">
        <f t="shared" si="6"/>
        <v>26.965679999999999</v>
      </c>
      <c r="I56" s="10">
        <f>E56*G56</f>
        <v>8988.56</v>
      </c>
    </row>
    <row r="57" spans="1:9" ht="15.75" hidden="1" customHeight="1">
      <c r="A57" s="21">
        <v>14</v>
      </c>
      <c r="B57" s="40" t="s">
        <v>42</v>
      </c>
      <c r="C57" s="41" t="s">
        <v>98</v>
      </c>
      <c r="D57" s="40" t="s">
        <v>73</v>
      </c>
      <c r="E57" s="57">
        <v>112</v>
      </c>
      <c r="F57" s="42">
        <f>SUM(E57)*3</f>
        <v>336</v>
      </c>
      <c r="G57" s="10">
        <v>74.709999999999994</v>
      </c>
      <c r="H57" s="58">
        <f t="shared" si="6"/>
        <v>25.102559999999997</v>
      </c>
      <c r="I57" s="10">
        <f>E57*G57</f>
        <v>8367.5199999999986</v>
      </c>
    </row>
    <row r="58" spans="1:9" ht="15.75" customHeight="1">
      <c r="A58" s="130" t="s">
        <v>162</v>
      </c>
      <c r="B58" s="131"/>
      <c r="C58" s="131"/>
      <c r="D58" s="131"/>
      <c r="E58" s="131"/>
      <c r="F58" s="131"/>
      <c r="G58" s="131"/>
      <c r="H58" s="131"/>
      <c r="I58" s="132"/>
    </row>
    <row r="59" spans="1:9" ht="15.75" hidden="1" customHeight="1">
      <c r="A59" s="21"/>
      <c r="B59" s="78" t="s">
        <v>44</v>
      </c>
      <c r="C59" s="41"/>
      <c r="D59" s="40"/>
      <c r="E59" s="57"/>
      <c r="F59" s="42"/>
      <c r="G59" s="42"/>
      <c r="H59" s="58"/>
      <c r="I59" s="62"/>
    </row>
    <row r="60" spans="1:9" ht="31.5" hidden="1" customHeight="1">
      <c r="A60" s="21">
        <v>15</v>
      </c>
      <c r="B60" s="40" t="s">
        <v>106</v>
      </c>
      <c r="C60" s="41" t="s">
        <v>89</v>
      </c>
      <c r="D60" s="40" t="s">
        <v>168</v>
      </c>
      <c r="E60" s="57">
        <v>142.05000000000001</v>
      </c>
      <c r="F60" s="42">
        <f>SUM(E60*6/100)</f>
        <v>8.5230000000000015</v>
      </c>
      <c r="G60" s="10">
        <v>2108.4299999999998</v>
      </c>
      <c r="H60" s="58">
        <f>SUM(F60*G60/1000)</f>
        <v>17.970148890000001</v>
      </c>
      <c r="I60" s="10">
        <f>F60/6*G60</f>
        <v>2995.0248150000002</v>
      </c>
    </row>
    <row r="61" spans="1:9" ht="15.75" customHeight="1">
      <c r="A61" s="21"/>
      <c r="B61" s="78" t="s">
        <v>45</v>
      </c>
      <c r="C61" s="41"/>
      <c r="D61" s="40"/>
      <c r="E61" s="57"/>
      <c r="F61" s="58"/>
      <c r="G61" s="10"/>
      <c r="H61" s="65"/>
      <c r="I61" s="62"/>
    </row>
    <row r="62" spans="1:9" ht="15.75" hidden="1" customHeight="1">
      <c r="A62" s="21"/>
      <c r="B62" s="40" t="s">
        <v>169</v>
      </c>
      <c r="C62" s="41" t="s">
        <v>89</v>
      </c>
      <c r="D62" s="40" t="s">
        <v>54</v>
      </c>
      <c r="E62" s="57">
        <v>1040.4000000000001</v>
      </c>
      <c r="F62" s="58">
        <f>E62/100</f>
        <v>10.404000000000002</v>
      </c>
      <c r="G62" s="10">
        <v>902.66</v>
      </c>
      <c r="H62" s="65">
        <f>G62*F62/1000</f>
        <v>9.3912746400000007</v>
      </c>
      <c r="I62" s="10">
        <v>0</v>
      </c>
    </row>
    <row r="63" spans="1:9" ht="15.75" customHeight="1">
      <c r="A63" s="21">
        <v>10</v>
      </c>
      <c r="B63" s="40" t="s">
        <v>131</v>
      </c>
      <c r="C63" s="41" t="s">
        <v>25</v>
      </c>
      <c r="D63" s="40" t="s">
        <v>132</v>
      </c>
      <c r="E63" s="57">
        <v>240</v>
      </c>
      <c r="F63" s="42">
        <v>2880</v>
      </c>
      <c r="G63" s="52">
        <v>1.2</v>
      </c>
      <c r="H63" s="58">
        <f>F63*G63/1000</f>
        <v>3.456</v>
      </c>
      <c r="I63" s="10">
        <f>F63/12*G63</f>
        <v>288</v>
      </c>
    </row>
    <row r="64" spans="1:9" ht="15.75" customHeight="1">
      <c r="A64" s="21"/>
      <c r="B64" s="79" t="s">
        <v>46</v>
      </c>
      <c r="C64" s="66"/>
      <c r="D64" s="67"/>
      <c r="E64" s="68"/>
      <c r="F64" s="69"/>
      <c r="G64" s="69"/>
      <c r="H64" s="70" t="s">
        <v>166</v>
      </c>
      <c r="I64" s="62"/>
    </row>
    <row r="65" spans="1:9" ht="15.75" hidden="1" customHeight="1">
      <c r="A65" s="21">
        <v>17</v>
      </c>
      <c r="B65" s="11" t="s">
        <v>47</v>
      </c>
      <c r="C65" s="13" t="s">
        <v>41</v>
      </c>
      <c r="D65" s="40" t="s">
        <v>68</v>
      </c>
      <c r="E65" s="15">
        <v>15</v>
      </c>
      <c r="F65" s="42">
        <f>15/100</f>
        <v>0.15</v>
      </c>
      <c r="G65" s="10">
        <v>252.96</v>
      </c>
      <c r="H65" s="71">
        <f t="shared" ref="H65:H81" si="7">SUM(F65*G65/1000)</f>
        <v>3.7944000000000006E-2</v>
      </c>
      <c r="I65" s="10">
        <f>G65*5</f>
        <v>1264.8</v>
      </c>
    </row>
    <row r="66" spans="1:9" ht="15.75" hidden="1" customHeight="1">
      <c r="A66" s="21"/>
      <c r="B66" s="11" t="s">
        <v>48</v>
      </c>
      <c r="C66" s="13" t="s">
        <v>41</v>
      </c>
      <c r="D66" s="40" t="s">
        <v>68</v>
      </c>
      <c r="E66" s="15">
        <v>10</v>
      </c>
      <c r="F66" s="42">
        <f>10/100</f>
        <v>0.1</v>
      </c>
      <c r="G66" s="10">
        <v>86.74</v>
      </c>
      <c r="H66" s="71">
        <f t="shared" si="7"/>
        <v>8.6739999999999994E-3</v>
      </c>
      <c r="I66" s="10">
        <v>0</v>
      </c>
    </row>
    <row r="67" spans="1:9" ht="15.75" hidden="1" customHeight="1">
      <c r="A67" s="21"/>
      <c r="B67" s="11" t="s">
        <v>49</v>
      </c>
      <c r="C67" s="13" t="s">
        <v>99</v>
      </c>
      <c r="D67" s="11" t="s">
        <v>54</v>
      </c>
      <c r="E67" s="57">
        <v>17532</v>
      </c>
      <c r="F67" s="10">
        <f>SUM(E67/100)</f>
        <v>175.32</v>
      </c>
      <c r="G67" s="10">
        <v>241.31</v>
      </c>
      <c r="H67" s="71">
        <f t="shared" si="7"/>
        <v>42.306469200000002</v>
      </c>
      <c r="I67" s="10">
        <f>F67*G67</f>
        <v>42306.4692</v>
      </c>
    </row>
    <row r="68" spans="1:9" ht="15.75" hidden="1" customHeight="1">
      <c r="A68" s="21"/>
      <c r="B68" s="11" t="s">
        <v>50</v>
      </c>
      <c r="C68" s="13" t="s">
        <v>100</v>
      </c>
      <c r="D68" s="11"/>
      <c r="E68" s="57">
        <v>17532</v>
      </c>
      <c r="F68" s="10">
        <f>SUM(E68/1000)</f>
        <v>17.532</v>
      </c>
      <c r="G68" s="10">
        <v>187.91</v>
      </c>
      <c r="H68" s="71">
        <f t="shared" si="7"/>
        <v>3.2944381199999997</v>
      </c>
      <c r="I68" s="10">
        <f>F68*G68</f>
        <v>3294.4381199999998</v>
      </c>
    </row>
    <row r="69" spans="1:9" ht="15.75" hidden="1" customHeight="1">
      <c r="A69" s="21"/>
      <c r="B69" s="11" t="s">
        <v>51</v>
      </c>
      <c r="C69" s="13" t="s">
        <v>80</v>
      </c>
      <c r="D69" s="11" t="s">
        <v>54</v>
      </c>
      <c r="E69" s="57">
        <v>1365</v>
      </c>
      <c r="F69" s="10">
        <f>SUM(E69/100)</f>
        <v>13.65</v>
      </c>
      <c r="G69" s="10">
        <v>2359.7199999999998</v>
      </c>
      <c r="H69" s="71">
        <f t="shared" si="7"/>
        <v>32.210177999999999</v>
      </c>
      <c r="I69" s="10">
        <f t="shared" ref="I69:I72" si="8">F69*G69</f>
        <v>32210.178</v>
      </c>
    </row>
    <row r="70" spans="1:9" ht="15.75" hidden="1" customHeight="1">
      <c r="A70" s="21"/>
      <c r="B70" s="72" t="s">
        <v>74</v>
      </c>
      <c r="C70" s="13" t="s">
        <v>33</v>
      </c>
      <c r="D70" s="11"/>
      <c r="E70" s="57">
        <v>15.6</v>
      </c>
      <c r="F70" s="10">
        <f>SUM(E70)</f>
        <v>15.6</v>
      </c>
      <c r="G70" s="10">
        <v>45.4</v>
      </c>
      <c r="H70" s="71">
        <f t="shared" si="7"/>
        <v>0.70823999999999998</v>
      </c>
      <c r="I70" s="10">
        <f t="shared" si="8"/>
        <v>708.24</v>
      </c>
    </row>
    <row r="71" spans="1:9" ht="15.75" hidden="1" customHeight="1">
      <c r="A71" s="21"/>
      <c r="B71" s="72" t="s">
        <v>172</v>
      </c>
      <c r="C71" s="13" t="s">
        <v>33</v>
      </c>
      <c r="D71" s="11"/>
      <c r="E71" s="57">
        <v>15.6</v>
      </c>
      <c r="F71" s="10">
        <f>SUM(E71)</f>
        <v>15.6</v>
      </c>
      <c r="G71" s="10">
        <v>42.35</v>
      </c>
      <c r="H71" s="71">
        <f t="shared" si="7"/>
        <v>0.66065999999999991</v>
      </c>
      <c r="I71" s="10">
        <f t="shared" si="8"/>
        <v>660.66</v>
      </c>
    </row>
    <row r="72" spans="1:9" ht="15.75" hidden="1" customHeight="1">
      <c r="A72" s="21"/>
      <c r="B72" s="11" t="s">
        <v>58</v>
      </c>
      <c r="C72" s="13" t="s">
        <v>59</v>
      </c>
      <c r="D72" s="11" t="s">
        <v>54</v>
      </c>
      <c r="E72" s="15">
        <v>4</v>
      </c>
      <c r="F72" s="42">
        <f>SUM(E72)</f>
        <v>4</v>
      </c>
      <c r="G72" s="10">
        <v>56.74</v>
      </c>
      <c r="H72" s="71">
        <f t="shared" si="7"/>
        <v>0.22696</v>
      </c>
      <c r="I72" s="10">
        <f t="shared" si="8"/>
        <v>226.96</v>
      </c>
    </row>
    <row r="73" spans="1:9" ht="15.75" customHeight="1">
      <c r="A73" s="21">
        <v>11</v>
      </c>
      <c r="B73" s="11" t="s">
        <v>133</v>
      </c>
      <c r="C73" s="13" t="s">
        <v>59</v>
      </c>
      <c r="D73" s="11" t="s">
        <v>30</v>
      </c>
      <c r="E73" s="15">
        <v>1</v>
      </c>
      <c r="F73" s="52">
        <v>12</v>
      </c>
      <c r="G73" s="10">
        <v>756.5</v>
      </c>
      <c r="H73" s="71">
        <f t="shared" si="7"/>
        <v>9.0779999999999994</v>
      </c>
      <c r="I73" s="10">
        <f>G73</f>
        <v>756.5</v>
      </c>
    </row>
    <row r="74" spans="1:9" ht="15.75" hidden="1" customHeight="1">
      <c r="A74" s="21"/>
      <c r="B74" s="45" t="s">
        <v>75</v>
      </c>
      <c r="C74" s="13"/>
      <c r="D74" s="11"/>
      <c r="E74" s="15"/>
      <c r="F74" s="10"/>
      <c r="G74" s="10"/>
      <c r="H74" s="71" t="s">
        <v>166</v>
      </c>
      <c r="I74" s="62"/>
    </row>
    <row r="75" spans="1:9" ht="15.75" hidden="1" customHeight="1">
      <c r="A75" s="21"/>
      <c r="B75" s="11" t="s">
        <v>134</v>
      </c>
      <c r="C75" s="13" t="s">
        <v>31</v>
      </c>
      <c r="D75" s="40" t="s">
        <v>68</v>
      </c>
      <c r="E75" s="15">
        <v>2</v>
      </c>
      <c r="F75" s="10">
        <v>2</v>
      </c>
      <c r="G75" s="10">
        <v>892.5</v>
      </c>
      <c r="H75" s="71">
        <f>G75*F75/1000</f>
        <v>1.7849999999999999</v>
      </c>
      <c r="I75" s="10">
        <v>0</v>
      </c>
    </row>
    <row r="76" spans="1:9" ht="15.75" hidden="1" customHeight="1">
      <c r="A76" s="21"/>
      <c r="B76" s="11" t="s">
        <v>119</v>
      </c>
      <c r="C76" s="13" t="s">
        <v>135</v>
      </c>
      <c r="D76" s="11"/>
      <c r="E76" s="15">
        <v>1</v>
      </c>
      <c r="F76" s="10">
        <v>1</v>
      </c>
      <c r="G76" s="10">
        <v>750</v>
      </c>
      <c r="H76" s="71">
        <f>G76*F76/1000</f>
        <v>0.75</v>
      </c>
      <c r="I76" s="10">
        <v>0</v>
      </c>
    </row>
    <row r="77" spans="1:9" ht="15.75" hidden="1" customHeight="1">
      <c r="A77" s="21"/>
      <c r="B77" s="11" t="s">
        <v>76</v>
      </c>
      <c r="C77" s="13" t="s">
        <v>78</v>
      </c>
      <c r="D77" s="11"/>
      <c r="E77" s="15">
        <v>2</v>
      </c>
      <c r="F77" s="10">
        <v>0.2</v>
      </c>
      <c r="G77" s="10">
        <v>570.54</v>
      </c>
      <c r="H77" s="71">
        <f t="shared" si="7"/>
        <v>0.114108</v>
      </c>
      <c r="I77" s="10">
        <v>0</v>
      </c>
    </row>
    <row r="78" spans="1:9" ht="15.75" hidden="1" customHeight="1">
      <c r="A78" s="21"/>
      <c r="B78" s="11" t="s">
        <v>77</v>
      </c>
      <c r="C78" s="13" t="s">
        <v>31</v>
      </c>
      <c r="D78" s="11"/>
      <c r="E78" s="15">
        <v>1</v>
      </c>
      <c r="F78" s="52">
        <v>1</v>
      </c>
      <c r="G78" s="10">
        <v>970.21</v>
      </c>
      <c r="H78" s="71">
        <f t="shared" si="7"/>
        <v>0.97021000000000002</v>
      </c>
      <c r="I78" s="10">
        <v>0</v>
      </c>
    </row>
    <row r="79" spans="1:9" ht="15.75" hidden="1" customHeight="1">
      <c r="A79" s="21"/>
      <c r="B79" s="11" t="s">
        <v>136</v>
      </c>
      <c r="C79" s="13" t="s">
        <v>98</v>
      </c>
      <c r="D79" s="11"/>
      <c r="E79" s="15">
        <v>1</v>
      </c>
      <c r="F79" s="42">
        <f>SUM(E79)</f>
        <v>1</v>
      </c>
      <c r="G79" s="10">
        <v>407.79</v>
      </c>
      <c r="H79" s="71">
        <f t="shared" si="7"/>
        <v>0.40779000000000004</v>
      </c>
      <c r="I79" s="10">
        <v>0</v>
      </c>
    </row>
    <row r="80" spans="1:9" ht="15.75" hidden="1" customHeight="1">
      <c r="A80" s="21"/>
      <c r="B80" s="76" t="s">
        <v>79</v>
      </c>
      <c r="C80" s="13"/>
      <c r="D80" s="11"/>
      <c r="E80" s="15"/>
      <c r="F80" s="10"/>
      <c r="G80" s="10" t="s">
        <v>166</v>
      </c>
      <c r="H80" s="71" t="s">
        <v>166</v>
      </c>
      <c r="I80" s="62"/>
    </row>
    <row r="81" spans="1:9" ht="15.75" hidden="1" customHeight="1">
      <c r="A81" s="21"/>
      <c r="B81" s="34" t="s">
        <v>104</v>
      </c>
      <c r="C81" s="13" t="s">
        <v>80</v>
      </c>
      <c r="D81" s="11"/>
      <c r="E81" s="15"/>
      <c r="F81" s="10">
        <v>0.6</v>
      </c>
      <c r="G81" s="10">
        <v>3138.65</v>
      </c>
      <c r="H81" s="71">
        <f t="shared" si="7"/>
        <v>1.8831900000000001</v>
      </c>
      <c r="I81" s="10">
        <v>0</v>
      </c>
    </row>
    <row r="82" spans="1:9" ht="15.75" hidden="1" customHeight="1">
      <c r="A82" s="21"/>
      <c r="B82" s="45" t="s">
        <v>95</v>
      </c>
      <c r="C82" s="13"/>
      <c r="D82" s="11"/>
      <c r="E82" s="53"/>
      <c r="F82" s="10"/>
      <c r="G82" s="10"/>
      <c r="H82" s="71"/>
      <c r="I82" s="10"/>
    </row>
    <row r="83" spans="1:9" ht="15.75" hidden="1" customHeight="1">
      <c r="A83" s="21"/>
      <c r="B83" s="40" t="s">
        <v>101</v>
      </c>
      <c r="C83" s="13"/>
      <c r="D83" s="11"/>
      <c r="E83" s="53"/>
      <c r="F83" s="10">
        <v>1</v>
      </c>
      <c r="G83" s="10">
        <v>21095</v>
      </c>
      <c r="H83" s="71">
        <f>G83*F83/1000</f>
        <v>21.094999999999999</v>
      </c>
      <c r="I83" s="10">
        <v>0</v>
      </c>
    </row>
    <row r="84" spans="1:9" ht="18.75" customHeight="1">
      <c r="A84" s="21"/>
      <c r="B84" s="80" t="s">
        <v>107</v>
      </c>
      <c r="C84" s="76"/>
      <c r="D84" s="23"/>
      <c r="E84" s="24"/>
      <c r="F84" s="75"/>
      <c r="G84" s="75"/>
      <c r="H84" s="73"/>
      <c r="I84" s="61"/>
    </row>
    <row r="85" spans="1:9" ht="24" hidden="1" customHeight="1">
      <c r="A85" s="21"/>
      <c r="B85" s="77" t="s">
        <v>137</v>
      </c>
      <c r="C85" s="13" t="s">
        <v>138</v>
      </c>
      <c r="D85" s="40" t="s">
        <v>68</v>
      </c>
      <c r="E85" s="15">
        <v>10</v>
      </c>
      <c r="F85" s="10">
        <v>10</v>
      </c>
      <c r="G85" s="10">
        <v>271.88</v>
      </c>
      <c r="H85" s="71">
        <f t="shared" ref="H85:H98" si="9">F85*G85/1000</f>
        <v>2.7188000000000003</v>
      </c>
      <c r="I85" s="10">
        <v>0</v>
      </c>
    </row>
    <row r="86" spans="1:9" ht="21" customHeight="1">
      <c r="A86" s="21">
        <v>12</v>
      </c>
      <c r="B86" s="77" t="s">
        <v>108</v>
      </c>
      <c r="C86" s="13" t="s">
        <v>84</v>
      </c>
      <c r="D86" s="40" t="s">
        <v>68</v>
      </c>
      <c r="E86" s="15">
        <v>100</v>
      </c>
      <c r="F86" s="10">
        <v>100</v>
      </c>
      <c r="G86" s="10">
        <v>111.84</v>
      </c>
      <c r="H86" s="71">
        <f t="shared" si="9"/>
        <v>11.183999999999999</v>
      </c>
      <c r="I86" s="10">
        <f>G86*12</f>
        <v>1342.08</v>
      </c>
    </row>
    <row r="87" spans="1:9" ht="30.75" hidden="1" customHeight="1">
      <c r="A87" s="21"/>
      <c r="B87" s="77" t="s">
        <v>139</v>
      </c>
      <c r="C87" s="13" t="s">
        <v>140</v>
      </c>
      <c r="D87" s="40" t="s">
        <v>68</v>
      </c>
      <c r="E87" s="15">
        <v>30</v>
      </c>
      <c r="F87" s="10">
        <v>10</v>
      </c>
      <c r="G87" s="10">
        <v>972.09</v>
      </c>
      <c r="H87" s="71">
        <f t="shared" si="9"/>
        <v>9.7209000000000003</v>
      </c>
      <c r="I87" s="10">
        <v>0</v>
      </c>
    </row>
    <row r="88" spans="1:9" ht="27" hidden="1" customHeight="1">
      <c r="A88" s="21"/>
      <c r="B88" s="77" t="s">
        <v>141</v>
      </c>
      <c r="C88" s="13" t="s">
        <v>53</v>
      </c>
      <c r="D88" s="40" t="s">
        <v>68</v>
      </c>
      <c r="E88" s="15">
        <v>100</v>
      </c>
      <c r="F88" s="10">
        <v>1</v>
      </c>
      <c r="G88" s="10">
        <v>1829.52</v>
      </c>
      <c r="H88" s="71">
        <f t="shared" si="9"/>
        <v>1.82952</v>
      </c>
      <c r="I88" s="10">
        <v>0</v>
      </c>
    </row>
    <row r="89" spans="1:9" ht="30" customHeight="1">
      <c r="A89" s="21">
        <v>13</v>
      </c>
      <c r="B89" s="77" t="s">
        <v>142</v>
      </c>
      <c r="C89" s="13" t="s">
        <v>143</v>
      </c>
      <c r="D89" s="40" t="s">
        <v>68</v>
      </c>
      <c r="E89" s="15">
        <v>40</v>
      </c>
      <c r="F89" s="10">
        <v>4</v>
      </c>
      <c r="G89" s="10">
        <v>272.39</v>
      </c>
      <c r="H89" s="71">
        <f t="shared" si="9"/>
        <v>1.0895599999999999</v>
      </c>
      <c r="I89" s="10">
        <f>G89*10</f>
        <v>2723.8999999999996</v>
      </c>
    </row>
    <row r="90" spans="1:9" ht="33.75" hidden="1" customHeight="1">
      <c r="A90" s="21"/>
      <c r="B90" s="77" t="s">
        <v>144</v>
      </c>
      <c r="C90" s="13" t="s">
        <v>84</v>
      </c>
      <c r="D90" s="40" t="s">
        <v>68</v>
      </c>
      <c r="E90" s="15">
        <v>15</v>
      </c>
      <c r="F90" s="10">
        <v>15</v>
      </c>
      <c r="G90" s="10">
        <v>1430.02</v>
      </c>
      <c r="H90" s="71">
        <f t="shared" si="9"/>
        <v>21.450299999999999</v>
      </c>
      <c r="I90" s="10">
        <v>0</v>
      </c>
    </row>
    <row r="91" spans="1:9" ht="28.5" hidden="1" customHeight="1">
      <c r="A91" s="21"/>
      <c r="B91" s="77" t="s">
        <v>145</v>
      </c>
      <c r="C91" s="13" t="s">
        <v>84</v>
      </c>
      <c r="D91" s="40" t="s">
        <v>68</v>
      </c>
      <c r="E91" s="15">
        <v>10</v>
      </c>
      <c r="F91" s="10">
        <v>10</v>
      </c>
      <c r="G91" s="10">
        <v>1743.04</v>
      </c>
      <c r="H91" s="71">
        <f t="shared" si="9"/>
        <v>17.430400000000002</v>
      </c>
      <c r="I91" s="10">
        <v>0</v>
      </c>
    </row>
    <row r="92" spans="1:9" ht="20.25" hidden="1" customHeight="1">
      <c r="A92" s="21"/>
      <c r="B92" s="77" t="s">
        <v>146</v>
      </c>
      <c r="C92" s="13" t="s">
        <v>84</v>
      </c>
      <c r="D92" s="40" t="s">
        <v>68</v>
      </c>
      <c r="E92" s="15">
        <v>20</v>
      </c>
      <c r="F92" s="10">
        <v>20</v>
      </c>
      <c r="G92" s="10">
        <v>607.27</v>
      </c>
      <c r="H92" s="71">
        <f t="shared" si="9"/>
        <v>12.1454</v>
      </c>
      <c r="I92" s="10">
        <v>0</v>
      </c>
    </row>
    <row r="93" spans="1:9" ht="27" hidden="1" customHeight="1">
      <c r="A93" s="21"/>
      <c r="B93" s="77" t="s">
        <v>147</v>
      </c>
      <c r="C93" s="13" t="s">
        <v>84</v>
      </c>
      <c r="D93" s="40" t="s">
        <v>68</v>
      </c>
      <c r="E93" s="15">
        <v>30</v>
      </c>
      <c r="F93" s="10">
        <v>30</v>
      </c>
      <c r="G93" s="10">
        <v>711.93</v>
      </c>
      <c r="H93" s="71">
        <f t="shared" si="9"/>
        <v>21.357899999999997</v>
      </c>
      <c r="I93" s="10">
        <v>0</v>
      </c>
    </row>
    <row r="94" spans="1:9" ht="27.75" hidden="1" customHeight="1">
      <c r="A94" s="21"/>
      <c r="B94" s="77" t="s">
        <v>109</v>
      </c>
      <c r="C94" s="13" t="s">
        <v>31</v>
      </c>
      <c r="D94" s="40" t="s">
        <v>68</v>
      </c>
      <c r="E94" s="15">
        <v>10</v>
      </c>
      <c r="F94" s="10">
        <v>10</v>
      </c>
      <c r="G94" s="10">
        <v>455.31</v>
      </c>
      <c r="H94" s="71">
        <f t="shared" si="9"/>
        <v>4.5531000000000006</v>
      </c>
      <c r="I94" s="10">
        <v>0</v>
      </c>
    </row>
    <row r="95" spans="1:9" ht="22.5" hidden="1" customHeight="1">
      <c r="A95" s="21"/>
      <c r="B95" s="77" t="s">
        <v>148</v>
      </c>
      <c r="C95" s="13" t="s">
        <v>84</v>
      </c>
      <c r="D95" s="40" t="s">
        <v>68</v>
      </c>
      <c r="E95" s="15">
        <v>30</v>
      </c>
      <c r="F95" s="10">
        <v>30</v>
      </c>
      <c r="G95" s="10">
        <v>1155.7</v>
      </c>
      <c r="H95" s="71">
        <f t="shared" si="9"/>
        <v>34.670999999999999</v>
      </c>
      <c r="I95" s="10">
        <v>0</v>
      </c>
    </row>
    <row r="96" spans="1:9" ht="21.75" hidden="1" customHeight="1">
      <c r="A96" s="21"/>
      <c r="B96" s="77" t="s">
        <v>149</v>
      </c>
      <c r="C96" s="13" t="s">
        <v>29</v>
      </c>
      <c r="D96" s="11" t="s">
        <v>43</v>
      </c>
      <c r="E96" s="15">
        <v>1040.4000000000001</v>
      </c>
      <c r="F96" s="10">
        <f>E96*2/1000</f>
        <v>2.0808</v>
      </c>
      <c r="G96" s="10">
        <v>1560.98</v>
      </c>
      <c r="H96" s="71">
        <f t="shared" si="9"/>
        <v>3.2480871840000001</v>
      </c>
      <c r="I96" s="10">
        <v>0</v>
      </c>
    </row>
    <row r="97" spans="1:9" ht="18" hidden="1" customHeight="1">
      <c r="A97" s="21"/>
      <c r="B97" s="77" t="s">
        <v>150</v>
      </c>
      <c r="C97" s="21" t="s">
        <v>152</v>
      </c>
      <c r="D97" s="40" t="s">
        <v>68</v>
      </c>
      <c r="E97" s="15">
        <v>100</v>
      </c>
      <c r="F97" s="10">
        <v>1</v>
      </c>
      <c r="G97" s="10">
        <v>12859.93</v>
      </c>
      <c r="H97" s="71">
        <f t="shared" si="9"/>
        <v>12.85993</v>
      </c>
      <c r="I97" s="10">
        <v>0</v>
      </c>
    </row>
    <row r="98" spans="1:9" ht="18" hidden="1" customHeight="1">
      <c r="A98" s="21"/>
      <c r="B98" s="77" t="s">
        <v>151</v>
      </c>
      <c r="C98" s="13" t="s">
        <v>29</v>
      </c>
      <c r="D98" s="11" t="s">
        <v>43</v>
      </c>
      <c r="E98" s="15">
        <v>1040.4000000000001</v>
      </c>
      <c r="F98" s="10">
        <v>2.08</v>
      </c>
      <c r="G98" s="10">
        <v>1453.29</v>
      </c>
      <c r="H98" s="71">
        <f t="shared" si="9"/>
        <v>3.0228432000000001</v>
      </c>
      <c r="I98" s="10">
        <v>0</v>
      </c>
    </row>
    <row r="99" spans="1:9" ht="15.75" customHeight="1">
      <c r="A99" s="133" t="s">
        <v>161</v>
      </c>
      <c r="B99" s="134"/>
      <c r="C99" s="134"/>
      <c r="D99" s="134"/>
      <c r="E99" s="134"/>
      <c r="F99" s="134"/>
      <c r="G99" s="134"/>
      <c r="H99" s="134"/>
      <c r="I99" s="135"/>
    </row>
    <row r="100" spans="1:9" ht="15.75" customHeight="1">
      <c r="A100" s="21">
        <v>14</v>
      </c>
      <c r="B100" s="77" t="s">
        <v>102</v>
      </c>
      <c r="C100" s="13" t="s">
        <v>55</v>
      </c>
      <c r="D100" s="51" t="s">
        <v>56</v>
      </c>
      <c r="E100" s="10">
        <v>3455.3</v>
      </c>
      <c r="F100" s="10">
        <v>41463.599999999999</v>
      </c>
      <c r="G100" s="10">
        <v>2.7</v>
      </c>
      <c r="H100" s="71">
        <f>SUM(F100*G100/1000)</f>
        <v>111.95171999999999</v>
      </c>
      <c r="I100" s="10">
        <f>F100/12*G100</f>
        <v>9329.31</v>
      </c>
    </row>
    <row r="101" spans="1:9" ht="31.5" customHeight="1">
      <c r="A101" s="21">
        <v>15</v>
      </c>
      <c r="B101" s="11" t="s">
        <v>81</v>
      </c>
      <c r="C101" s="13"/>
      <c r="D101" s="51" t="s">
        <v>56</v>
      </c>
      <c r="E101" s="57">
        <f>E100</f>
        <v>3455.3</v>
      </c>
      <c r="F101" s="10">
        <f>E101*12</f>
        <v>41463.600000000006</v>
      </c>
      <c r="G101" s="10">
        <v>3.05</v>
      </c>
      <c r="H101" s="71">
        <f>F101*G101/1000</f>
        <v>126.46398000000001</v>
      </c>
      <c r="I101" s="10">
        <f>F101/12*G101</f>
        <v>10538.665000000001</v>
      </c>
    </row>
    <row r="102" spans="1:9" ht="15.75" customHeight="1">
      <c r="A102" s="21"/>
      <c r="B102" s="27" t="s">
        <v>83</v>
      </c>
      <c r="C102" s="76"/>
      <c r="D102" s="74"/>
      <c r="E102" s="75"/>
      <c r="F102" s="75"/>
      <c r="G102" s="75"/>
      <c r="H102" s="73">
        <f>SUM(H101)</f>
        <v>126.46398000000001</v>
      </c>
      <c r="I102" s="75">
        <f>I101+I100+I89+I86+I73+I63+I35+I34+I32+I31+I28+I27+I18+I17+I16</f>
        <v>53702.33229111111</v>
      </c>
    </row>
    <row r="103" spans="1:9" ht="15.75" customHeight="1">
      <c r="A103" s="140" t="s">
        <v>61</v>
      </c>
      <c r="B103" s="141"/>
      <c r="C103" s="141"/>
      <c r="D103" s="141"/>
      <c r="E103" s="141"/>
      <c r="F103" s="141"/>
      <c r="G103" s="141"/>
      <c r="H103" s="141"/>
      <c r="I103" s="142"/>
    </row>
    <row r="104" spans="1:9" ht="34.5" customHeight="1">
      <c r="A104" s="21">
        <v>16</v>
      </c>
      <c r="B104" s="39" t="s">
        <v>216</v>
      </c>
      <c r="C104" s="88" t="s">
        <v>217</v>
      </c>
      <c r="D104" s="34"/>
      <c r="E104" s="10"/>
      <c r="F104" s="10">
        <v>11</v>
      </c>
      <c r="G104" s="109">
        <v>24829.08</v>
      </c>
      <c r="H104" s="87">
        <f>G104*F104/1000</f>
        <v>273.11988000000002</v>
      </c>
      <c r="I104" s="10">
        <f>G104*0.02</f>
        <v>496.58160000000004</v>
      </c>
    </row>
    <row r="105" spans="1:9" ht="31.5" hidden="1" customHeight="1">
      <c r="A105" s="21">
        <v>17</v>
      </c>
      <c r="B105" s="37"/>
      <c r="C105" s="59"/>
      <c r="D105" s="34"/>
      <c r="E105" s="10"/>
      <c r="F105" s="10">
        <v>2</v>
      </c>
      <c r="G105" s="10"/>
      <c r="H105" s="87">
        <f>G105*F105/1000</f>
        <v>0</v>
      </c>
      <c r="I105" s="10"/>
    </row>
    <row r="106" spans="1:9">
      <c r="A106" s="21"/>
      <c r="B106" s="32" t="s">
        <v>52</v>
      </c>
      <c r="C106" s="28"/>
      <c r="D106" s="35"/>
      <c r="E106" s="28">
        <v>1</v>
      </c>
      <c r="F106" s="28"/>
      <c r="G106" s="28"/>
      <c r="H106" s="28"/>
      <c r="I106" s="24">
        <f>SUM(I104:I105)</f>
        <v>496.58160000000004</v>
      </c>
    </row>
    <row r="107" spans="1:9">
      <c r="A107" s="21"/>
      <c r="B107" s="34" t="s">
        <v>82</v>
      </c>
      <c r="C107" s="12"/>
      <c r="D107" s="12"/>
      <c r="E107" s="29"/>
      <c r="F107" s="29"/>
      <c r="G107" s="30"/>
      <c r="H107" s="30"/>
      <c r="I107" s="14">
        <v>0</v>
      </c>
    </row>
    <row r="108" spans="1:9" ht="15.75" customHeight="1">
      <c r="A108" s="36"/>
      <c r="B108" s="33" t="s">
        <v>184</v>
      </c>
      <c r="C108" s="25"/>
      <c r="D108" s="25"/>
      <c r="E108" s="25"/>
      <c r="F108" s="25"/>
      <c r="G108" s="25"/>
      <c r="H108" s="25"/>
      <c r="I108" s="31">
        <f>I102+I106</f>
        <v>54198.913891111108</v>
      </c>
    </row>
    <row r="109" spans="1:9" ht="15.75">
      <c r="A109" s="136" t="s">
        <v>223</v>
      </c>
      <c r="B109" s="136"/>
      <c r="C109" s="136"/>
      <c r="D109" s="136"/>
      <c r="E109" s="136"/>
      <c r="F109" s="136"/>
      <c r="G109" s="136"/>
      <c r="H109" s="136"/>
      <c r="I109" s="136"/>
    </row>
    <row r="110" spans="1:9" ht="15.75">
      <c r="A110" s="50"/>
      <c r="B110" s="137" t="s">
        <v>224</v>
      </c>
      <c r="C110" s="137"/>
      <c r="D110" s="137"/>
      <c r="E110" s="137"/>
      <c r="F110" s="137"/>
      <c r="G110" s="137"/>
      <c r="H110" s="56"/>
      <c r="I110" s="2"/>
    </row>
    <row r="111" spans="1:9">
      <c r="A111" s="44"/>
      <c r="B111" s="124" t="s">
        <v>6</v>
      </c>
      <c r="C111" s="124"/>
      <c r="D111" s="124"/>
      <c r="E111" s="124"/>
      <c r="F111" s="124"/>
      <c r="G111" s="124"/>
      <c r="H111" s="16"/>
      <c r="I111" s="4"/>
    </row>
    <row r="112" spans="1:9">
      <c r="A112" s="7"/>
      <c r="B112" s="7"/>
      <c r="C112" s="7"/>
      <c r="D112" s="7"/>
      <c r="E112" s="7"/>
      <c r="F112" s="7"/>
      <c r="G112" s="7"/>
      <c r="H112" s="7"/>
      <c r="I112" s="7"/>
    </row>
    <row r="113" spans="1:9" ht="15.75" customHeight="1">
      <c r="A113" s="138" t="s">
        <v>7</v>
      </c>
      <c r="B113" s="138"/>
      <c r="C113" s="138"/>
      <c r="D113" s="138"/>
      <c r="E113" s="138"/>
      <c r="F113" s="138"/>
      <c r="G113" s="138"/>
      <c r="H113" s="138"/>
      <c r="I113" s="138"/>
    </row>
    <row r="114" spans="1:9" ht="15.75" customHeight="1">
      <c r="A114" s="138" t="s">
        <v>8</v>
      </c>
      <c r="B114" s="138"/>
      <c r="C114" s="138"/>
      <c r="D114" s="138"/>
      <c r="E114" s="138"/>
      <c r="F114" s="138"/>
      <c r="G114" s="138"/>
      <c r="H114" s="138"/>
      <c r="I114" s="138"/>
    </row>
    <row r="115" spans="1:9" ht="15.75" customHeight="1">
      <c r="A115" s="139" t="s">
        <v>62</v>
      </c>
      <c r="B115" s="139"/>
      <c r="C115" s="139"/>
      <c r="D115" s="139"/>
      <c r="E115" s="139"/>
      <c r="F115" s="139"/>
      <c r="G115" s="139"/>
      <c r="H115" s="139"/>
      <c r="I115" s="139"/>
    </row>
    <row r="116" spans="1:9" ht="15.75" customHeight="1">
      <c r="A116" s="8"/>
    </row>
    <row r="117" spans="1:9" ht="15.75" customHeight="1">
      <c r="A117" s="128" t="s">
        <v>9</v>
      </c>
      <c r="B117" s="128"/>
      <c r="C117" s="128"/>
      <c r="D117" s="128"/>
      <c r="E117" s="128"/>
      <c r="F117" s="128"/>
      <c r="G117" s="128"/>
      <c r="H117" s="128"/>
      <c r="I117" s="128"/>
    </row>
    <row r="118" spans="1:9" ht="15.75" customHeight="1">
      <c r="A118" s="3"/>
    </row>
    <row r="119" spans="1:9" ht="15.75" customHeight="1">
      <c r="B119" s="46" t="s">
        <v>10</v>
      </c>
      <c r="C119" s="123" t="s">
        <v>158</v>
      </c>
      <c r="D119" s="123"/>
      <c r="E119" s="123"/>
      <c r="F119" s="54"/>
      <c r="I119" s="48"/>
    </row>
    <row r="120" spans="1:9">
      <c r="A120" s="44"/>
      <c r="C120" s="124" t="s">
        <v>11</v>
      </c>
      <c r="D120" s="124"/>
      <c r="E120" s="124"/>
      <c r="F120" s="16"/>
      <c r="I120" s="49" t="s">
        <v>12</v>
      </c>
    </row>
    <row r="121" spans="1:9" ht="15.75">
      <c r="A121" s="17"/>
      <c r="C121" s="9"/>
      <c r="D121" s="9"/>
      <c r="G121" s="9"/>
      <c r="H121" s="9"/>
    </row>
    <row r="122" spans="1:9" ht="15.75">
      <c r="B122" s="46" t="s">
        <v>13</v>
      </c>
      <c r="C122" s="125"/>
      <c r="D122" s="125"/>
      <c r="E122" s="125"/>
      <c r="F122" s="55"/>
      <c r="I122" s="48"/>
    </row>
    <row r="123" spans="1:9">
      <c r="A123" s="44"/>
      <c r="C123" s="126" t="s">
        <v>11</v>
      </c>
      <c r="D123" s="126"/>
      <c r="E123" s="126"/>
      <c r="F123" s="44"/>
      <c r="I123" s="49" t="s">
        <v>12</v>
      </c>
    </row>
    <row r="124" spans="1:9" ht="15.75">
      <c r="A124" s="3" t="s">
        <v>14</v>
      </c>
    </row>
    <row r="125" spans="1:9">
      <c r="A125" s="127" t="s">
        <v>15</v>
      </c>
      <c r="B125" s="127"/>
      <c r="C125" s="127"/>
      <c r="D125" s="127"/>
      <c r="E125" s="127"/>
      <c r="F125" s="127"/>
      <c r="G125" s="127"/>
      <c r="H125" s="127"/>
      <c r="I125" s="127"/>
    </row>
    <row r="126" spans="1:9" ht="45" customHeight="1">
      <c r="A126" s="122" t="s">
        <v>16</v>
      </c>
      <c r="B126" s="122"/>
      <c r="C126" s="122"/>
      <c r="D126" s="122"/>
      <c r="E126" s="122"/>
      <c r="F126" s="122"/>
      <c r="G126" s="122"/>
      <c r="H126" s="122"/>
      <c r="I126" s="122"/>
    </row>
    <row r="127" spans="1:9" ht="30" customHeight="1">
      <c r="A127" s="122" t="s">
        <v>17</v>
      </c>
      <c r="B127" s="122"/>
      <c r="C127" s="122"/>
      <c r="D127" s="122"/>
      <c r="E127" s="122"/>
      <c r="F127" s="122"/>
      <c r="G127" s="122"/>
      <c r="H127" s="122"/>
      <c r="I127" s="122"/>
    </row>
    <row r="128" spans="1:9" ht="30" customHeight="1">
      <c r="A128" s="122" t="s">
        <v>21</v>
      </c>
      <c r="B128" s="122"/>
      <c r="C128" s="122"/>
      <c r="D128" s="122"/>
      <c r="E128" s="122"/>
      <c r="F128" s="122"/>
      <c r="G128" s="122"/>
      <c r="H128" s="122"/>
      <c r="I128" s="122"/>
    </row>
    <row r="129" spans="1:9" ht="15" customHeight="1">
      <c r="A129" s="122" t="s">
        <v>20</v>
      </c>
      <c r="B129" s="122"/>
      <c r="C129" s="122"/>
      <c r="D129" s="122"/>
      <c r="E129" s="122"/>
      <c r="F129" s="122"/>
      <c r="G129" s="122"/>
      <c r="H129" s="122"/>
      <c r="I129" s="122"/>
    </row>
  </sheetData>
  <mergeCells count="28">
    <mergeCell ref="A14:I14"/>
    <mergeCell ref="A3:I3"/>
    <mergeCell ref="A4:I4"/>
    <mergeCell ref="A5:I5"/>
    <mergeCell ref="A8:I8"/>
    <mergeCell ref="A10:I10"/>
    <mergeCell ref="A117:I117"/>
    <mergeCell ref="A15:I15"/>
    <mergeCell ref="A29:I29"/>
    <mergeCell ref="A46:I46"/>
    <mergeCell ref="A58:I58"/>
    <mergeCell ref="A99:I99"/>
    <mergeCell ref="A109:I109"/>
    <mergeCell ref="B110:G110"/>
    <mergeCell ref="B111:G111"/>
    <mergeCell ref="A113:I113"/>
    <mergeCell ref="A114:I114"/>
    <mergeCell ref="A115:I115"/>
    <mergeCell ref="A103:I103"/>
    <mergeCell ref="A127:I127"/>
    <mergeCell ref="A128:I128"/>
    <mergeCell ref="A129:I129"/>
    <mergeCell ref="C119:E119"/>
    <mergeCell ref="C120:E120"/>
    <mergeCell ref="C122:E122"/>
    <mergeCell ref="C123:E123"/>
    <mergeCell ref="A125:I125"/>
    <mergeCell ref="A126:I126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31"/>
  <sheetViews>
    <sheetView topLeftCell="A84" workbookViewId="0">
      <selection activeCell="L107" sqref="L10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220</v>
      </c>
      <c r="I1" s="18"/>
    </row>
    <row r="2" spans="1:9" ht="15.75">
      <c r="A2" s="20" t="s">
        <v>63</v>
      </c>
    </row>
    <row r="3" spans="1:9" ht="15.75">
      <c r="A3" s="144" t="s">
        <v>179</v>
      </c>
      <c r="B3" s="144"/>
      <c r="C3" s="144"/>
      <c r="D3" s="144"/>
      <c r="E3" s="144"/>
      <c r="F3" s="144"/>
      <c r="G3" s="144"/>
      <c r="H3" s="144"/>
      <c r="I3" s="144"/>
    </row>
    <row r="4" spans="1:9" ht="31.5" customHeight="1">
      <c r="A4" s="145" t="s">
        <v>154</v>
      </c>
      <c r="B4" s="145"/>
      <c r="C4" s="145"/>
      <c r="D4" s="145"/>
      <c r="E4" s="145"/>
      <c r="F4" s="145"/>
      <c r="G4" s="145"/>
      <c r="H4" s="145"/>
      <c r="I4" s="145"/>
    </row>
    <row r="5" spans="1:9" ht="15.75">
      <c r="A5" s="144" t="s">
        <v>229</v>
      </c>
      <c r="B5" s="146"/>
      <c r="C5" s="146"/>
      <c r="D5" s="146"/>
      <c r="E5" s="146"/>
      <c r="F5" s="146"/>
      <c r="G5" s="146"/>
      <c r="H5" s="146"/>
      <c r="I5" s="146"/>
    </row>
    <row r="6" spans="1:9" ht="15.75">
      <c r="A6" s="1"/>
      <c r="B6" s="47"/>
      <c r="C6" s="47"/>
      <c r="D6" s="47"/>
      <c r="E6" s="47"/>
      <c r="F6" s="47"/>
      <c r="G6" s="47"/>
      <c r="H6" s="47"/>
      <c r="I6" s="22">
        <v>43343</v>
      </c>
    </row>
    <row r="7" spans="1:9" ht="15.75">
      <c r="B7" s="46"/>
      <c r="C7" s="46"/>
      <c r="D7" s="46"/>
      <c r="E7" s="2"/>
      <c r="F7" s="2"/>
      <c r="G7" s="2"/>
      <c r="H7" s="2"/>
    </row>
    <row r="8" spans="1:9" ht="78.75" customHeight="1">
      <c r="A8" s="147" t="s">
        <v>222</v>
      </c>
      <c r="B8" s="147"/>
      <c r="C8" s="147"/>
      <c r="D8" s="147"/>
      <c r="E8" s="147"/>
      <c r="F8" s="147"/>
      <c r="G8" s="147"/>
      <c r="H8" s="147"/>
      <c r="I8" s="147"/>
    </row>
    <row r="9" spans="1:9" ht="15.75">
      <c r="A9" s="3"/>
    </row>
    <row r="10" spans="1:9" ht="47.25" customHeight="1">
      <c r="A10" s="148" t="s">
        <v>183</v>
      </c>
      <c r="B10" s="148"/>
      <c r="C10" s="148"/>
      <c r="D10" s="148"/>
      <c r="E10" s="148"/>
      <c r="F10" s="148"/>
      <c r="G10" s="148"/>
      <c r="H10" s="148"/>
      <c r="I10" s="148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3" t="s">
        <v>60</v>
      </c>
      <c r="B14" s="143"/>
      <c r="C14" s="143"/>
      <c r="D14" s="143"/>
      <c r="E14" s="143"/>
      <c r="F14" s="143"/>
      <c r="G14" s="143"/>
      <c r="H14" s="143"/>
      <c r="I14" s="143"/>
    </row>
    <row r="15" spans="1:9" ht="15.75" customHeight="1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</row>
    <row r="16" spans="1:9" ht="15.75" customHeight="1">
      <c r="A16" s="21">
        <v>1</v>
      </c>
      <c r="B16" s="40" t="s">
        <v>110</v>
      </c>
      <c r="C16" s="41" t="s">
        <v>89</v>
      </c>
      <c r="D16" s="40" t="s">
        <v>155</v>
      </c>
      <c r="E16" s="57">
        <v>70.7</v>
      </c>
      <c r="F16" s="42">
        <f>SUM(E16*156/100)</f>
        <v>110.292</v>
      </c>
      <c r="G16" s="42">
        <v>199.46</v>
      </c>
      <c r="H16" s="58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40" t="s">
        <v>121</v>
      </c>
      <c r="C17" s="41" t="s">
        <v>89</v>
      </c>
      <c r="D17" s="40" t="s">
        <v>156</v>
      </c>
      <c r="E17" s="57">
        <v>282.8</v>
      </c>
      <c r="F17" s="42">
        <f>SUM(E17*104/100)</f>
        <v>294.11200000000002</v>
      </c>
      <c r="G17" s="42">
        <v>199.46</v>
      </c>
      <c r="H17" s="58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40" t="s">
        <v>122</v>
      </c>
      <c r="C18" s="41" t="s">
        <v>89</v>
      </c>
      <c r="D18" s="40" t="s">
        <v>157</v>
      </c>
      <c r="E18" s="57">
        <f>SUM(E16+E17)</f>
        <v>353.5</v>
      </c>
      <c r="F18" s="42">
        <f>SUM(E18*24/100)</f>
        <v>84.84</v>
      </c>
      <c r="G18" s="42">
        <v>573.83000000000004</v>
      </c>
      <c r="H18" s="58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1"/>
      <c r="B19" s="40" t="s">
        <v>111</v>
      </c>
      <c r="C19" s="41" t="s">
        <v>112</v>
      </c>
      <c r="D19" s="40" t="s">
        <v>113</v>
      </c>
      <c r="E19" s="57">
        <v>40</v>
      </c>
      <c r="F19" s="42">
        <f>SUM(E19/10)</f>
        <v>4</v>
      </c>
      <c r="G19" s="42">
        <v>193.55</v>
      </c>
      <c r="H19" s="58">
        <f t="shared" si="0"/>
        <v>0.7742</v>
      </c>
      <c r="I19" s="10">
        <v>0</v>
      </c>
    </row>
    <row r="20" spans="1:9" ht="15.75" hidden="1" customHeight="1">
      <c r="A20" s="21"/>
      <c r="B20" s="40" t="s">
        <v>114</v>
      </c>
      <c r="C20" s="41" t="s">
        <v>89</v>
      </c>
      <c r="D20" s="40" t="s">
        <v>43</v>
      </c>
      <c r="E20" s="57">
        <v>10.5</v>
      </c>
      <c r="F20" s="42">
        <f>E20*2/100</f>
        <v>0.21</v>
      </c>
      <c r="G20" s="42">
        <v>247.82</v>
      </c>
      <c r="H20" s="58">
        <f t="shared" si="0"/>
        <v>5.2042199999999997E-2</v>
      </c>
      <c r="I20" s="10">
        <v>0</v>
      </c>
    </row>
    <row r="21" spans="1:9" ht="15.75" hidden="1" customHeight="1">
      <c r="A21" s="21"/>
      <c r="B21" s="40" t="s">
        <v>115</v>
      </c>
      <c r="C21" s="41" t="s">
        <v>89</v>
      </c>
      <c r="D21" s="40" t="s">
        <v>43</v>
      </c>
      <c r="E21" s="57">
        <v>2.7</v>
      </c>
      <c r="F21" s="42">
        <f>SUM(E21*2/100)</f>
        <v>5.4000000000000006E-2</v>
      </c>
      <c r="G21" s="42">
        <v>245.81</v>
      </c>
      <c r="H21" s="58">
        <f t="shared" si="0"/>
        <v>1.3273740000000003E-2</v>
      </c>
      <c r="I21" s="10">
        <v>0</v>
      </c>
    </row>
    <row r="22" spans="1:9" ht="15.75" hidden="1" customHeight="1">
      <c r="A22" s="21"/>
      <c r="B22" s="40" t="s">
        <v>116</v>
      </c>
      <c r="C22" s="41" t="s">
        <v>53</v>
      </c>
      <c r="D22" s="40" t="s">
        <v>113</v>
      </c>
      <c r="E22" s="57">
        <v>357</v>
      </c>
      <c r="F22" s="42">
        <f>SUM(E22/100)</f>
        <v>3.57</v>
      </c>
      <c r="G22" s="42">
        <v>306.26</v>
      </c>
      <c r="H22" s="58">
        <f t="shared" si="0"/>
        <v>1.0933481999999999</v>
      </c>
      <c r="I22" s="10">
        <v>0</v>
      </c>
    </row>
    <row r="23" spans="1:9" ht="15.75" hidden="1" customHeight="1">
      <c r="A23" s="21"/>
      <c r="B23" s="40" t="s">
        <v>117</v>
      </c>
      <c r="C23" s="41" t="s">
        <v>53</v>
      </c>
      <c r="D23" s="40" t="s">
        <v>113</v>
      </c>
      <c r="E23" s="60">
        <v>38.64</v>
      </c>
      <c r="F23" s="42">
        <f>SUM(E23/100)</f>
        <v>0.38640000000000002</v>
      </c>
      <c r="G23" s="42">
        <v>50.37</v>
      </c>
      <c r="H23" s="58">
        <f t="shared" si="0"/>
        <v>1.9462968000000001E-2</v>
      </c>
      <c r="I23" s="10">
        <v>0</v>
      </c>
    </row>
    <row r="24" spans="1:9" ht="15.75" hidden="1" customHeight="1">
      <c r="A24" s="21"/>
      <c r="B24" s="40" t="s">
        <v>118</v>
      </c>
      <c r="C24" s="41" t="s">
        <v>53</v>
      </c>
      <c r="D24" s="40" t="s">
        <v>123</v>
      </c>
      <c r="E24" s="57">
        <v>15</v>
      </c>
      <c r="F24" s="42">
        <f>E24/100</f>
        <v>0.15</v>
      </c>
      <c r="G24" s="42">
        <v>443.27</v>
      </c>
      <c r="H24" s="58">
        <f t="shared" si="0"/>
        <v>6.6490499999999994E-2</v>
      </c>
      <c r="I24" s="10">
        <v>0</v>
      </c>
    </row>
    <row r="25" spans="1:9" ht="15.75" hidden="1" customHeight="1">
      <c r="A25" s="21"/>
      <c r="B25" s="40" t="s">
        <v>124</v>
      </c>
      <c r="C25" s="41" t="s">
        <v>89</v>
      </c>
      <c r="D25" s="40" t="s">
        <v>54</v>
      </c>
      <c r="E25" s="57">
        <v>14.25</v>
      </c>
      <c r="F25" s="42">
        <v>0.1</v>
      </c>
      <c r="G25" s="42">
        <v>245.81</v>
      </c>
      <c r="H25" s="58">
        <v>3.1E-2</v>
      </c>
      <c r="I25" s="10">
        <v>0</v>
      </c>
    </row>
    <row r="26" spans="1:9" ht="15.75" hidden="1" customHeight="1">
      <c r="A26" s="21"/>
      <c r="B26" s="40" t="s">
        <v>125</v>
      </c>
      <c r="C26" s="41" t="s">
        <v>53</v>
      </c>
      <c r="D26" s="40" t="s">
        <v>113</v>
      </c>
      <c r="E26" s="57">
        <v>6.38</v>
      </c>
      <c r="F26" s="42">
        <f>SUM(E26/100)</f>
        <v>6.3799999999999996E-2</v>
      </c>
      <c r="G26" s="42">
        <v>592.37</v>
      </c>
      <c r="H26" s="58">
        <f t="shared" si="0"/>
        <v>3.7793205999999996E-2</v>
      </c>
      <c r="I26" s="10">
        <v>0</v>
      </c>
    </row>
    <row r="27" spans="1:9" ht="15.75" customHeight="1">
      <c r="A27" s="21">
        <v>4</v>
      </c>
      <c r="B27" s="40" t="s">
        <v>65</v>
      </c>
      <c r="C27" s="41" t="s">
        <v>33</v>
      </c>
      <c r="D27" s="40"/>
      <c r="E27" s="57">
        <v>0.1</v>
      </c>
      <c r="F27" s="42">
        <f>SUM(E27*365)</f>
        <v>36.5</v>
      </c>
      <c r="G27" s="42">
        <v>167.24</v>
      </c>
      <c r="H27" s="58">
        <f>SUM(F27*G27/1000)</f>
        <v>6.10426</v>
      </c>
      <c r="I27" s="10">
        <f>F27/12*G27</f>
        <v>508.68833333333333</v>
      </c>
    </row>
    <row r="28" spans="1:9" ht="15.75" customHeight="1">
      <c r="A28" s="21">
        <v>5</v>
      </c>
      <c r="B28" s="64" t="s">
        <v>23</v>
      </c>
      <c r="C28" s="41" t="s">
        <v>24</v>
      </c>
      <c r="D28" s="40"/>
      <c r="E28" s="57">
        <v>2661.7</v>
      </c>
      <c r="F28" s="42">
        <f>SUM(E28*12)</f>
        <v>31940.399999999998</v>
      </c>
      <c r="G28" s="42">
        <v>5.58</v>
      </c>
      <c r="H28" s="58">
        <f>SUM(F28*G28/1000)</f>
        <v>178.22743199999999</v>
      </c>
      <c r="I28" s="10">
        <f>F28/12*G28</f>
        <v>14852.286</v>
      </c>
    </row>
    <row r="29" spans="1:9" ht="15.75" customHeight="1">
      <c r="A29" s="129" t="s">
        <v>87</v>
      </c>
      <c r="B29" s="129"/>
      <c r="C29" s="129"/>
      <c r="D29" s="129"/>
      <c r="E29" s="129"/>
      <c r="F29" s="129"/>
      <c r="G29" s="129"/>
      <c r="H29" s="129"/>
      <c r="I29" s="129"/>
    </row>
    <row r="30" spans="1:9" ht="15.75" customHeight="1">
      <c r="A30" s="21"/>
      <c r="B30" s="78" t="s">
        <v>28</v>
      </c>
      <c r="C30" s="41"/>
      <c r="D30" s="40"/>
      <c r="E30" s="57"/>
      <c r="F30" s="42"/>
      <c r="G30" s="42"/>
      <c r="H30" s="58"/>
      <c r="I30" s="62"/>
    </row>
    <row r="31" spans="1:9" ht="15.75" customHeight="1">
      <c r="A31" s="21">
        <v>6</v>
      </c>
      <c r="B31" s="40" t="s">
        <v>97</v>
      </c>
      <c r="C31" s="41" t="s">
        <v>91</v>
      </c>
      <c r="D31" s="40" t="s">
        <v>187</v>
      </c>
      <c r="E31" s="42">
        <v>573.6</v>
      </c>
      <c r="F31" s="42">
        <f>SUM(E31*52/1000)</f>
        <v>29.827200000000001</v>
      </c>
      <c r="G31" s="42">
        <v>177.3</v>
      </c>
      <c r="H31" s="58">
        <f t="shared" ref="H31:H37" si="2">SUM(F31*G31/1000)</f>
        <v>5.2883625600000004</v>
      </c>
      <c r="I31" s="10">
        <f>F31/6*G31</f>
        <v>881.39376000000016</v>
      </c>
    </row>
    <row r="32" spans="1:9" ht="31.5" customHeight="1">
      <c r="A32" s="21">
        <v>7</v>
      </c>
      <c r="B32" s="40" t="s">
        <v>170</v>
      </c>
      <c r="C32" s="41" t="s">
        <v>91</v>
      </c>
      <c r="D32" s="40" t="s">
        <v>188</v>
      </c>
      <c r="E32" s="42">
        <v>200</v>
      </c>
      <c r="F32" s="42">
        <f>SUM(E32*78/1000)</f>
        <v>15.6</v>
      </c>
      <c r="G32" s="42">
        <v>294.17</v>
      </c>
      <c r="H32" s="58">
        <f t="shared" si="2"/>
        <v>4.5890520000000006</v>
      </c>
      <c r="I32" s="10">
        <f t="shared" ref="I32:I35" si="3">F32/6*G32</f>
        <v>764.8420000000001</v>
      </c>
    </row>
    <row r="33" spans="1:9" ht="15.75" hidden="1" customHeight="1">
      <c r="A33" s="21">
        <v>16</v>
      </c>
      <c r="B33" s="40" t="s">
        <v>27</v>
      </c>
      <c r="C33" s="41" t="s">
        <v>91</v>
      </c>
      <c r="D33" s="40" t="s">
        <v>54</v>
      </c>
      <c r="E33" s="42">
        <v>573.6</v>
      </c>
      <c r="F33" s="42">
        <f>SUM(E33/1000)</f>
        <v>0.5736</v>
      </c>
      <c r="G33" s="42">
        <v>3435.36</v>
      </c>
      <c r="H33" s="58">
        <f t="shared" si="2"/>
        <v>1.9705224960000001</v>
      </c>
      <c r="I33" s="10">
        <v>0</v>
      </c>
    </row>
    <row r="34" spans="1:9" ht="15.75" customHeight="1">
      <c r="A34" s="21">
        <v>8</v>
      </c>
      <c r="B34" s="40" t="s">
        <v>128</v>
      </c>
      <c r="C34" s="41" t="s">
        <v>41</v>
      </c>
      <c r="D34" s="40" t="s">
        <v>64</v>
      </c>
      <c r="E34" s="42">
        <v>1</v>
      </c>
      <c r="F34" s="42">
        <v>1.55</v>
      </c>
      <c r="G34" s="42">
        <v>1480.94</v>
      </c>
      <c r="H34" s="58">
        <f>G34*F34/1000</f>
        <v>2.2954570000000003</v>
      </c>
      <c r="I34" s="10">
        <f t="shared" si="3"/>
        <v>382.57616666666672</v>
      </c>
    </row>
    <row r="35" spans="1:9" ht="15.75" customHeight="1">
      <c r="A35" s="21">
        <v>9</v>
      </c>
      <c r="B35" s="40" t="s">
        <v>96</v>
      </c>
      <c r="C35" s="41" t="s">
        <v>31</v>
      </c>
      <c r="D35" s="40" t="s">
        <v>64</v>
      </c>
      <c r="E35" s="63">
        <v>0.33333333333333331</v>
      </c>
      <c r="F35" s="42">
        <f>155/3</f>
        <v>51.666666666666664</v>
      </c>
      <c r="G35" s="42">
        <v>64.48</v>
      </c>
      <c r="H35" s="58">
        <f>SUM(G35*155/3/1000)</f>
        <v>3.331466666666667</v>
      </c>
      <c r="I35" s="10">
        <f t="shared" si="3"/>
        <v>555.24444444444441</v>
      </c>
    </row>
    <row r="36" spans="1:9" ht="15.75" hidden="1" customHeight="1">
      <c r="A36" s="21"/>
      <c r="B36" s="40" t="s">
        <v>66</v>
      </c>
      <c r="C36" s="41" t="s">
        <v>33</v>
      </c>
      <c r="D36" s="40" t="s">
        <v>68</v>
      </c>
      <c r="E36" s="57"/>
      <c r="F36" s="42">
        <v>3</v>
      </c>
      <c r="G36" s="42">
        <v>217.61</v>
      </c>
      <c r="H36" s="58">
        <f t="shared" si="2"/>
        <v>0.65283000000000002</v>
      </c>
      <c r="I36" s="10">
        <v>0</v>
      </c>
    </row>
    <row r="37" spans="1:9" ht="15.75" hidden="1" customHeight="1">
      <c r="A37" s="21"/>
      <c r="B37" s="40" t="s">
        <v>67</v>
      </c>
      <c r="C37" s="41" t="s">
        <v>32</v>
      </c>
      <c r="D37" s="40" t="s">
        <v>68</v>
      </c>
      <c r="E37" s="57"/>
      <c r="F37" s="42">
        <v>2</v>
      </c>
      <c r="G37" s="42">
        <v>1292.47</v>
      </c>
      <c r="H37" s="58">
        <f t="shared" si="2"/>
        <v>2.58494</v>
      </c>
      <c r="I37" s="10">
        <v>0</v>
      </c>
    </row>
    <row r="38" spans="1:9" ht="15.75" hidden="1" customHeight="1">
      <c r="A38" s="21"/>
      <c r="B38" s="78" t="s">
        <v>5</v>
      </c>
      <c r="C38" s="41"/>
      <c r="D38" s="40"/>
      <c r="E38" s="57"/>
      <c r="F38" s="42"/>
      <c r="G38" s="42"/>
      <c r="H38" s="58" t="s">
        <v>166</v>
      </c>
      <c r="I38" s="62"/>
    </row>
    <row r="39" spans="1:9" ht="15.75" hidden="1" customHeight="1">
      <c r="A39" s="21">
        <v>6</v>
      </c>
      <c r="B39" s="40" t="s">
        <v>26</v>
      </c>
      <c r="C39" s="41" t="s">
        <v>32</v>
      </c>
      <c r="D39" s="40"/>
      <c r="E39" s="57"/>
      <c r="F39" s="42">
        <v>8</v>
      </c>
      <c r="G39" s="42">
        <v>1737.08</v>
      </c>
      <c r="H39" s="58">
        <f t="shared" ref="H39:H45" si="4">SUM(F39*G39/1000)</f>
        <v>13.89664</v>
      </c>
      <c r="I39" s="10">
        <f>F39/6*G39</f>
        <v>2316.1066666666666</v>
      </c>
    </row>
    <row r="40" spans="1:9" ht="15.75" hidden="1" customHeight="1">
      <c r="A40" s="21">
        <v>7</v>
      </c>
      <c r="B40" s="40" t="s">
        <v>69</v>
      </c>
      <c r="C40" s="41" t="s">
        <v>29</v>
      </c>
      <c r="D40" s="40" t="s">
        <v>105</v>
      </c>
      <c r="E40" s="42">
        <v>200</v>
      </c>
      <c r="F40" s="42">
        <f>SUM(E40*30/1000)</f>
        <v>6</v>
      </c>
      <c r="G40" s="42">
        <v>2391.67</v>
      </c>
      <c r="H40" s="58">
        <f t="shared" si="4"/>
        <v>14.350020000000001</v>
      </c>
      <c r="I40" s="10">
        <f>F40/6*G40</f>
        <v>2391.67</v>
      </c>
    </row>
    <row r="41" spans="1:9" ht="15.75" hidden="1" customHeight="1">
      <c r="A41" s="21"/>
      <c r="B41" s="40" t="s">
        <v>129</v>
      </c>
      <c r="C41" s="41" t="s">
        <v>55</v>
      </c>
      <c r="D41" s="40"/>
      <c r="E41" s="57"/>
      <c r="F41" s="42">
        <v>130</v>
      </c>
      <c r="G41" s="42">
        <v>226.84</v>
      </c>
      <c r="H41" s="58">
        <f t="shared" si="4"/>
        <v>29.4892</v>
      </c>
      <c r="I41" s="10">
        <v>0</v>
      </c>
    </row>
    <row r="42" spans="1:9" ht="15.75" hidden="1" customHeight="1">
      <c r="A42" s="21">
        <v>8</v>
      </c>
      <c r="B42" s="40" t="s">
        <v>70</v>
      </c>
      <c r="C42" s="41" t="s">
        <v>29</v>
      </c>
      <c r="D42" s="40" t="s">
        <v>90</v>
      </c>
      <c r="E42" s="42">
        <v>60</v>
      </c>
      <c r="F42" s="42">
        <f>SUM(E42*155/1000)</f>
        <v>9.3000000000000007</v>
      </c>
      <c r="G42" s="42">
        <v>398.95</v>
      </c>
      <c r="H42" s="58">
        <f t="shared" si="4"/>
        <v>3.7102349999999999</v>
      </c>
      <c r="I42" s="10">
        <f t="shared" ref="I42:I45" si="5">F42/6*G42</f>
        <v>618.37249999999995</v>
      </c>
    </row>
    <row r="43" spans="1:9" ht="47.25" hidden="1" customHeight="1">
      <c r="A43" s="21">
        <v>9</v>
      </c>
      <c r="B43" s="40" t="s">
        <v>86</v>
      </c>
      <c r="C43" s="41" t="s">
        <v>91</v>
      </c>
      <c r="D43" s="40" t="s">
        <v>130</v>
      </c>
      <c r="E43" s="42">
        <v>40.9</v>
      </c>
      <c r="F43" s="42">
        <f>SUM(E43*35/1000)</f>
        <v>1.4315</v>
      </c>
      <c r="G43" s="42">
        <v>6600.74</v>
      </c>
      <c r="H43" s="58">
        <f t="shared" si="4"/>
        <v>9.4489593099999993</v>
      </c>
      <c r="I43" s="10">
        <f t="shared" si="5"/>
        <v>1574.8265516666668</v>
      </c>
    </row>
    <row r="44" spans="1:9" ht="15.75" hidden="1" customHeight="1">
      <c r="A44" s="21">
        <v>10</v>
      </c>
      <c r="B44" s="40" t="s">
        <v>92</v>
      </c>
      <c r="C44" s="41" t="s">
        <v>91</v>
      </c>
      <c r="D44" s="40" t="s">
        <v>71</v>
      </c>
      <c r="E44" s="42">
        <v>60</v>
      </c>
      <c r="F44" s="42">
        <f>SUM(E44*45/1000)</f>
        <v>2.7</v>
      </c>
      <c r="G44" s="42">
        <v>487.61</v>
      </c>
      <c r="H44" s="58">
        <f t="shared" si="4"/>
        <v>1.3165470000000001</v>
      </c>
      <c r="I44" s="10">
        <f t="shared" si="5"/>
        <v>219.42450000000002</v>
      </c>
    </row>
    <row r="45" spans="1:9" ht="15.75" hidden="1" customHeight="1">
      <c r="A45" s="21">
        <v>11</v>
      </c>
      <c r="B45" s="40" t="s">
        <v>72</v>
      </c>
      <c r="C45" s="41" t="s">
        <v>33</v>
      </c>
      <c r="D45" s="40"/>
      <c r="E45" s="57"/>
      <c r="F45" s="42">
        <v>0.9</v>
      </c>
      <c r="G45" s="42">
        <v>907.65</v>
      </c>
      <c r="H45" s="58">
        <f t="shared" si="4"/>
        <v>0.81688499999999997</v>
      </c>
      <c r="I45" s="10">
        <f t="shared" si="5"/>
        <v>136.14749999999998</v>
      </c>
    </row>
    <row r="46" spans="1:9" ht="15.75" hidden="1" customHeight="1">
      <c r="A46" s="130" t="s">
        <v>159</v>
      </c>
      <c r="B46" s="131"/>
      <c r="C46" s="131"/>
      <c r="D46" s="131"/>
      <c r="E46" s="131"/>
      <c r="F46" s="131"/>
      <c r="G46" s="131"/>
      <c r="H46" s="131"/>
      <c r="I46" s="132"/>
    </row>
    <row r="47" spans="1:9" ht="15.75" hidden="1" customHeight="1">
      <c r="A47" s="21"/>
      <c r="B47" s="40" t="s">
        <v>167</v>
      </c>
      <c r="C47" s="41" t="s">
        <v>91</v>
      </c>
      <c r="D47" s="40" t="s">
        <v>43</v>
      </c>
      <c r="E47" s="57">
        <v>1300.5</v>
      </c>
      <c r="F47" s="42">
        <f>SUM(E47/1000)*2</f>
        <v>2.601</v>
      </c>
      <c r="G47" s="10">
        <v>1173.18</v>
      </c>
      <c r="H47" s="58">
        <f t="shared" ref="H47:H57" si="6">SUM(F47*G47/1000)</f>
        <v>3.0514411800000003</v>
      </c>
      <c r="I47" s="10">
        <v>0</v>
      </c>
    </row>
    <row r="48" spans="1:9" ht="15.75" hidden="1" customHeight="1">
      <c r="A48" s="21"/>
      <c r="B48" s="40" t="s">
        <v>36</v>
      </c>
      <c r="C48" s="41" t="s">
        <v>91</v>
      </c>
      <c r="D48" s="40" t="s">
        <v>43</v>
      </c>
      <c r="E48" s="57">
        <v>52</v>
      </c>
      <c r="F48" s="42">
        <f>SUM(E48*2/1000)</f>
        <v>0.104</v>
      </c>
      <c r="G48" s="10">
        <v>659.09</v>
      </c>
      <c r="H48" s="58">
        <f t="shared" si="6"/>
        <v>6.854536E-2</v>
      </c>
      <c r="I48" s="10">
        <v>0</v>
      </c>
    </row>
    <row r="49" spans="1:9" ht="15.75" hidden="1" customHeight="1">
      <c r="A49" s="21"/>
      <c r="B49" s="40" t="s">
        <v>37</v>
      </c>
      <c r="C49" s="41" t="s">
        <v>91</v>
      </c>
      <c r="D49" s="40" t="s">
        <v>43</v>
      </c>
      <c r="E49" s="57">
        <v>1483.1</v>
      </c>
      <c r="F49" s="42">
        <f>SUM(E49*2/1000)</f>
        <v>2.9661999999999997</v>
      </c>
      <c r="G49" s="10">
        <v>1564.24</v>
      </c>
      <c r="H49" s="58">
        <f t="shared" si="6"/>
        <v>4.6398486879999998</v>
      </c>
      <c r="I49" s="10">
        <v>0</v>
      </c>
    </row>
    <row r="50" spans="1:9" ht="15.75" hidden="1" customHeight="1">
      <c r="A50" s="21"/>
      <c r="B50" s="40" t="s">
        <v>38</v>
      </c>
      <c r="C50" s="41" t="s">
        <v>91</v>
      </c>
      <c r="D50" s="40" t="s">
        <v>43</v>
      </c>
      <c r="E50" s="57">
        <v>2320</v>
      </c>
      <c r="F50" s="42">
        <f>SUM(E50*2/1000)</f>
        <v>4.6399999999999997</v>
      </c>
      <c r="G50" s="10">
        <v>1078.3599999999999</v>
      </c>
      <c r="H50" s="58">
        <f t="shared" si="6"/>
        <v>5.0035903999999993</v>
      </c>
      <c r="I50" s="10">
        <v>0</v>
      </c>
    </row>
    <row r="51" spans="1:9" ht="15.75" hidden="1" customHeight="1">
      <c r="A51" s="21"/>
      <c r="B51" s="40" t="s">
        <v>34</v>
      </c>
      <c r="C51" s="41" t="s">
        <v>35</v>
      </c>
      <c r="D51" s="40" t="s">
        <v>43</v>
      </c>
      <c r="E51" s="57">
        <v>91.84</v>
      </c>
      <c r="F51" s="42">
        <f>SUM(E51*2/100)</f>
        <v>1.8368</v>
      </c>
      <c r="G51" s="10">
        <v>82.82</v>
      </c>
      <c r="H51" s="58">
        <f t="shared" si="6"/>
        <v>0.15212377599999999</v>
      </c>
      <c r="I51" s="10">
        <v>0</v>
      </c>
    </row>
    <row r="52" spans="1:9" ht="15.75" hidden="1" customHeight="1">
      <c r="A52" s="21">
        <v>12</v>
      </c>
      <c r="B52" s="40" t="s">
        <v>57</v>
      </c>
      <c r="C52" s="41" t="s">
        <v>91</v>
      </c>
      <c r="D52" s="40" t="s">
        <v>171</v>
      </c>
      <c r="E52" s="57">
        <v>1040.4000000000001</v>
      </c>
      <c r="F52" s="42">
        <f>SUM(E52*5/1000)</f>
        <v>5.202</v>
      </c>
      <c r="G52" s="10">
        <v>1564.24</v>
      </c>
      <c r="H52" s="58">
        <f>SUM(F52*G52/1000)</f>
        <v>8.1371764800000008</v>
      </c>
      <c r="I52" s="10">
        <f>F52/5*G52</f>
        <v>1627.4352960000001</v>
      </c>
    </row>
    <row r="53" spans="1:9" ht="31.5" hidden="1" customHeight="1">
      <c r="A53" s="21"/>
      <c r="B53" s="40" t="s">
        <v>93</v>
      </c>
      <c r="C53" s="41" t="s">
        <v>91</v>
      </c>
      <c r="D53" s="40" t="s">
        <v>43</v>
      </c>
      <c r="E53" s="57">
        <v>1040.4000000000001</v>
      </c>
      <c r="F53" s="42">
        <f>SUM(E53*2/1000)</f>
        <v>2.0808</v>
      </c>
      <c r="G53" s="10">
        <v>1380.31</v>
      </c>
      <c r="H53" s="58">
        <f t="shared" si="6"/>
        <v>2.8721490479999998</v>
      </c>
      <c r="I53" s="10">
        <v>0</v>
      </c>
    </row>
    <row r="54" spans="1:9" ht="31.5" hidden="1" customHeight="1">
      <c r="A54" s="21"/>
      <c r="B54" s="40" t="s">
        <v>94</v>
      </c>
      <c r="C54" s="41" t="s">
        <v>39</v>
      </c>
      <c r="D54" s="40" t="s">
        <v>43</v>
      </c>
      <c r="E54" s="57">
        <v>20</v>
      </c>
      <c r="F54" s="42">
        <f>SUM(E54*2/100)</f>
        <v>0.4</v>
      </c>
      <c r="G54" s="10">
        <v>3519.56</v>
      </c>
      <c r="H54" s="58">
        <f t="shared" si="6"/>
        <v>1.407824</v>
      </c>
      <c r="I54" s="10">
        <v>0</v>
      </c>
    </row>
    <row r="55" spans="1:9" ht="15.75" hidden="1" customHeight="1">
      <c r="A55" s="21"/>
      <c r="B55" s="40" t="s">
        <v>40</v>
      </c>
      <c r="C55" s="41" t="s">
        <v>41</v>
      </c>
      <c r="D55" s="40" t="s">
        <v>43</v>
      </c>
      <c r="E55" s="57">
        <v>1</v>
      </c>
      <c r="F55" s="42">
        <v>0.02</v>
      </c>
      <c r="G55" s="10">
        <v>6428.82</v>
      </c>
      <c r="H55" s="58">
        <f t="shared" si="6"/>
        <v>0.12857640000000001</v>
      </c>
      <c r="I55" s="10">
        <v>0</v>
      </c>
    </row>
    <row r="56" spans="1:9" ht="15.75" hidden="1" customHeight="1">
      <c r="A56" s="21">
        <v>10</v>
      </c>
      <c r="B56" s="40" t="s">
        <v>103</v>
      </c>
      <c r="C56" s="41" t="s">
        <v>98</v>
      </c>
      <c r="D56" s="40" t="s">
        <v>73</v>
      </c>
      <c r="E56" s="57">
        <v>56</v>
      </c>
      <c r="F56" s="42">
        <f>SUM(E56*3)</f>
        <v>168</v>
      </c>
      <c r="G56" s="10">
        <v>160.51</v>
      </c>
      <c r="H56" s="58">
        <f t="shared" si="6"/>
        <v>26.965679999999999</v>
      </c>
      <c r="I56" s="10">
        <f>E56*G56</f>
        <v>8988.56</v>
      </c>
    </row>
    <row r="57" spans="1:9" ht="15.75" hidden="1" customHeight="1">
      <c r="A57" s="21">
        <v>11</v>
      </c>
      <c r="B57" s="40" t="s">
        <v>42</v>
      </c>
      <c r="C57" s="41" t="s">
        <v>98</v>
      </c>
      <c r="D57" s="40" t="s">
        <v>73</v>
      </c>
      <c r="E57" s="57">
        <v>112</v>
      </c>
      <c r="F57" s="42">
        <f>SUM(E57)*3</f>
        <v>336</v>
      </c>
      <c r="G57" s="10">
        <v>74.709999999999994</v>
      </c>
      <c r="H57" s="58">
        <f t="shared" si="6"/>
        <v>25.102559999999997</v>
      </c>
      <c r="I57" s="10">
        <f>E57*G57</f>
        <v>8367.5199999999986</v>
      </c>
    </row>
    <row r="58" spans="1:9" ht="15.75" customHeight="1">
      <c r="A58" s="130" t="s">
        <v>162</v>
      </c>
      <c r="B58" s="131"/>
      <c r="C58" s="131"/>
      <c r="D58" s="131"/>
      <c r="E58" s="131"/>
      <c r="F58" s="131"/>
      <c r="G58" s="131"/>
      <c r="H58" s="131"/>
      <c r="I58" s="132"/>
    </row>
    <row r="59" spans="1:9" ht="15.75" hidden="1" customHeight="1">
      <c r="A59" s="21"/>
      <c r="B59" s="78" t="s">
        <v>44</v>
      </c>
      <c r="C59" s="41"/>
      <c r="D59" s="40"/>
      <c r="E59" s="57"/>
      <c r="F59" s="42"/>
      <c r="G59" s="42"/>
      <c r="H59" s="58"/>
      <c r="I59" s="62"/>
    </row>
    <row r="60" spans="1:9" ht="31.5" hidden="1" customHeight="1">
      <c r="A60" s="21">
        <v>15</v>
      </c>
      <c r="B60" s="40" t="s">
        <v>106</v>
      </c>
      <c r="C60" s="41" t="s">
        <v>89</v>
      </c>
      <c r="D60" s="40" t="s">
        <v>168</v>
      </c>
      <c r="E60" s="57">
        <v>142.05000000000001</v>
      </c>
      <c r="F60" s="42">
        <f>SUM(E60*6/100)</f>
        <v>8.5230000000000015</v>
      </c>
      <c r="G60" s="10">
        <v>2108.4299999999998</v>
      </c>
      <c r="H60" s="58">
        <f>SUM(F60*G60/1000)</f>
        <v>17.970148890000001</v>
      </c>
      <c r="I60" s="10">
        <f>F60/6*G60</f>
        <v>2995.0248150000002</v>
      </c>
    </row>
    <row r="61" spans="1:9" ht="15.75" customHeight="1">
      <c r="A61" s="21"/>
      <c r="B61" s="78" t="s">
        <v>45</v>
      </c>
      <c r="C61" s="41"/>
      <c r="D61" s="40"/>
      <c r="E61" s="57"/>
      <c r="F61" s="58"/>
      <c r="G61" s="10"/>
      <c r="H61" s="65"/>
      <c r="I61" s="62"/>
    </row>
    <row r="62" spans="1:9" ht="15.75" hidden="1" customHeight="1">
      <c r="A62" s="21"/>
      <c r="B62" s="40" t="s">
        <v>169</v>
      </c>
      <c r="C62" s="41" t="s">
        <v>89</v>
      </c>
      <c r="D62" s="40" t="s">
        <v>54</v>
      </c>
      <c r="E62" s="57">
        <v>1040.4000000000001</v>
      </c>
      <c r="F62" s="58">
        <f>E62/100</f>
        <v>10.404000000000002</v>
      </c>
      <c r="G62" s="10">
        <v>902.66</v>
      </c>
      <c r="H62" s="65">
        <f>G62*F62/1000</f>
        <v>9.3912746400000007</v>
      </c>
      <c r="I62" s="10">
        <v>0</v>
      </c>
    </row>
    <row r="63" spans="1:9" ht="15.75" customHeight="1">
      <c r="A63" s="21">
        <v>10</v>
      </c>
      <c r="B63" s="40" t="s">
        <v>131</v>
      </c>
      <c r="C63" s="41" t="s">
        <v>25</v>
      </c>
      <c r="D63" s="40" t="s">
        <v>132</v>
      </c>
      <c r="E63" s="57">
        <v>240</v>
      </c>
      <c r="F63" s="42">
        <v>2880</v>
      </c>
      <c r="G63" s="52">
        <v>1.2</v>
      </c>
      <c r="H63" s="58">
        <f>F63*G63/1000</f>
        <v>3.456</v>
      </c>
      <c r="I63" s="10">
        <f>F63/12*G63</f>
        <v>288</v>
      </c>
    </row>
    <row r="64" spans="1:9" ht="15.75" customHeight="1">
      <c r="A64" s="21"/>
      <c r="B64" s="79" t="s">
        <v>46</v>
      </c>
      <c r="C64" s="66"/>
      <c r="D64" s="67"/>
      <c r="E64" s="68"/>
      <c r="F64" s="69"/>
      <c r="G64" s="69"/>
      <c r="H64" s="70" t="s">
        <v>166</v>
      </c>
      <c r="I64" s="62"/>
    </row>
    <row r="65" spans="1:9" ht="15.75" hidden="1" customHeight="1">
      <c r="A65" s="21">
        <v>17</v>
      </c>
      <c r="B65" s="11" t="s">
        <v>47</v>
      </c>
      <c r="C65" s="13" t="s">
        <v>41</v>
      </c>
      <c r="D65" s="40" t="s">
        <v>68</v>
      </c>
      <c r="E65" s="15">
        <v>15</v>
      </c>
      <c r="F65" s="42">
        <f>15/100</f>
        <v>0.15</v>
      </c>
      <c r="G65" s="10">
        <v>252.96</v>
      </c>
      <c r="H65" s="71">
        <f t="shared" ref="H65:H81" si="7">SUM(F65*G65/1000)</f>
        <v>3.7944000000000006E-2</v>
      </c>
      <c r="I65" s="10">
        <f>G65*5</f>
        <v>1264.8</v>
      </c>
    </row>
    <row r="66" spans="1:9" ht="15.75" hidden="1" customHeight="1">
      <c r="A66" s="21"/>
      <c r="B66" s="11" t="s">
        <v>48</v>
      </c>
      <c r="C66" s="13" t="s">
        <v>41</v>
      </c>
      <c r="D66" s="40" t="s">
        <v>68</v>
      </c>
      <c r="E66" s="15">
        <v>10</v>
      </c>
      <c r="F66" s="42">
        <f>10/100</f>
        <v>0.1</v>
      </c>
      <c r="G66" s="10">
        <v>86.74</v>
      </c>
      <c r="H66" s="71">
        <f t="shared" si="7"/>
        <v>8.6739999999999994E-3</v>
      </c>
      <c r="I66" s="10">
        <v>0</v>
      </c>
    </row>
    <row r="67" spans="1:9" ht="15.75" hidden="1" customHeight="1">
      <c r="A67" s="21"/>
      <c r="B67" s="11" t="s">
        <v>49</v>
      </c>
      <c r="C67" s="13" t="s">
        <v>99</v>
      </c>
      <c r="D67" s="11" t="s">
        <v>54</v>
      </c>
      <c r="E67" s="57">
        <v>17532</v>
      </c>
      <c r="F67" s="10">
        <f>SUM(E67/100)</f>
        <v>175.32</v>
      </c>
      <c r="G67" s="10">
        <v>241.31</v>
      </c>
      <c r="H67" s="71">
        <f t="shared" si="7"/>
        <v>42.306469200000002</v>
      </c>
      <c r="I67" s="10">
        <f>F67*G67</f>
        <v>42306.4692</v>
      </c>
    </row>
    <row r="68" spans="1:9" ht="15.75" hidden="1" customHeight="1">
      <c r="A68" s="21"/>
      <c r="B68" s="11" t="s">
        <v>50</v>
      </c>
      <c r="C68" s="13" t="s">
        <v>100</v>
      </c>
      <c r="D68" s="11"/>
      <c r="E68" s="57">
        <v>17532</v>
      </c>
      <c r="F68" s="10">
        <f>SUM(E68/1000)</f>
        <v>17.532</v>
      </c>
      <c r="G68" s="10">
        <v>187.91</v>
      </c>
      <c r="H68" s="71">
        <f t="shared" si="7"/>
        <v>3.2944381199999997</v>
      </c>
      <c r="I68" s="10">
        <f>F68*G68</f>
        <v>3294.4381199999998</v>
      </c>
    </row>
    <row r="69" spans="1:9" ht="15.75" hidden="1" customHeight="1">
      <c r="A69" s="21"/>
      <c r="B69" s="11" t="s">
        <v>51</v>
      </c>
      <c r="C69" s="13" t="s">
        <v>80</v>
      </c>
      <c r="D69" s="11" t="s">
        <v>54</v>
      </c>
      <c r="E69" s="57">
        <v>1365</v>
      </c>
      <c r="F69" s="10">
        <f>SUM(E69/100)</f>
        <v>13.65</v>
      </c>
      <c r="G69" s="10">
        <v>2359.7199999999998</v>
      </c>
      <c r="H69" s="71">
        <f t="shared" si="7"/>
        <v>32.210177999999999</v>
      </c>
      <c r="I69" s="10">
        <f t="shared" ref="I69:I72" si="8">F69*G69</f>
        <v>32210.178</v>
      </c>
    </row>
    <row r="70" spans="1:9" ht="15.75" hidden="1" customHeight="1">
      <c r="A70" s="21"/>
      <c r="B70" s="72" t="s">
        <v>74</v>
      </c>
      <c r="C70" s="13" t="s">
        <v>33</v>
      </c>
      <c r="D70" s="11"/>
      <c r="E70" s="57">
        <v>15.6</v>
      </c>
      <c r="F70" s="10">
        <f>SUM(E70)</f>
        <v>15.6</v>
      </c>
      <c r="G70" s="10">
        <v>45.4</v>
      </c>
      <c r="H70" s="71">
        <f t="shared" si="7"/>
        <v>0.70823999999999998</v>
      </c>
      <c r="I70" s="10">
        <f t="shared" si="8"/>
        <v>708.24</v>
      </c>
    </row>
    <row r="71" spans="1:9" ht="15.75" hidden="1" customHeight="1">
      <c r="A71" s="21"/>
      <c r="B71" s="72" t="s">
        <v>172</v>
      </c>
      <c r="C71" s="13" t="s">
        <v>33</v>
      </c>
      <c r="D71" s="11"/>
      <c r="E71" s="57">
        <v>15.6</v>
      </c>
      <c r="F71" s="10">
        <f>SUM(E71)</f>
        <v>15.6</v>
      </c>
      <c r="G71" s="10">
        <v>42.35</v>
      </c>
      <c r="H71" s="71">
        <f t="shared" si="7"/>
        <v>0.66065999999999991</v>
      </c>
      <c r="I71" s="10">
        <f t="shared" si="8"/>
        <v>660.66</v>
      </c>
    </row>
    <row r="72" spans="1:9" ht="9" hidden="1" customHeight="1">
      <c r="A72" s="21"/>
      <c r="B72" s="11" t="s">
        <v>58</v>
      </c>
      <c r="C72" s="13" t="s">
        <v>59</v>
      </c>
      <c r="D72" s="11" t="s">
        <v>54</v>
      </c>
      <c r="E72" s="15">
        <v>4</v>
      </c>
      <c r="F72" s="42">
        <f>SUM(E72)</f>
        <v>4</v>
      </c>
      <c r="G72" s="10">
        <v>56.74</v>
      </c>
      <c r="H72" s="71">
        <f t="shared" si="7"/>
        <v>0.22696</v>
      </c>
      <c r="I72" s="10">
        <f t="shared" si="8"/>
        <v>226.96</v>
      </c>
    </row>
    <row r="73" spans="1:9" ht="15.75" customHeight="1">
      <c r="A73" s="21">
        <v>11</v>
      </c>
      <c r="B73" s="11" t="s">
        <v>133</v>
      </c>
      <c r="C73" s="13" t="s">
        <v>59</v>
      </c>
      <c r="D73" s="11" t="s">
        <v>30</v>
      </c>
      <c r="E73" s="15">
        <v>1</v>
      </c>
      <c r="F73" s="52">
        <v>12</v>
      </c>
      <c r="G73" s="10">
        <v>756.5</v>
      </c>
      <c r="H73" s="71">
        <f t="shared" si="7"/>
        <v>9.0779999999999994</v>
      </c>
      <c r="I73" s="10">
        <f>G73</f>
        <v>756.5</v>
      </c>
    </row>
    <row r="74" spans="1:9" ht="15.75" customHeight="1">
      <c r="A74" s="21"/>
      <c r="B74" s="45" t="s">
        <v>75</v>
      </c>
      <c r="C74" s="13"/>
      <c r="D74" s="11"/>
      <c r="E74" s="15"/>
      <c r="F74" s="10"/>
      <c r="G74" s="10"/>
      <c r="H74" s="71" t="s">
        <v>166</v>
      </c>
      <c r="I74" s="62"/>
    </row>
    <row r="75" spans="1:9" ht="15.75" hidden="1" customHeight="1">
      <c r="A75" s="21"/>
      <c r="B75" s="11" t="s">
        <v>134</v>
      </c>
      <c r="C75" s="13" t="s">
        <v>31</v>
      </c>
      <c r="D75" s="40" t="s">
        <v>68</v>
      </c>
      <c r="E75" s="15">
        <v>2</v>
      </c>
      <c r="F75" s="10">
        <v>2</v>
      </c>
      <c r="G75" s="10">
        <v>892.5</v>
      </c>
      <c r="H75" s="71">
        <f>G75*F75/1000</f>
        <v>1.7849999999999999</v>
      </c>
      <c r="I75" s="10">
        <v>0</v>
      </c>
    </row>
    <row r="76" spans="1:9" ht="15.75" hidden="1" customHeight="1">
      <c r="A76" s="21"/>
      <c r="B76" s="11" t="s">
        <v>119</v>
      </c>
      <c r="C76" s="13" t="s">
        <v>135</v>
      </c>
      <c r="D76" s="11"/>
      <c r="E76" s="15">
        <v>1</v>
      </c>
      <c r="F76" s="10">
        <v>1</v>
      </c>
      <c r="G76" s="10">
        <v>750</v>
      </c>
      <c r="H76" s="71">
        <f>G76*F76/1000</f>
        <v>0.75</v>
      </c>
      <c r="I76" s="10">
        <v>0</v>
      </c>
    </row>
    <row r="77" spans="1:9" ht="15.75" customHeight="1">
      <c r="A77" s="21">
        <v>12</v>
      </c>
      <c r="B77" s="11" t="s">
        <v>76</v>
      </c>
      <c r="C77" s="13" t="s">
        <v>78</v>
      </c>
      <c r="D77" s="11"/>
      <c r="E77" s="15">
        <v>2</v>
      </c>
      <c r="F77" s="10">
        <v>0.2</v>
      </c>
      <c r="G77" s="10">
        <v>570.54</v>
      </c>
      <c r="H77" s="71">
        <f t="shared" si="7"/>
        <v>0.114108</v>
      </c>
      <c r="I77" s="10">
        <f>G77*0.4</f>
        <v>228.21600000000001</v>
      </c>
    </row>
    <row r="78" spans="1:9" ht="15.75" hidden="1" customHeight="1">
      <c r="A78" s="21"/>
      <c r="B78" s="11" t="s">
        <v>77</v>
      </c>
      <c r="C78" s="13" t="s">
        <v>31</v>
      </c>
      <c r="D78" s="11"/>
      <c r="E78" s="15">
        <v>1</v>
      </c>
      <c r="F78" s="52">
        <v>1</v>
      </c>
      <c r="G78" s="10">
        <v>970.21</v>
      </c>
      <c r="H78" s="71">
        <f t="shared" si="7"/>
        <v>0.97021000000000002</v>
      </c>
      <c r="I78" s="10">
        <v>0</v>
      </c>
    </row>
    <row r="79" spans="1:9" ht="15.75" customHeight="1">
      <c r="A79" s="21">
        <v>13</v>
      </c>
      <c r="B79" s="11" t="s">
        <v>136</v>
      </c>
      <c r="C79" s="13" t="s">
        <v>98</v>
      </c>
      <c r="D79" s="11"/>
      <c r="E79" s="15">
        <v>1</v>
      </c>
      <c r="F79" s="42">
        <f>SUM(E79)</f>
        <v>1</v>
      </c>
      <c r="G79" s="10">
        <v>407.79</v>
      </c>
      <c r="H79" s="71">
        <f t="shared" si="7"/>
        <v>0.40779000000000004</v>
      </c>
      <c r="I79" s="10">
        <f>G79*1</f>
        <v>407.79</v>
      </c>
    </row>
    <row r="80" spans="1:9" ht="16.5" hidden="1" customHeight="1">
      <c r="A80" s="21"/>
      <c r="B80" s="76" t="s">
        <v>79</v>
      </c>
      <c r="C80" s="13"/>
      <c r="D80" s="11"/>
      <c r="E80" s="15"/>
      <c r="F80" s="10"/>
      <c r="G80" s="10" t="s">
        <v>166</v>
      </c>
      <c r="H80" s="71" t="s">
        <v>166</v>
      </c>
      <c r="I80" s="62"/>
    </row>
    <row r="81" spans="1:9" ht="16.5" hidden="1" customHeight="1">
      <c r="A81" s="21"/>
      <c r="B81" s="34" t="s">
        <v>104</v>
      </c>
      <c r="C81" s="13" t="s">
        <v>80</v>
      </c>
      <c r="D81" s="11"/>
      <c r="E81" s="15"/>
      <c r="F81" s="10">
        <v>0.6</v>
      </c>
      <c r="G81" s="10">
        <v>3138.65</v>
      </c>
      <c r="H81" s="71">
        <f t="shared" si="7"/>
        <v>1.8831900000000001</v>
      </c>
      <c r="I81" s="10">
        <v>0</v>
      </c>
    </row>
    <row r="82" spans="1:9" ht="15.75" hidden="1" customHeight="1">
      <c r="A82" s="21"/>
      <c r="B82" s="45" t="s">
        <v>95</v>
      </c>
      <c r="C82" s="13"/>
      <c r="D82" s="11"/>
      <c r="E82" s="53"/>
      <c r="F82" s="10"/>
      <c r="G82" s="10"/>
      <c r="H82" s="71"/>
      <c r="I82" s="10"/>
    </row>
    <row r="83" spans="1:9" ht="15.75" hidden="1" customHeight="1">
      <c r="A83" s="21">
        <v>13</v>
      </c>
      <c r="B83" s="40" t="s">
        <v>101</v>
      </c>
      <c r="C83" s="13"/>
      <c r="D83" s="11"/>
      <c r="E83" s="53"/>
      <c r="F83" s="10">
        <v>1</v>
      </c>
      <c r="G83" s="10">
        <v>22696</v>
      </c>
      <c r="H83" s="71">
        <f>G83*F83/1000</f>
        <v>22.696000000000002</v>
      </c>
      <c r="I83" s="10">
        <v>4969</v>
      </c>
    </row>
    <row r="84" spans="1:9" ht="15.75" customHeight="1">
      <c r="A84" s="21"/>
      <c r="B84" s="80" t="s">
        <v>107</v>
      </c>
      <c r="C84" s="76"/>
      <c r="D84" s="23"/>
      <c r="E84" s="24"/>
      <c r="F84" s="75"/>
      <c r="G84" s="75"/>
      <c r="H84" s="73"/>
      <c r="I84" s="61"/>
    </row>
    <row r="85" spans="1:9" ht="18" hidden="1" customHeight="1">
      <c r="A85" s="21"/>
      <c r="B85" s="77" t="s">
        <v>137</v>
      </c>
      <c r="C85" s="13" t="s">
        <v>138</v>
      </c>
      <c r="D85" s="40" t="s">
        <v>68</v>
      </c>
      <c r="E85" s="15">
        <v>10</v>
      </c>
      <c r="F85" s="10">
        <v>10</v>
      </c>
      <c r="G85" s="10">
        <v>271.88</v>
      </c>
      <c r="H85" s="71">
        <f t="shared" ref="H85:H98" si="9">F85*G85/1000</f>
        <v>2.7188000000000003</v>
      </c>
      <c r="I85" s="10">
        <v>0</v>
      </c>
    </row>
    <row r="86" spans="1:9" ht="20.25" hidden="1" customHeight="1">
      <c r="A86" s="21"/>
      <c r="B86" s="77" t="s">
        <v>108</v>
      </c>
      <c r="C86" s="13" t="s">
        <v>84</v>
      </c>
      <c r="D86" s="40" t="s">
        <v>68</v>
      </c>
      <c r="E86" s="15">
        <v>100</v>
      </c>
      <c r="F86" s="10">
        <v>100</v>
      </c>
      <c r="G86" s="10">
        <v>111.84</v>
      </c>
      <c r="H86" s="71">
        <f t="shared" si="9"/>
        <v>11.183999999999999</v>
      </c>
      <c r="I86" s="10">
        <v>0</v>
      </c>
    </row>
    <row r="87" spans="1:9" ht="21.75" hidden="1" customHeight="1">
      <c r="A87" s="21">
        <v>14</v>
      </c>
      <c r="B87" s="77" t="s">
        <v>139</v>
      </c>
      <c r="C87" s="13" t="s">
        <v>140</v>
      </c>
      <c r="D87" s="40" t="s">
        <v>68</v>
      </c>
      <c r="E87" s="15">
        <v>30</v>
      </c>
      <c r="F87" s="10">
        <v>10</v>
      </c>
      <c r="G87" s="10">
        <v>972.09</v>
      </c>
      <c r="H87" s="71">
        <f t="shared" si="9"/>
        <v>9.7209000000000003</v>
      </c>
      <c r="I87" s="10">
        <f>G87*((10+10)/3)</f>
        <v>6480.6</v>
      </c>
    </row>
    <row r="88" spans="1:9" ht="21.75" hidden="1" customHeight="1">
      <c r="A88" s="21"/>
      <c r="B88" s="77" t="s">
        <v>141</v>
      </c>
      <c r="C88" s="13" t="s">
        <v>53</v>
      </c>
      <c r="D88" s="40" t="s">
        <v>68</v>
      </c>
      <c r="E88" s="15">
        <v>100</v>
      </c>
      <c r="F88" s="10">
        <v>1</v>
      </c>
      <c r="G88" s="10">
        <v>1829.52</v>
      </c>
      <c r="H88" s="71">
        <f t="shared" si="9"/>
        <v>1.82952</v>
      </c>
      <c r="I88" s="10">
        <v>0</v>
      </c>
    </row>
    <row r="89" spans="1:9" ht="36.75" customHeight="1">
      <c r="A89" s="21">
        <v>14</v>
      </c>
      <c r="B89" s="77" t="s">
        <v>142</v>
      </c>
      <c r="C89" s="13" t="s">
        <v>143</v>
      </c>
      <c r="D89" s="40" t="s">
        <v>68</v>
      </c>
      <c r="E89" s="15">
        <v>40</v>
      </c>
      <c r="F89" s="10">
        <v>4</v>
      </c>
      <c r="G89" s="10">
        <v>272.39</v>
      </c>
      <c r="H89" s="71">
        <f t="shared" si="9"/>
        <v>1.0895599999999999</v>
      </c>
      <c r="I89" s="10">
        <f>G89*1.6</f>
        <v>435.82400000000001</v>
      </c>
    </row>
    <row r="90" spans="1:9" ht="20.25" hidden="1" customHeight="1">
      <c r="A90" s="21"/>
      <c r="B90" s="77" t="s">
        <v>144</v>
      </c>
      <c r="C90" s="13" t="s">
        <v>84</v>
      </c>
      <c r="D90" s="40" t="s">
        <v>68</v>
      </c>
      <c r="E90" s="15">
        <v>15</v>
      </c>
      <c r="F90" s="10">
        <v>15</v>
      </c>
      <c r="G90" s="10">
        <v>1430.02</v>
      </c>
      <c r="H90" s="71">
        <f t="shared" si="9"/>
        <v>21.450299999999999</v>
      </c>
      <c r="I90" s="10">
        <v>0</v>
      </c>
    </row>
    <row r="91" spans="1:9" ht="20.25" hidden="1" customHeight="1">
      <c r="A91" s="21"/>
      <c r="B91" s="77" t="s">
        <v>145</v>
      </c>
      <c r="C91" s="13" t="s">
        <v>84</v>
      </c>
      <c r="D91" s="40" t="s">
        <v>68</v>
      </c>
      <c r="E91" s="15">
        <v>10</v>
      </c>
      <c r="F91" s="10">
        <v>10</v>
      </c>
      <c r="G91" s="10">
        <v>1743.04</v>
      </c>
      <c r="H91" s="71">
        <f t="shared" si="9"/>
        <v>17.430400000000002</v>
      </c>
      <c r="I91" s="10">
        <v>0</v>
      </c>
    </row>
    <row r="92" spans="1:9" ht="20.25" hidden="1" customHeight="1">
      <c r="A92" s="21"/>
      <c r="B92" s="77" t="s">
        <v>146</v>
      </c>
      <c r="C92" s="13" t="s">
        <v>84</v>
      </c>
      <c r="D92" s="40" t="s">
        <v>68</v>
      </c>
      <c r="E92" s="15">
        <v>20</v>
      </c>
      <c r="F92" s="10">
        <v>20</v>
      </c>
      <c r="G92" s="10">
        <v>607.27</v>
      </c>
      <c r="H92" s="71">
        <f t="shared" si="9"/>
        <v>12.1454</v>
      </c>
      <c r="I92" s="10">
        <v>0</v>
      </c>
    </row>
    <row r="93" spans="1:9" ht="18.75" hidden="1" customHeight="1">
      <c r="A93" s="21"/>
      <c r="B93" s="77" t="s">
        <v>147</v>
      </c>
      <c r="C93" s="13" t="s">
        <v>84</v>
      </c>
      <c r="D93" s="40" t="s">
        <v>68</v>
      </c>
      <c r="E93" s="15">
        <v>30</v>
      </c>
      <c r="F93" s="10">
        <v>30</v>
      </c>
      <c r="G93" s="10">
        <v>711.93</v>
      </c>
      <c r="H93" s="71">
        <f t="shared" si="9"/>
        <v>21.357899999999997</v>
      </c>
      <c r="I93" s="10">
        <v>0</v>
      </c>
    </row>
    <row r="94" spans="1:9" ht="18.75" hidden="1" customHeight="1">
      <c r="A94" s="21"/>
      <c r="B94" s="77" t="s">
        <v>109</v>
      </c>
      <c r="C94" s="13" t="s">
        <v>31</v>
      </c>
      <c r="D94" s="40" t="s">
        <v>68</v>
      </c>
      <c r="E94" s="15">
        <v>10</v>
      </c>
      <c r="F94" s="10">
        <v>10</v>
      </c>
      <c r="G94" s="10">
        <v>455.31</v>
      </c>
      <c r="H94" s="71">
        <f t="shared" si="9"/>
        <v>4.5531000000000006</v>
      </c>
      <c r="I94" s="10">
        <v>0</v>
      </c>
    </row>
    <row r="95" spans="1:9" ht="20.25" hidden="1" customHeight="1">
      <c r="A95" s="21"/>
      <c r="B95" s="77" t="s">
        <v>148</v>
      </c>
      <c r="C95" s="13" t="s">
        <v>84</v>
      </c>
      <c r="D95" s="40" t="s">
        <v>68</v>
      </c>
      <c r="E95" s="15">
        <v>30</v>
      </c>
      <c r="F95" s="10">
        <v>30</v>
      </c>
      <c r="G95" s="10">
        <v>1155.7</v>
      </c>
      <c r="H95" s="71">
        <f t="shared" si="9"/>
        <v>34.670999999999999</v>
      </c>
      <c r="I95" s="10">
        <v>0</v>
      </c>
    </row>
    <row r="96" spans="1:9" ht="18.75" hidden="1" customHeight="1">
      <c r="A96" s="21"/>
      <c r="B96" s="77" t="s">
        <v>149</v>
      </c>
      <c r="C96" s="13" t="s">
        <v>29</v>
      </c>
      <c r="D96" s="11" t="s">
        <v>43</v>
      </c>
      <c r="E96" s="15">
        <v>1040.4000000000001</v>
      </c>
      <c r="F96" s="10">
        <f>E96*2/1000</f>
        <v>2.0808</v>
      </c>
      <c r="G96" s="10">
        <v>1560.98</v>
      </c>
      <c r="H96" s="71">
        <f t="shared" si="9"/>
        <v>3.2480871840000001</v>
      </c>
      <c r="I96" s="10">
        <v>0</v>
      </c>
    </row>
    <row r="97" spans="1:9" ht="15.75" hidden="1" customHeight="1">
      <c r="A97" s="21"/>
      <c r="B97" s="77" t="s">
        <v>150</v>
      </c>
      <c r="C97" s="21" t="s">
        <v>152</v>
      </c>
      <c r="D97" s="40" t="s">
        <v>68</v>
      </c>
      <c r="E97" s="15">
        <v>100</v>
      </c>
      <c r="F97" s="10">
        <v>1</v>
      </c>
      <c r="G97" s="10">
        <v>12859.93</v>
      </c>
      <c r="H97" s="71">
        <f t="shared" si="9"/>
        <v>12.85993</v>
      </c>
      <c r="I97" s="10">
        <v>0</v>
      </c>
    </row>
    <row r="98" spans="1:9" ht="15.75" hidden="1" customHeight="1">
      <c r="A98" s="21"/>
      <c r="B98" s="77" t="s">
        <v>151</v>
      </c>
      <c r="C98" s="13" t="s">
        <v>29</v>
      </c>
      <c r="D98" s="11" t="s">
        <v>43</v>
      </c>
      <c r="E98" s="15">
        <v>1040.4000000000001</v>
      </c>
      <c r="F98" s="10">
        <v>2.08</v>
      </c>
      <c r="G98" s="10">
        <v>1453.29</v>
      </c>
      <c r="H98" s="71">
        <f t="shared" si="9"/>
        <v>3.0228432000000001</v>
      </c>
      <c r="I98" s="10">
        <v>0</v>
      </c>
    </row>
    <row r="99" spans="1:9" ht="15.75" customHeight="1">
      <c r="A99" s="133" t="s">
        <v>163</v>
      </c>
      <c r="B99" s="134"/>
      <c r="C99" s="134"/>
      <c r="D99" s="134"/>
      <c r="E99" s="134"/>
      <c r="F99" s="134"/>
      <c r="G99" s="134"/>
      <c r="H99" s="134"/>
      <c r="I99" s="135"/>
    </row>
    <row r="100" spans="1:9" ht="15.75" customHeight="1">
      <c r="A100" s="21">
        <v>15</v>
      </c>
      <c r="B100" s="77" t="s">
        <v>102</v>
      </c>
      <c r="C100" s="13" t="s">
        <v>55</v>
      </c>
      <c r="D100" s="51" t="s">
        <v>56</v>
      </c>
      <c r="E100" s="10">
        <v>3455.3</v>
      </c>
      <c r="F100" s="10">
        <v>41463.599999999999</v>
      </c>
      <c r="G100" s="10">
        <v>2.7</v>
      </c>
      <c r="H100" s="71">
        <f>SUM(F100*G100/1000)</f>
        <v>111.95171999999999</v>
      </c>
      <c r="I100" s="10">
        <f>F100/12*G100</f>
        <v>9329.31</v>
      </c>
    </row>
    <row r="101" spans="1:9" ht="31.5" customHeight="1">
      <c r="A101" s="21">
        <v>16</v>
      </c>
      <c r="B101" s="11" t="s">
        <v>81</v>
      </c>
      <c r="C101" s="13"/>
      <c r="D101" s="51" t="s">
        <v>56</v>
      </c>
      <c r="E101" s="57">
        <f>E100</f>
        <v>3455.3</v>
      </c>
      <c r="F101" s="10">
        <f>E101*12</f>
        <v>41463.600000000006</v>
      </c>
      <c r="G101" s="10">
        <v>3.05</v>
      </c>
      <c r="H101" s="71">
        <f>F101*G101/1000</f>
        <v>126.46398000000001</v>
      </c>
      <c r="I101" s="10">
        <f>F101/12*G101</f>
        <v>10538.665000000001</v>
      </c>
    </row>
    <row r="102" spans="1:9" ht="15.75" customHeight="1">
      <c r="A102" s="21"/>
      <c r="B102" s="27" t="s">
        <v>83</v>
      </c>
      <c r="C102" s="76"/>
      <c r="D102" s="74"/>
      <c r="E102" s="75"/>
      <c r="F102" s="75"/>
      <c r="G102" s="75"/>
      <c r="H102" s="73">
        <f>SUM(H101)</f>
        <v>126.46398000000001</v>
      </c>
      <c r="I102" s="75">
        <f>I101+I100+I89+I79+I77+I73+I63+I35+I34+I32+I31+I28+I27+I18+I17+I16</f>
        <v>50708.182291111108</v>
      </c>
    </row>
    <row r="103" spans="1:9" ht="15.75" customHeight="1">
      <c r="A103" s="140" t="s">
        <v>61</v>
      </c>
      <c r="B103" s="141"/>
      <c r="C103" s="141"/>
      <c r="D103" s="141"/>
      <c r="E103" s="141"/>
      <c r="F103" s="141"/>
      <c r="G103" s="141"/>
      <c r="H103" s="141"/>
      <c r="I103" s="142"/>
    </row>
    <row r="104" spans="1:9" ht="15.75" customHeight="1">
      <c r="A104" s="21">
        <v>17</v>
      </c>
      <c r="B104" s="39" t="s">
        <v>85</v>
      </c>
      <c r="C104" s="88" t="s">
        <v>98</v>
      </c>
      <c r="D104" s="34"/>
      <c r="E104" s="10"/>
      <c r="F104" s="10">
        <v>11</v>
      </c>
      <c r="G104" s="26">
        <v>197.48</v>
      </c>
      <c r="H104" s="87">
        <f>G104*F104/1000</f>
        <v>2.1722799999999998</v>
      </c>
      <c r="I104" s="10">
        <f>G104*4</f>
        <v>789.92</v>
      </c>
    </row>
    <row r="105" spans="1:9" ht="15.75" customHeight="1">
      <c r="A105" s="21">
        <v>18</v>
      </c>
      <c r="B105" s="39" t="s">
        <v>233</v>
      </c>
      <c r="C105" s="115" t="s">
        <v>185</v>
      </c>
      <c r="D105" s="34"/>
      <c r="E105" s="10"/>
      <c r="F105" s="10">
        <f>46/10</f>
        <v>4.5999999999999996</v>
      </c>
      <c r="G105" s="111">
        <v>1724.8</v>
      </c>
      <c r="H105" s="87">
        <f>G105*F105/1000</f>
        <v>7.9340799999999989</v>
      </c>
      <c r="I105" s="10">
        <f>G105*1.38</f>
        <v>2380.2239999999997</v>
      </c>
    </row>
    <row r="106" spans="1:9" ht="15.75" customHeight="1">
      <c r="A106" s="21">
        <v>19</v>
      </c>
      <c r="B106" s="39" t="s">
        <v>230</v>
      </c>
      <c r="C106" s="115" t="s">
        <v>231</v>
      </c>
      <c r="D106" s="38"/>
      <c r="E106" s="26"/>
      <c r="F106" s="26">
        <v>1</v>
      </c>
      <c r="G106" s="111">
        <v>106.4</v>
      </c>
      <c r="H106" s="71">
        <f t="shared" ref="H106:H107" si="10">G106*F106/1000</f>
        <v>0.10640000000000001</v>
      </c>
      <c r="I106" s="10">
        <f>G106*6</f>
        <v>638.40000000000009</v>
      </c>
    </row>
    <row r="107" spans="1:9" ht="45.75" customHeight="1">
      <c r="A107" s="21">
        <v>20</v>
      </c>
      <c r="B107" s="39" t="s">
        <v>232</v>
      </c>
      <c r="C107" s="88" t="s">
        <v>185</v>
      </c>
      <c r="D107" s="38"/>
      <c r="E107" s="26"/>
      <c r="F107" s="26">
        <v>2</v>
      </c>
      <c r="G107" s="110">
        <v>2008.46</v>
      </c>
      <c r="H107" s="71">
        <f t="shared" si="10"/>
        <v>4.0169199999999998</v>
      </c>
      <c r="I107" s="10">
        <f>G107*1.2</f>
        <v>2410.152</v>
      </c>
    </row>
    <row r="108" spans="1:9">
      <c r="A108" s="21"/>
      <c r="B108" s="32" t="s">
        <v>52</v>
      </c>
      <c r="C108" s="28"/>
      <c r="D108" s="35"/>
      <c r="E108" s="28">
        <v>1</v>
      </c>
      <c r="F108" s="28"/>
      <c r="G108" s="28"/>
      <c r="H108" s="28"/>
      <c r="I108" s="24">
        <f>SUM(I104:I107)</f>
        <v>6218.6959999999999</v>
      </c>
    </row>
    <row r="109" spans="1:9">
      <c r="A109" s="21"/>
      <c r="B109" s="34" t="s">
        <v>82</v>
      </c>
      <c r="C109" s="12"/>
      <c r="D109" s="12"/>
      <c r="E109" s="29"/>
      <c r="F109" s="29"/>
      <c r="G109" s="30"/>
      <c r="H109" s="30"/>
      <c r="I109" s="14">
        <v>0</v>
      </c>
    </row>
    <row r="110" spans="1:9" ht="15.75" customHeight="1">
      <c r="A110" s="36"/>
      <c r="B110" s="33" t="s">
        <v>184</v>
      </c>
      <c r="C110" s="25"/>
      <c r="D110" s="25"/>
      <c r="E110" s="25"/>
      <c r="F110" s="25"/>
      <c r="G110" s="25"/>
      <c r="H110" s="25"/>
      <c r="I110" s="31">
        <f>I102+I108</f>
        <v>56926.878291111105</v>
      </c>
    </row>
    <row r="111" spans="1:9" ht="15.75">
      <c r="A111" s="136" t="s">
        <v>235</v>
      </c>
      <c r="B111" s="136"/>
      <c r="C111" s="136"/>
      <c r="D111" s="136"/>
      <c r="E111" s="136"/>
      <c r="F111" s="136"/>
      <c r="G111" s="136"/>
      <c r="H111" s="136"/>
      <c r="I111" s="136"/>
    </row>
    <row r="112" spans="1:9" ht="15.75">
      <c r="A112" s="50"/>
      <c r="B112" s="137" t="s">
        <v>236</v>
      </c>
      <c r="C112" s="137"/>
      <c r="D112" s="137"/>
      <c r="E112" s="137"/>
      <c r="F112" s="137"/>
      <c r="G112" s="137"/>
      <c r="H112" s="56"/>
      <c r="I112" s="2"/>
    </row>
    <row r="113" spans="1:9">
      <c r="A113" s="44"/>
      <c r="B113" s="124" t="s">
        <v>6</v>
      </c>
      <c r="C113" s="124"/>
      <c r="D113" s="124"/>
      <c r="E113" s="124"/>
      <c r="F113" s="124"/>
      <c r="G113" s="124"/>
      <c r="H113" s="16"/>
      <c r="I113" s="4"/>
    </row>
    <row r="114" spans="1:9">
      <c r="A114" s="7"/>
      <c r="B114" s="7"/>
      <c r="C114" s="7"/>
      <c r="D114" s="7"/>
      <c r="E114" s="7"/>
      <c r="F114" s="7"/>
      <c r="G114" s="7"/>
      <c r="H114" s="7"/>
      <c r="I114" s="7"/>
    </row>
    <row r="115" spans="1:9" ht="15.75" customHeight="1">
      <c r="A115" s="138" t="s">
        <v>7</v>
      </c>
      <c r="B115" s="138"/>
      <c r="C115" s="138"/>
      <c r="D115" s="138"/>
      <c r="E115" s="138"/>
      <c r="F115" s="138"/>
      <c r="G115" s="138"/>
      <c r="H115" s="138"/>
      <c r="I115" s="138"/>
    </row>
    <row r="116" spans="1:9" ht="15.75" customHeight="1">
      <c r="A116" s="138" t="s">
        <v>8</v>
      </c>
      <c r="B116" s="138"/>
      <c r="C116" s="138"/>
      <c r="D116" s="138"/>
      <c r="E116" s="138"/>
      <c r="F116" s="138"/>
      <c r="G116" s="138"/>
      <c r="H116" s="138"/>
      <c r="I116" s="138"/>
    </row>
    <row r="117" spans="1:9" ht="15.75" customHeight="1">
      <c r="A117" s="139" t="s">
        <v>62</v>
      </c>
      <c r="B117" s="139"/>
      <c r="C117" s="139"/>
      <c r="D117" s="139"/>
      <c r="E117" s="139"/>
      <c r="F117" s="139"/>
      <c r="G117" s="139"/>
      <c r="H117" s="139"/>
      <c r="I117" s="139"/>
    </row>
    <row r="118" spans="1:9" ht="7.5" customHeight="1">
      <c r="A118" s="8"/>
    </row>
    <row r="119" spans="1:9" ht="15.75" customHeight="1">
      <c r="A119" s="128" t="s">
        <v>9</v>
      </c>
      <c r="B119" s="128"/>
      <c r="C119" s="128"/>
      <c r="D119" s="128"/>
      <c r="E119" s="128"/>
      <c r="F119" s="128"/>
      <c r="G119" s="128"/>
      <c r="H119" s="128"/>
      <c r="I119" s="128"/>
    </row>
    <row r="120" spans="1:9" ht="15.75" customHeight="1">
      <c r="A120" s="3"/>
    </row>
    <row r="121" spans="1:9" ht="15.75" customHeight="1">
      <c r="B121" s="46" t="s">
        <v>10</v>
      </c>
      <c r="C121" s="123" t="s">
        <v>158</v>
      </c>
      <c r="D121" s="123"/>
      <c r="E121" s="123"/>
      <c r="F121" s="54"/>
      <c r="I121" s="48"/>
    </row>
    <row r="122" spans="1:9">
      <c r="A122" s="44"/>
      <c r="C122" s="124" t="s">
        <v>11</v>
      </c>
      <c r="D122" s="124"/>
      <c r="E122" s="124"/>
      <c r="F122" s="16"/>
      <c r="I122" s="49" t="s">
        <v>12</v>
      </c>
    </row>
    <row r="123" spans="1:9" ht="15.75">
      <c r="A123" s="17"/>
      <c r="C123" s="9"/>
      <c r="D123" s="9"/>
      <c r="G123" s="9"/>
      <c r="H123" s="9"/>
    </row>
    <row r="124" spans="1:9" ht="15.75">
      <c r="B124" s="46" t="s">
        <v>13</v>
      </c>
      <c r="C124" s="125"/>
      <c r="D124" s="125"/>
      <c r="E124" s="125"/>
      <c r="F124" s="55"/>
      <c r="I124" s="48"/>
    </row>
    <row r="125" spans="1:9">
      <c r="A125" s="44"/>
      <c r="C125" s="126" t="s">
        <v>11</v>
      </c>
      <c r="D125" s="126"/>
      <c r="E125" s="126"/>
      <c r="F125" s="44"/>
      <c r="I125" s="49" t="s">
        <v>12</v>
      </c>
    </row>
    <row r="126" spans="1:9" ht="15.75">
      <c r="A126" s="3" t="s">
        <v>14</v>
      </c>
    </row>
    <row r="127" spans="1:9">
      <c r="A127" s="127" t="s">
        <v>15</v>
      </c>
      <c r="B127" s="127"/>
      <c r="C127" s="127"/>
      <c r="D127" s="127"/>
      <c r="E127" s="127"/>
      <c r="F127" s="127"/>
      <c r="G127" s="127"/>
      <c r="H127" s="127"/>
      <c r="I127" s="127"/>
    </row>
    <row r="128" spans="1:9" ht="45" customHeight="1">
      <c r="A128" s="122" t="s">
        <v>16</v>
      </c>
      <c r="B128" s="122"/>
      <c r="C128" s="122"/>
      <c r="D128" s="122"/>
      <c r="E128" s="122"/>
      <c r="F128" s="122"/>
      <c r="G128" s="122"/>
      <c r="H128" s="122"/>
      <c r="I128" s="122"/>
    </row>
    <row r="129" spans="1:9" ht="30" customHeight="1">
      <c r="A129" s="122" t="s">
        <v>17</v>
      </c>
      <c r="B129" s="122"/>
      <c r="C129" s="122"/>
      <c r="D129" s="122"/>
      <c r="E129" s="122"/>
      <c r="F129" s="122"/>
      <c r="G129" s="122"/>
      <c r="H129" s="122"/>
      <c r="I129" s="122"/>
    </row>
    <row r="130" spans="1:9" ht="30" customHeight="1">
      <c r="A130" s="122" t="s">
        <v>21</v>
      </c>
      <c r="B130" s="122"/>
      <c r="C130" s="122"/>
      <c r="D130" s="122"/>
      <c r="E130" s="122"/>
      <c r="F130" s="122"/>
      <c r="G130" s="122"/>
      <c r="H130" s="122"/>
      <c r="I130" s="122"/>
    </row>
    <row r="131" spans="1:9" ht="15" customHeight="1">
      <c r="A131" s="122" t="s">
        <v>20</v>
      </c>
      <c r="B131" s="122"/>
      <c r="C131" s="122"/>
      <c r="D131" s="122"/>
      <c r="E131" s="122"/>
      <c r="F131" s="122"/>
      <c r="G131" s="122"/>
      <c r="H131" s="122"/>
      <c r="I131" s="122"/>
    </row>
  </sheetData>
  <mergeCells count="28">
    <mergeCell ref="A14:I14"/>
    <mergeCell ref="A3:I3"/>
    <mergeCell ref="A4:I4"/>
    <mergeCell ref="A5:I5"/>
    <mergeCell ref="A8:I8"/>
    <mergeCell ref="A10:I10"/>
    <mergeCell ref="A119:I119"/>
    <mergeCell ref="A15:I15"/>
    <mergeCell ref="A29:I29"/>
    <mergeCell ref="A46:I46"/>
    <mergeCell ref="A58:I58"/>
    <mergeCell ref="A99:I99"/>
    <mergeCell ref="A111:I111"/>
    <mergeCell ref="B112:G112"/>
    <mergeCell ref="B113:G113"/>
    <mergeCell ref="A115:I115"/>
    <mergeCell ref="A116:I116"/>
    <mergeCell ref="A117:I117"/>
    <mergeCell ref="A103:I103"/>
    <mergeCell ref="A129:I129"/>
    <mergeCell ref="A130:I130"/>
    <mergeCell ref="A131:I131"/>
    <mergeCell ref="C121:E121"/>
    <mergeCell ref="C122:E122"/>
    <mergeCell ref="C124:E124"/>
    <mergeCell ref="C125:E125"/>
    <mergeCell ref="A127:I127"/>
    <mergeCell ref="A128:I128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30"/>
  <sheetViews>
    <sheetView view="pageBreakPreview" topLeftCell="A97" zoomScale="60" workbookViewId="0">
      <selection activeCell="A115" sqref="A115:I11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5.710937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220</v>
      </c>
      <c r="I1" s="18"/>
    </row>
    <row r="2" spans="1:9" ht="15.75">
      <c r="A2" s="20" t="s">
        <v>63</v>
      </c>
    </row>
    <row r="3" spans="1:9" ht="15.75">
      <c r="A3" s="144" t="s">
        <v>180</v>
      </c>
      <c r="B3" s="144"/>
      <c r="C3" s="144"/>
      <c r="D3" s="144"/>
      <c r="E3" s="144"/>
      <c r="F3" s="144"/>
      <c r="G3" s="144"/>
      <c r="H3" s="144"/>
      <c r="I3" s="144"/>
    </row>
    <row r="4" spans="1:9" ht="31.5" customHeight="1">
      <c r="A4" s="145" t="s">
        <v>154</v>
      </c>
      <c r="B4" s="145"/>
      <c r="C4" s="145"/>
      <c r="D4" s="145"/>
      <c r="E4" s="145"/>
      <c r="F4" s="145"/>
      <c r="G4" s="145"/>
      <c r="H4" s="145"/>
      <c r="I4" s="145"/>
    </row>
    <row r="5" spans="1:9" ht="15.75">
      <c r="A5" s="144" t="s">
        <v>234</v>
      </c>
      <c r="B5" s="146"/>
      <c r="C5" s="146"/>
      <c r="D5" s="146"/>
      <c r="E5" s="146"/>
      <c r="F5" s="146"/>
      <c r="G5" s="146"/>
      <c r="H5" s="146"/>
      <c r="I5" s="146"/>
    </row>
    <row r="6" spans="1:9" ht="15.75">
      <c r="A6" s="1"/>
      <c r="B6" s="47"/>
      <c r="C6" s="47"/>
      <c r="D6" s="47"/>
      <c r="E6" s="47"/>
      <c r="F6" s="47"/>
      <c r="G6" s="47"/>
      <c r="H6" s="47"/>
      <c r="I6" s="22">
        <v>43373</v>
      </c>
    </row>
    <row r="7" spans="1:9" ht="15.75">
      <c r="B7" s="46"/>
      <c r="C7" s="46"/>
      <c r="D7" s="46"/>
      <c r="E7" s="2"/>
      <c r="F7" s="2"/>
      <c r="G7" s="2"/>
      <c r="H7" s="2"/>
    </row>
    <row r="8" spans="1:9" ht="78.75" customHeight="1">
      <c r="A8" s="147" t="s">
        <v>222</v>
      </c>
      <c r="B8" s="147"/>
      <c r="C8" s="147"/>
      <c r="D8" s="147"/>
      <c r="E8" s="147"/>
      <c r="F8" s="147"/>
      <c r="G8" s="147"/>
      <c r="H8" s="147"/>
      <c r="I8" s="147"/>
    </row>
    <row r="9" spans="1:9" ht="15.75">
      <c r="A9" s="3"/>
    </row>
    <row r="10" spans="1:9" ht="47.25" customHeight="1">
      <c r="A10" s="148" t="s">
        <v>183</v>
      </c>
      <c r="B10" s="148"/>
      <c r="C10" s="148"/>
      <c r="D10" s="148"/>
      <c r="E10" s="148"/>
      <c r="F10" s="148"/>
      <c r="G10" s="148"/>
      <c r="H10" s="148"/>
      <c r="I10" s="148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3" t="s">
        <v>60</v>
      </c>
      <c r="B14" s="143"/>
      <c r="C14" s="143"/>
      <c r="D14" s="143"/>
      <c r="E14" s="143"/>
      <c r="F14" s="143"/>
      <c r="G14" s="143"/>
      <c r="H14" s="143"/>
      <c r="I14" s="143"/>
    </row>
    <row r="15" spans="1:9" ht="15.75" customHeight="1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</row>
    <row r="16" spans="1:9" ht="15.75" customHeight="1">
      <c r="A16" s="21">
        <v>1</v>
      </c>
      <c r="B16" s="40" t="s">
        <v>110</v>
      </c>
      <c r="C16" s="41" t="s">
        <v>89</v>
      </c>
      <c r="D16" s="40" t="s">
        <v>155</v>
      </c>
      <c r="E16" s="57">
        <v>70.7</v>
      </c>
      <c r="F16" s="42">
        <f>SUM(E16*156/100)</f>
        <v>110.292</v>
      </c>
      <c r="G16" s="42">
        <v>199.46</v>
      </c>
      <c r="H16" s="58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40" t="s">
        <v>121</v>
      </c>
      <c r="C17" s="41" t="s">
        <v>89</v>
      </c>
      <c r="D17" s="40" t="s">
        <v>156</v>
      </c>
      <c r="E17" s="57">
        <v>282.8</v>
      </c>
      <c r="F17" s="42">
        <f>SUM(E17*104/100)</f>
        <v>294.11200000000002</v>
      </c>
      <c r="G17" s="42">
        <v>199.46</v>
      </c>
      <c r="H17" s="58">
        <f t="shared" si="0"/>
        <v>58.663579520000006</v>
      </c>
      <c r="I17" s="10">
        <f t="shared" ref="I17:I19" si="1">F17/12*G17</f>
        <v>4888.6316266666672</v>
      </c>
    </row>
    <row r="18" spans="1:9" ht="15.75" customHeight="1">
      <c r="A18" s="21">
        <v>3</v>
      </c>
      <c r="B18" s="40" t="s">
        <v>122</v>
      </c>
      <c r="C18" s="41" t="s">
        <v>89</v>
      </c>
      <c r="D18" s="40" t="s">
        <v>157</v>
      </c>
      <c r="E18" s="57">
        <f>SUM(E16+E17)</f>
        <v>353.5</v>
      </c>
      <c r="F18" s="42">
        <f>SUM(E18*24/100)</f>
        <v>84.84</v>
      </c>
      <c r="G18" s="42">
        <v>573.83000000000004</v>
      </c>
      <c r="H18" s="58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1"/>
      <c r="B19" s="40" t="s">
        <v>111</v>
      </c>
      <c r="C19" s="41" t="s">
        <v>112</v>
      </c>
      <c r="D19" s="40" t="s">
        <v>113</v>
      </c>
      <c r="E19" s="57">
        <v>40</v>
      </c>
      <c r="F19" s="42">
        <f>SUM(E19/10)</f>
        <v>4</v>
      </c>
      <c r="G19" s="42">
        <v>193.55</v>
      </c>
      <c r="H19" s="58">
        <f t="shared" si="0"/>
        <v>0.7742</v>
      </c>
      <c r="I19" s="10">
        <f t="shared" si="1"/>
        <v>64.516666666666666</v>
      </c>
    </row>
    <row r="20" spans="1:9" ht="15.75" customHeight="1">
      <c r="A20" s="21">
        <v>4</v>
      </c>
      <c r="B20" s="40" t="s">
        <v>114</v>
      </c>
      <c r="C20" s="41" t="s">
        <v>89</v>
      </c>
      <c r="D20" s="40" t="s">
        <v>43</v>
      </c>
      <c r="E20" s="57">
        <v>10.5</v>
      </c>
      <c r="F20" s="42">
        <f>E20*2/100</f>
        <v>0.21</v>
      </c>
      <c r="G20" s="42">
        <v>247.82</v>
      </c>
      <c r="H20" s="58">
        <f t="shared" si="0"/>
        <v>5.2042199999999997E-2</v>
      </c>
      <c r="I20" s="10">
        <f>F20/2*G20</f>
        <v>26.021099999999997</v>
      </c>
    </row>
    <row r="21" spans="1:9" ht="15.75" customHeight="1">
      <c r="A21" s="21">
        <v>5</v>
      </c>
      <c r="B21" s="40" t="s">
        <v>115</v>
      </c>
      <c r="C21" s="41" t="s">
        <v>89</v>
      </c>
      <c r="D21" s="40" t="s">
        <v>43</v>
      </c>
      <c r="E21" s="57">
        <v>2.7</v>
      </c>
      <c r="F21" s="42">
        <f>SUM(E21*2/100)</f>
        <v>5.4000000000000006E-2</v>
      </c>
      <c r="G21" s="42">
        <v>245.81</v>
      </c>
      <c r="H21" s="58">
        <f t="shared" si="0"/>
        <v>1.3273740000000003E-2</v>
      </c>
      <c r="I21" s="10">
        <f>F21/2*G21</f>
        <v>6.6368700000000009</v>
      </c>
    </row>
    <row r="22" spans="1:9" ht="15.75" hidden="1" customHeight="1">
      <c r="A22" s="21"/>
      <c r="B22" s="40" t="s">
        <v>116</v>
      </c>
      <c r="C22" s="41" t="s">
        <v>53</v>
      </c>
      <c r="D22" s="40" t="s">
        <v>113</v>
      </c>
      <c r="E22" s="57">
        <v>357</v>
      </c>
      <c r="F22" s="42">
        <f>SUM(E22/100)</f>
        <v>3.57</v>
      </c>
      <c r="G22" s="42">
        <v>306.26</v>
      </c>
      <c r="H22" s="58">
        <f t="shared" si="0"/>
        <v>1.0933481999999999</v>
      </c>
      <c r="I22" s="10">
        <v>0</v>
      </c>
    </row>
    <row r="23" spans="1:9" ht="15.75" hidden="1" customHeight="1">
      <c r="A23" s="21"/>
      <c r="B23" s="40" t="s">
        <v>117</v>
      </c>
      <c r="C23" s="41" t="s">
        <v>53</v>
      </c>
      <c r="D23" s="40" t="s">
        <v>113</v>
      </c>
      <c r="E23" s="60">
        <v>38.64</v>
      </c>
      <c r="F23" s="42">
        <f>SUM(E23/100)</f>
        <v>0.38640000000000002</v>
      </c>
      <c r="G23" s="42">
        <v>50.37</v>
      </c>
      <c r="H23" s="58">
        <f t="shared" si="0"/>
        <v>1.9462968000000001E-2</v>
      </c>
      <c r="I23" s="10">
        <v>0</v>
      </c>
    </row>
    <row r="24" spans="1:9" ht="15.75" hidden="1" customHeight="1">
      <c r="A24" s="21"/>
      <c r="B24" s="40" t="s">
        <v>118</v>
      </c>
      <c r="C24" s="41" t="s">
        <v>53</v>
      </c>
      <c r="D24" s="40" t="s">
        <v>123</v>
      </c>
      <c r="E24" s="57">
        <v>15</v>
      </c>
      <c r="F24" s="42">
        <f>E24/100</f>
        <v>0.15</v>
      </c>
      <c r="G24" s="42">
        <v>443.27</v>
      </c>
      <c r="H24" s="58">
        <f t="shared" si="0"/>
        <v>6.6490499999999994E-2</v>
      </c>
      <c r="I24" s="10">
        <v>0</v>
      </c>
    </row>
    <row r="25" spans="1:9" ht="15.75" hidden="1" customHeight="1">
      <c r="A25" s="21"/>
      <c r="B25" s="40" t="s">
        <v>124</v>
      </c>
      <c r="C25" s="41" t="s">
        <v>89</v>
      </c>
      <c r="D25" s="40" t="s">
        <v>54</v>
      </c>
      <c r="E25" s="57">
        <v>14.25</v>
      </c>
      <c r="F25" s="42">
        <v>0.1</v>
      </c>
      <c r="G25" s="42">
        <v>245.81</v>
      </c>
      <c r="H25" s="58">
        <v>3.1E-2</v>
      </c>
      <c r="I25" s="10">
        <v>0</v>
      </c>
    </row>
    <row r="26" spans="1:9" ht="15.75" hidden="1" customHeight="1">
      <c r="A26" s="21"/>
      <c r="B26" s="40" t="s">
        <v>125</v>
      </c>
      <c r="C26" s="41" t="s">
        <v>53</v>
      </c>
      <c r="D26" s="40" t="s">
        <v>113</v>
      </c>
      <c r="E26" s="57">
        <v>6.38</v>
      </c>
      <c r="F26" s="42">
        <f>SUM(E26/100)</f>
        <v>6.3799999999999996E-2</v>
      </c>
      <c r="G26" s="42">
        <v>592.37</v>
      </c>
      <c r="H26" s="58">
        <f t="shared" si="0"/>
        <v>3.7793205999999996E-2</v>
      </c>
      <c r="I26" s="10">
        <v>0</v>
      </c>
    </row>
    <row r="27" spans="1:9" ht="15.75" customHeight="1">
      <c r="A27" s="21">
        <v>6</v>
      </c>
      <c r="B27" s="40" t="s">
        <v>65</v>
      </c>
      <c r="C27" s="41" t="s">
        <v>33</v>
      </c>
      <c r="D27" s="40"/>
      <c r="E27" s="57">
        <v>0.1</v>
      </c>
      <c r="F27" s="42">
        <f>SUM(E27*365)</f>
        <v>36.5</v>
      </c>
      <c r="G27" s="42">
        <v>167.24</v>
      </c>
      <c r="H27" s="58">
        <f>SUM(F27*G27/1000)</f>
        <v>6.10426</v>
      </c>
      <c r="I27" s="10">
        <f>F27/12*G27</f>
        <v>508.68833333333333</v>
      </c>
    </row>
    <row r="28" spans="1:9" ht="15.75" customHeight="1">
      <c r="A28" s="21">
        <v>7</v>
      </c>
      <c r="B28" s="64" t="s">
        <v>23</v>
      </c>
      <c r="C28" s="41" t="s">
        <v>24</v>
      </c>
      <c r="D28" s="40"/>
      <c r="E28" s="57">
        <v>2661.7</v>
      </c>
      <c r="F28" s="42">
        <f>SUM(E28*12)</f>
        <v>31940.399999999998</v>
      </c>
      <c r="G28" s="42">
        <v>5.58</v>
      </c>
      <c r="H28" s="58">
        <f>SUM(F28*G28/1000)</f>
        <v>178.22743199999999</v>
      </c>
      <c r="I28" s="10">
        <f>F28/12*G28</f>
        <v>14852.286</v>
      </c>
    </row>
    <row r="29" spans="1:9" ht="15.75" customHeight="1">
      <c r="A29" s="129" t="s">
        <v>87</v>
      </c>
      <c r="B29" s="129"/>
      <c r="C29" s="129"/>
      <c r="D29" s="129"/>
      <c r="E29" s="129"/>
      <c r="F29" s="129"/>
      <c r="G29" s="129"/>
      <c r="H29" s="129"/>
      <c r="I29" s="129"/>
    </row>
    <row r="30" spans="1:9" ht="15.75" customHeight="1">
      <c r="A30" s="21"/>
      <c r="B30" s="78" t="s">
        <v>28</v>
      </c>
      <c r="C30" s="41"/>
      <c r="D30" s="40"/>
      <c r="E30" s="57"/>
      <c r="F30" s="42"/>
      <c r="G30" s="42"/>
      <c r="H30" s="58"/>
      <c r="I30" s="62"/>
    </row>
    <row r="31" spans="1:9" ht="15.75" customHeight="1">
      <c r="A31" s="21">
        <v>8</v>
      </c>
      <c r="B31" s="40" t="s">
        <v>97</v>
      </c>
      <c r="C31" s="41" t="s">
        <v>91</v>
      </c>
      <c r="D31" s="40" t="s">
        <v>187</v>
      </c>
      <c r="E31" s="42">
        <v>573.6</v>
      </c>
      <c r="F31" s="42">
        <f>SUM(E31*52/1000)</f>
        <v>29.827200000000001</v>
      </c>
      <c r="G31" s="42">
        <v>177.3</v>
      </c>
      <c r="H31" s="58">
        <f t="shared" ref="H31:H37" si="2">SUM(F31*G31/1000)</f>
        <v>5.2883625600000004</v>
      </c>
      <c r="I31" s="10">
        <f>F31/6*G31</f>
        <v>881.39376000000016</v>
      </c>
    </row>
    <row r="32" spans="1:9" ht="31.5" customHeight="1">
      <c r="A32" s="21">
        <v>9</v>
      </c>
      <c r="B32" s="40" t="s">
        <v>170</v>
      </c>
      <c r="C32" s="41" t="s">
        <v>91</v>
      </c>
      <c r="D32" s="40" t="s">
        <v>188</v>
      </c>
      <c r="E32" s="42">
        <v>200</v>
      </c>
      <c r="F32" s="42">
        <f>SUM(E32*78/1000)</f>
        <v>15.6</v>
      </c>
      <c r="G32" s="42">
        <v>294.17</v>
      </c>
      <c r="H32" s="58">
        <f t="shared" si="2"/>
        <v>4.5890520000000006</v>
      </c>
      <c r="I32" s="10">
        <f t="shared" ref="I32:I35" si="3">F32/6*G32</f>
        <v>764.8420000000001</v>
      </c>
    </row>
    <row r="33" spans="1:9" ht="15.75" hidden="1" customHeight="1">
      <c r="A33" s="21">
        <v>16</v>
      </c>
      <c r="B33" s="40" t="s">
        <v>27</v>
      </c>
      <c r="C33" s="41" t="s">
        <v>91</v>
      </c>
      <c r="D33" s="40" t="s">
        <v>54</v>
      </c>
      <c r="E33" s="42">
        <v>573.6</v>
      </c>
      <c r="F33" s="42">
        <f>SUM(E33/1000)</f>
        <v>0.5736</v>
      </c>
      <c r="G33" s="42">
        <v>3435.36</v>
      </c>
      <c r="H33" s="58">
        <f t="shared" si="2"/>
        <v>1.9705224960000001</v>
      </c>
      <c r="I33" s="10">
        <v>0</v>
      </c>
    </row>
    <row r="34" spans="1:9" ht="15.75" customHeight="1">
      <c r="A34" s="21">
        <v>10</v>
      </c>
      <c r="B34" s="40" t="s">
        <v>128</v>
      </c>
      <c r="C34" s="41" t="s">
        <v>41</v>
      </c>
      <c r="D34" s="40" t="s">
        <v>64</v>
      </c>
      <c r="E34" s="42">
        <v>1</v>
      </c>
      <c r="F34" s="42">
        <v>1.55</v>
      </c>
      <c r="G34" s="42">
        <v>1480.94</v>
      </c>
      <c r="H34" s="58">
        <f>G34*F34/1000</f>
        <v>2.2954570000000003</v>
      </c>
      <c r="I34" s="10">
        <f t="shared" si="3"/>
        <v>382.57616666666672</v>
      </c>
    </row>
    <row r="35" spans="1:9" ht="15.75" customHeight="1">
      <c r="A35" s="21">
        <v>11</v>
      </c>
      <c r="B35" s="40" t="s">
        <v>96</v>
      </c>
      <c r="C35" s="41" t="s">
        <v>31</v>
      </c>
      <c r="D35" s="40" t="s">
        <v>64</v>
      </c>
      <c r="E35" s="63">
        <v>0.33333333333333331</v>
      </c>
      <c r="F35" s="42">
        <f>155/3</f>
        <v>51.666666666666664</v>
      </c>
      <c r="G35" s="42">
        <v>64.48</v>
      </c>
      <c r="H35" s="58">
        <f>SUM(G35*155/3/1000)</f>
        <v>3.331466666666667</v>
      </c>
      <c r="I35" s="10">
        <f t="shared" si="3"/>
        <v>555.24444444444441</v>
      </c>
    </row>
    <row r="36" spans="1:9" ht="15.75" hidden="1" customHeight="1">
      <c r="A36" s="21"/>
      <c r="B36" s="40" t="s">
        <v>66</v>
      </c>
      <c r="C36" s="41" t="s">
        <v>33</v>
      </c>
      <c r="D36" s="40" t="s">
        <v>68</v>
      </c>
      <c r="E36" s="57"/>
      <c r="F36" s="42">
        <v>3</v>
      </c>
      <c r="G36" s="42">
        <v>217.61</v>
      </c>
      <c r="H36" s="58">
        <f t="shared" si="2"/>
        <v>0.65283000000000002</v>
      </c>
      <c r="I36" s="10">
        <v>0</v>
      </c>
    </row>
    <row r="37" spans="1:9" ht="15.75" hidden="1" customHeight="1">
      <c r="A37" s="21"/>
      <c r="B37" s="40" t="s">
        <v>67</v>
      </c>
      <c r="C37" s="41" t="s">
        <v>32</v>
      </c>
      <c r="D37" s="40" t="s">
        <v>68</v>
      </c>
      <c r="E37" s="57"/>
      <c r="F37" s="42">
        <v>2</v>
      </c>
      <c r="G37" s="42">
        <v>1292.47</v>
      </c>
      <c r="H37" s="58">
        <f t="shared" si="2"/>
        <v>2.58494</v>
      </c>
      <c r="I37" s="10">
        <v>0</v>
      </c>
    </row>
    <row r="38" spans="1:9" ht="15.75" hidden="1" customHeight="1">
      <c r="A38" s="21"/>
      <c r="B38" s="78" t="s">
        <v>5</v>
      </c>
      <c r="C38" s="41"/>
      <c r="D38" s="40"/>
      <c r="E38" s="57"/>
      <c r="F38" s="42"/>
      <c r="G38" s="42"/>
      <c r="H38" s="58" t="s">
        <v>166</v>
      </c>
      <c r="I38" s="62"/>
    </row>
    <row r="39" spans="1:9" ht="15.75" hidden="1" customHeight="1">
      <c r="A39" s="21">
        <v>6</v>
      </c>
      <c r="B39" s="40" t="s">
        <v>26</v>
      </c>
      <c r="C39" s="41" t="s">
        <v>32</v>
      </c>
      <c r="D39" s="40"/>
      <c r="E39" s="57"/>
      <c r="F39" s="42">
        <v>8</v>
      </c>
      <c r="G39" s="42">
        <v>1737.08</v>
      </c>
      <c r="H39" s="58">
        <f t="shared" ref="H39:H45" si="4">SUM(F39*G39/1000)</f>
        <v>13.89664</v>
      </c>
      <c r="I39" s="10">
        <f>F39/6*G39</f>
        <v>2316.1066666666666</v>
      </c>
    </row>
    <row r="40" spans="1:9" ht="15.75" hidden="1" customHeight="1">
      <c r="A40" s="21">
        <v>7</v>
      </c>
      <c r="B40" s="40" t="s">
        <v>69</v>
      </c>
      <c r="C40" s="41" t="s">
        <v>29</v>
      </c>
      <c r="D40" s="40" t="s">
        <v>105</v>
      </c>
      <c r="E40" s="42">
        <v>200</v>
      </c>
      <c r="F40" s="42">
        <f>SUM(E40*30/1000)</f>
        <v>6</v>
      </c>
      <c r="G40" s="42">
        <v>2391.67</v>
      </c>
      <c r="H40" s="58">
        <f t="shared" si="4"/>
        <v>14.350020000000001</v>
      </c>
      <c r="I40" s="10">
        <f>F40/6*G40</f>
        <v>2391.67</v>
      </c>
    </row>
    <row r="41" spans="1:9" ht="15.75" hidden="1" customHeight="1">
      <c r="A41" s="21"/>
      <c r="B41" s="40" t="s">
        <v>129</v>
      </c>
      <c r="C41" s="41" t="s">
        <v>55</v>
      </c>
      <c r="D41" s="40"/>
      <c r="E41" s="57"/>
      <c r="F41" s="42">
        <v>130</v>
      </c>
      <c r="G41" s="42">
        <v>226.84</v>
      </c>
      <c r="H41" s="58">
        <f t="shared" si="4"/>
        <v>29.4892</v>
      </c>
      <c r="I41" s="10">
        <v>0</v>
      </c>
    </row>
    <row r="42" spans="1:9" ht="15.75" hidden="1" customHeight="1">
      <c r="A42" s="21">
        <v>8</v>
      </c>
      <c r="B42" s="40" t="s">
        <v>70</v>
      </c>
      <c r="C42" s="41" t="s">
        <v>29</v>
      </c>
      <c r="D42" s="40" t="s">
        <v>90</v>
      </c>
      <c r="E42" s="42">
        <v>60</v>
      </c>
      <c r="F42" s="42">
        <f>SUM(E42*155/1000)</f>
        <v>9.3000000000000007</v>
      </c>
      <c r="G42" s="42">
        <v>398.95</v>
      </c>
      <c r="H42" s="58">
        <f t="shared" si="4"/>
        <v>3.7102349999999999</v>
      </c>
      <c r="I42" s="10">
        <f t="shared" ref="I42:I45" si="5">F42/6*G42</f>
        <v>618.37249999999995</v>
      </c>
    </row>
    <row r="43" spans="1:9" ht="47.25" hidden="1" customHeight="1">
      <c r="A43" s="21">
        <v>9</v>
      </c>
      <c r="B43" s="40" t="s">
        <v>86</v>
      </c>
      <c r="C43" s="41" t="s">
        <v>91</v>
      </c>
      <c r="D43" s="40" t="s">
        <v>130</v>
      </c>
      <c r="E43" s="42">
        <v>40.9</v>
      </c>
      <c r="F43" s="42">
        <f>SUM(E43*35/1000)</f>
        <v>1.4315</v>
      </c>
      <c r="G43" s="42">
        <v>6600.74</v>
      </c>
      <c r="H43" s="58">
        <f t="shared" si="4"/>
        <v>9.4489593099999993</v>
      </c>
      <c r="I43" s="10">
        <f t="shared" si="5"/>
        <v>1574.8265516666668</v>
      </c>
    </row>
    <row r="44" spans="1:9" ht="15.75" hidden="1" customHeight="1">
      <c r="A44" s="21">
        <v>10</v>
      </c>
      <c r="B44" s="40" t="s">
        <v>92</v>
      </c>
      <c r="C44" s="41" t="s">
        <v>91</v>
      </c>
      <c r="D44" s="40" t="s">
        <v>71</v>
      </c>
      <c r="E44" s="42">
        <v>60</v>
      </c>
      <c r="F44" s="42">
        <f>SUM(E44*45/1000)</f>
        <v>2.7</v>
      </c>
      <c r="G44" s="42">
        <v>487.61</v>
      </c>
      <c r="H44" s="58">
        <f t="shared" si="4"/>
        <v>1.3165470000000001</v>
      </c>
      <c r="I44" s="10">
        <f t="shared" si="5"/>
        <v>219.42450000000002</v>
      </c>
    </row>
    <row r="45" spans="1:9" ht="15.75" hidden="1" customHeight="1">
      <c r="A45" s="21">
        <v>11</v>
      </c>
      <c r="B45" s="40" t="s">
        <v>72</v>
      </c>
      <c r="C45" s="41" t="s">
        <v>33</v>
      </c>
      <c r="D45" s="40"/>
      <c r="E45" s="57"/>
      <c r="F45" s="42">
        <v>0.9</v>
      </c>
      <c r="G45" s="42">
        <v>907.65</v>
      </c>
      <c r="H45" s="58">
        <f t="shared" si="4"/>
        <v>0.81688499999999997</v>
      </c>
      <c r="I45" s="10">
        <f t="shared" si="5"/>
        <v>136.14749999999998</v>
      </c>
    </row>
    <row r="46" spans="1:9" ht="15.75" customHeight="1">
      <c r="A46" s="130" t="s">
        <v>159</v>
      </c>
      <c r="B46" s="131"/>
      <c r="C46" s="131"/>
      <c r="D46" s="131"/>
      <c r="E46" s="131"/>
      <c r="F46" s="131"/>
      <c r="G46" s="131"/>
      <c r="H46" s="131"/>
      <c r="I46" s="132"/>
    </row>
    <row r="47" spans="1:9" ht="15.75" customHeight="1">
      <c r="A47" s="21">
        <v>12</v>
      </c>
      <c r="B47" s="40" t="s">
        <v>167</v>
      </c>
      <c r="C47" s="41" t="s">
        <v>91</v>
      </c>
      <c r="D47" s="40" t="s">
        <v>43</v>
      </c>
      <c r="E47" s="57">
        <v>1300.5</v>
      </c>
      <c r="F47" s="42">
        <f>SUM(E47/1000)*2</f>
        <v>2.601</v>
      </c>
      <c r="G47" s="10">
        <v>1173.18</v>
      </c>
      <c r="H47" s="58">
        <f t="shared" ref="H47:H57" si="6">SUM(F47*G47/1000)</f>
        <v>3.0514411800000003</v>
      </c>
      <c r="I47" s="10">
        <f>F47/2*G47</f>
        <v>1525.7205900000001</v>
      </c>
    </row>
    <row r="48" spans="1:9" ht="15.75" customHeight="1">
      <c r="A48" s="21">
        <v>13</v>
      </c>
      <c r="B48" s="40" t="s">
        <v>36</v>
      </c>
      <c r="C48" s="41" t="s">
        <v>91</v>
      </c>
      <c r="D48" s="40" t="s">
        <v>43</v>
      </c>
      <c r="E48" s="57">
        <v>52</v>
      </c>
      <c r="F48" s="42">
        <f>SUM(E48*2/1000)</f>
        <v>0.104</v>
      </c>
      <c r="G48" s="10">
        <v>659.09</v>
      </c>
      <c r="H48" s="58">
        <f t="shared" si="6"/>
        <v>6.854536E-2</v>
      </c>
      <c r="I48" s="10">
        <f t="shared" ref="I48:I51" si="7">F48/2*G48</f>
        <v>34.272680000000001</v>
      </c>
    </row>
    <row r="49" spans="1:9" ht="15.75" customHeight="1">
      <c r="A49" s="21">
        <v>14</v>
      </c>
      <c r="B49" s="40" t="s">
        <v>37</v>
      </c>
      <c r="C49" s="41" t="s">
        <v>91</v>
      </c>
      <c r="D49" s="40" t="s">
        <v>43</v>
      </c>
      <c r="E49" s="57">
        <v>1483.1</v>
      </c>
      <c r="F49" s="42">
        <f>SUM(E49*2/1000)</f>
        <v>2.9661999999999997</v>
      </c>
      <c r="G49" s="10">
        <v>1564.24</v>
      </c>
      <c r="H49" s="58">
        <f t="shared" si="6"/>
        <v>4.6398486879999998</v>
      </c>
      <c r="I49" s="10">
        <f t="shared" si="7"/>
        <v>2319.924344</v>
      </c>
    </row>
    <row r="50" spans="1:9" ht="15.75" customHeight="1">
      <c r="A50" s="21">
        <v>15</v>
      </c>
      <c r="B50" s="40" t="s">
        <v>38</v>
      </c>
      <c r="C50" s="41" t="s">
        <v>91</v>
      </c>
      <c r="D50" s="40" t="s">
        <v>43</v>
      </c>
      <c r="E50" s="57">
        <v>2320</v>
      </c>
      <c r="F50" s="42">
        <f>SUM(E50*2/1000)</f>
        <v>4.6399999999999997</v>
      </c>
      <c r="G50" s="10">
        <v>1078.3599999999999</v>
      </c>
      <c r="H50" s="58">
        <f t="shared" si="6"/>
        <v>5.0035903999999993</v>
      </c>
      <c r="I50" s="10">
        <f t="shared" si="7"/>
        <v>2501.7951999999996</v>
      </c>
    </row>
    <row r="51" spans="1:9" ht="15.75" customHeight="1">
      <c r="A51" s="21">
        <v>16</v>
      </c>
      <c r="B51" s="40" t="s">
        <v>34</v>
      </c>
      <c r="C51" s="41" t="s">
        <v>35</v>
      </c>
      <c r="D51" s="40" t="s">
        <v>43</v>
      </c>
      <c r="E51" s="57">
        <v>91.84</v>
      </c>
      <c r="F51" s="42">
        <f>SUM(E51*2/100)</f>
        <v>1.8368</v>
      </c>
      <c r="G51" s="10">
        <v>82.82</v>
      </c>
      <c r="H51" s="58">
        <f t="shared" si="6"/>
        <v>0.15212377599999999</v>
      </c>
      <c r="I51" s="10">
        <f t="shared" si="7"/>
        <v>76.061887999999996</v>
      </c>
    </row>
    <row r="52" spans="1:9" ht="15.75" customHeight="1">
      <c r="A52" s="21">
        <v>17</v>
      </c>
      <c r="B52" s="40" t="s">
        <v>57</v>
      </c>
      <c r="C52" s="41" t="s">
        <v>91</v>
      </c>
      <c r="D52" s="40" t="s">
        <v>171</v>
      </c>
      <c r="E52" s="57">
        <v>1040.4000000000001</v>
      </c>
      <c r="F52" s="42">
        <f>SUM(E52*5/1000)</f>
        <v>5.202</v>
      </c>
      <c r="G52" s="10">
        <v>1564.24</v>
      </c>
      <c r="H52" s="58">
        <f>SUM(F52*G52/1000)</f>
        <v>8.1371764800000008</v>
      </c>
      <c r="I52" s="10">
        <f>F52/5*G52</f>
        <v>1627.4352960000001</v>
      </c>
    </row>
    <row r="53" spans="1:9" ht="31.5" hidden="1" customHeight="1">
      <c r="A53" s="21"/>
      <c r="B53" s="40" t="s">
        <v>93</v>
      </c>
      <c r="C53" s="41" t="s">
        <v>91</v>
      </c>
      <c r="D53" s="40" t="s">
        <v>43</v>
      </c>
      <c r="E53" s="57">
        <v>1040.4000000000001</v>
      </c>
      <c r="F53" s="42">
        <f>SUM(E53*2/1000)</f>
        <v>2.0808</v>
      </c>
      <c r="G53" s="10">
        <v>1380.31</v>
      </c>
      <c r="H53" s="58">
        <f t="shared" si="6"/>
        <v>2.8721490479999998</v>
      </c>
      <c r="I53" s="10">
        <v>0</v>
      </c>
    </row>
    <row r="54" spans="1:9" ht="31.5" hidden="1" customHeight="1">
      <c r="A54" s="21"/>
      <c r="B54" s="40" t="s">
        <v>94</v>
      </c>
      <c r="C54" s="41" t="s">
        <v>39</v>
      </c>
      <c r="D54" s="40" t="s">
        <v>43</v>
      </c>
      <c r="E54" s="57">
        <v>20</v>
      </c>
      <c r="F54" s="42">
        <f>SUM(E54*2/100)</f>
        <v>0.4</v>
      </c>
      <c r="G54" s="10">
        <v>3519.56</v>
      </c>
      <c r="H54" s="58">
        <f t="shared" si="6"/>
        <v>1.407824</v>
      </c>
      <c r="I54" s="10">
        <v>0</v>
      </c>
    </row>
    <row r="55" spans="1:9" ht="15.75" hidden="1" customHeight="1">
      <c r="A55" s="21"/>
      <c r="B55" s="40" t="s">
        <v>40</v>
      </c>
      <c r="C55" s="41" t="s">
        <v>41</v>
      </c>
      <c r="D55" s="40" t="s">
        <v>43</v>
      </c>
      <c r="E55" s="57">
        <v>1</v>
      </c>
      <c r="F55" s="42">
        <v>0.02</v>
      </c>
      <c r="G55" s="10">
        <v>6428.82</v>
      </c>
      <c r="H55" s="58">
        <f t="shared" si="6"/>
        <v>0.12857640000000001</v>
      </c>
      <c r="I55" s="10">
        <v>0</v>
      </c>
    </row>
    <row r="56" spans="1:9" ht="15.75" customHeight="1">
      <c r="A56" s="21">
        <v>18</v>
      </c>
      <c r="B56" s="40" t="s">
        <v>103</v>
      </c>
      <c r="C56" s="41" t="s">
        <v>98</v>
      </c>
      <c r="D56" s="40" t="s">
        <v>73</v>
      </c>
      <c r="E56" s="57">
        <v>56</v>
      </c>
      <c r="F56" s="42">
        <f>SUM(E56*3)</f>
        <v>168</v>
      </c>
      <c r="G56" s="10">
        <v>160.51</v>
      </c>
      <c r="H56" s="58">
        <f t="shared" si="6"/>
        <v>26.965679999999999</v>
      </c>
      <c r="I56" s="10">
        <f>E56*G56</f>
        <v>8988.56</v>
      </c>
    </row>
    <row r="57" spans="1:9" ht="15.75" customHeight="1">
      <c r="A57" s="21">
        <v>19</v>
      </c>
      <c r="B57" s="40" t="s">
        <v>42</v>
      </c>
      <c r="C57" s="41" t="s">
        <v>98</v>
      </c>
      <c r="D57" s="40" t="s">
        <v>73</v>
      </c>
      <c r="E57" s="57">
        <v>112</v>
      </c>
      <c r="F57" s="42">
        <f>SUM(E57)*3</f>
        <v>336</v>
      </c>
      <c r="G57" s="10">
        <v>74.709999999999994</v>
      </c>
      <c r="H57" s="58">
        <f t="shared" si="6"/>
        <v>25.102559999999997</v>
      </c>
      <c r="I57" s="10">
        <f>E57*G57</f>
        <v>8367.5199999999986</v>
      </c>
    </row>
    <row r="58" spans="1:9" ht="15.75" customHeight="1">
      <c r="A58" s="130" t="s">
        <v>160</v>
      </c>
      <c r="B58" s="131"/>
      <c r="C58" s="131"/>
      <c r="D58" s="131"/>
      <c r="E58" s="131"/>
      <c r="F58" s="131"/>
      <c r="G58" s="131"/>
      <c r="H58" s="131"/>
      <c r="I58" s="132"/>
    </row>
    <row r="59" spans="1:9" ht="15.75" hidden="1" customHeight="1">
      <c r="A59" s="21"/>
      <c r="B59" s="78" t="s">
        <v>44</v>
      </c>
      <c r="C59" s="41"/>
      <c r="D59" s="40"/>
      <c r="E59" s="57"/>
      <c r="F59" s="42"/>
      <c r="G59" s="42"/>
      <c r="H59" s="58"/>
      <c r="I59" s="62"/>
    </row>
    <row r="60" spans="1:9" ht="31.5" hidden="1" customHeight="1">
      <c r="A60" s="21">
        <v>15</v>
      </c>
      <c r="B60" s="40" t="s">
        <v>106</v>
      </c>
      <c r="C60" s="41" t="s">
        <v>89</v>
      </c>
      <c r="D60" s="40" t="s">
        <v>168</v>
      </c>
      <c r="E60" s="57">
        <v>142.05000000000001</v>
      </c>
      <c r="F60" s="42">
        <f>SUM(E60*6/100)</f>
        <v>8.5230000000000015</v>
      </c>
      <c r="G60" s="10">
        <v>2108.4299999999998</v>
      </c>
      <c r="H60" s="58">
        <f>SUM(F60*G60/1000)</f>
        <v>17.970148890000001</v>
      </c>
      <c r="I60" s="10">
        <f>F60/6*G60</f>
        <v>2995.0248150000002</v>
      </c>
    </row>
    <row r="61" spans="1:9" ht="15.75" customHeight="1">
      <c r="A61" s="21"/>
      <c r="B61" s="78" t="s">
        <v>45</v>
      </c>
      <c r="C61" s="41"/>
      <c r="D61" s="40"/>
      <c r="E61" s="57"/>
      <c r="F61" s="58"/>
      <c r="G61" s="10"/>
      <c r="H61" s="65"/>
      <c r="I61" s="62"/>
    </row>
    <row r="62" spans="1:9" ht="15.75" hidden="1" customHeight="1">
      <c r="A62" s="21"/>
      <c r="B62" s="40" t="s">
        <v>169</v>
      </c>
      <c r="C62" s="41" t="s">
        <v>89</v>
      </c>
      <c r="D62" s="40" t="s">
        <v>54</v>
      </c>
      <c r="E62" s="57">
        <v>1040.4000000000001</v>
      </c>
      <c r="F62" s="58">
        <f>E62/100</f>
        <v>10.404000000000002</v>
      </c>
      <c r="G62" s="10">
        <v>902.66</v>
      </c>
      <c r="H62" s="65">
        <f>G62*F62/1000</f>
        <v>9.3912746400000007</v>
      </c>
      <c r="I62" s="10">
        <v>0</v>
      </c>
    </row>
    <row r="63" spans="1:9" ht="15.75" customHeight="1">
      <c r="A63" s="21">
        <v>20</v>
      </c>
      <c r="B63" s="40" t="s">
        <v>131</v>
      </c>
      <c r="C63" s="41" t="s">
        <v>25</v>
      </c>
      <c r="D63" s="40" t="s">
        <v>132</v>
      </c>
      <c r="E63" s="57">
        <v>240</v>
      </c>
      <c r="F63" s="42">
        <v>2880</v>
      </c>
      <c r="G63" s="52">
        <v>1.2</v>
      </c>
      <c r="H63" s="58">
        <f>F63*G63/1000</f>
        <v>3.456</v>
      </c>
      <c r="I63" s="10">
        <f>F63/12*G63</f>
        <v>288</v>
      </c>
    </row>
    <row r="64" spans="1:9" ht="15.75" customHeight="1">
      <c r="A64" s="21"/>
      <c r="B64" s="79" t="s">
        <v>46</v>
      </c>
      <c r="C64" s="66"/>
      <c r="D64" s="67"/>
      <c r="E64" s="68"/>
      <c r="F64" s="69"/>
      <c r="G64" s="69"/>
      <c r="H64" s="70" t="s">
        <v>166</v>
      </c>
      <c r="I64" s="62"/>
    </row>
    <row r="65" spans="1:9" ht="15.75" customHeight="1">
      <c r="A65" s="21">
        <v>21</v>
      </c>
      <c r="B65" s="11" t="s">
        <v>47</v>
      </c>
      <c r="C65" s="13" t="s">
        <v>41</v>
      </c>
      <c r="D65" s="40" t="s">
        <v>68</v>
      </c>
      <c r="E65" s="15">
        <v>15</v>
      </c>
      <c r="F65" s="42">
        <f>15/100</f>
        <v>0.15</v>
      </c>
      <c r="G65" s="10">
        <v>252.96</v>
      </c>
      <c r="H65" s="71">
        <f t="shared" ref="H65:H81" si="8">SUM(F65*G65/1000)</f>
        <v>3.7944000000000006E-2</v>
      </c>
      <c r="I65" s="10">
        <f>G65*1</f>
        <v>252.96</v>
      </c>
    </row>
    <row r="66" spans="1:9" ht="15.75" hidden="1" customHeight="1">
      <c r="A66" s="21"/>
      <c r="B66" s="11" t="s">
        <v>48</v>
      </c>
      <c r="C66" s="13" t="s">
        <v>41</v>
      </c>
      <c r="D66" s="40" t="s">
        <v>68</v>
      </c>
      <c r="E66" s="15">
        <v>10</v>
      </c>
      <c r="F66" s="42">
        <f>10/100</f>
        <v>0.1</v>
      </c>
      <c r="G66" s="10">
        <v>86.74</v>
      </c>
      <c r="H66" s="71">
        <f t="shared" si="8"/>
        <v>8.6739999999999994E-3</v>
      </c>
      <c r="I66" s="10">
        <v>0</v>
      </c>
    </row>
    <row r="67" spans="1:9" ht="15.75" hidden="1" customHeight="1">
      <c r="A67" s="21"/>
      <c r="B67" s="11" t="s">
        <v>49</v>
      </c>
      <c r="C67" s="13" t="s">
        <v>99</v>
      </c>
      <c r="D67" s="11" t="s">
        <v>54</v>
      </c>
      <c r="E67" s="57">
        <v>17532</v>
      </c>
      <c r="F67" s="10">
        <f>SUM(E67/100)</f>
        <v>175.32</v>
      </c>
      <c r="G67" s="10">
        <v>241.31</v>
      </c>
      <c r="H67" s="71">
        <f t="shared" si="8"/>
        <v>42.306469200000002</v>
      </c>
      <c r="I67" s="10">
        <f>F67*G67</f>
        <v>42306.4692</v>
      </c>
    </row>
    <row r="68" spans="1:9" ht="15.75" hidden="1" customHeight="1">
      <c r="A68" s="21"/>
      <c r="B68" s="11" t="s">
        <v>50</v>
      </c>
      <c r="C68" s="13" t="s">
        <v>100</v>
      </c>
      <c r="D68" s="11"/>
      <c r="E68" s="57">
        <v>17532</v>
      </c>
      <c r="F68" s="10">
        <f>SUM(E68/1000)</f>
        <v>17.532</v>
      </c>
      <c r="G68" s="10">
        <v>187.91</v>
      </c>
      <c r="H68" s="71">
        <f t="shared" si="8"/>
        <v>3.2944381199999997</v>
      </c>
      <c r="I68" s="10">
        <f>F68*G68</f>
        <v>3294.4381199999998</v>
      </c>
    </row>
    <row r="69" spans="1:9" ht="15.75" hidden="1" customHeight="1">
      <c r="A69" s="21"/>
      <c r="B69" s="11" t="s">
        <v>51</v>
      </c>
      <c r="C69" s="13" t="s">
        <v>80</v>
      </c>
      <c r="D69" s="11" t="s">
        <v>54</v>
      </c>
      <c r="E69" s="57">
        <v>1365</v>
      </c>
      <c r="F69" s="10">
        <f>SUM(E69/100)</f>
        <v>13.65</v>
      </c>
      <c r="G69" s="10">
        <v>2359.7199999999998</v>
      </c>
      <c r="H69" s="71">
        <f t="shared" si="8"/>
        <v>32.210177999999999</v>
      </c>
      <c r="I69" s="10">
        <f t="shared" ref="I69:I72" si="9">F69*G69</f>
        <v>32210.178</v>
      </c>
    </row>
    <row r="70" spans="1:9" ht="15.75" hidden="1" customHeight="1">
      <c r="A70" s="21"/>
      <c r="B70" s="72" t="s">
        <v>74</v>
      </c>
      <c r="C70" s="13" t="s">
        <v>33</v>
      </c>
      <c r="D70" s="11"/>
      <c r="E70" s="57">
        <v>15.6</v>
      </c>
      <c r="F70" s="10">
        <f>SUM(E70)</f>
        <v>15.6</v>
      </c>
      <c r="G70" s="10">
        <v>45.4</v>
      </c>
      <c r="H70" s="71">
        <f t="shared" si="8"/>
        <v>0.70823999999999998</v>
      </c>
      <c r="I70" s="10">
        <f t="shared" si="9"/>
        <v>708.24</v>
      </c>
    </row>
    <row r="71" spans="1:9" ht="15.75" hidden="1" customHeight="1">
      <c r="A71" s="21"/>
      <c r="B71" s="72" t="s">
        <v>172</v>
      </c>
      <c r="C71" s="13" t="s">
        <v>33</v>
      </c>
      <c r="D71" s="11"/>
      <c r="E71" s="57">
        <v>15.6</v>
      </c>
      <c r="F71" s="10">
        <f>SUM(E71)</f>
        <v>15.6</v>
      </c>
      <c r="G71" s="10">
        <v>42.35</v>
      </c>
      <c r="H71" s="71">
        <f t="shared" si="8"/>
        <v>0.66065999999999991</v>
      </c>
      <c r="I71" s="10">
        <f t="shared" si="9"/>
        <v>660.66</v>
      </c>
    </row>
    <row r="72" spans="1:9" ht="15.75" customHeight="1">
      <c r="A72" s="21">
        <v>22</v>
      </c>
      <c r="B72" s="11" t="s">
        <v>58</v>
      </c>
      <c r="C72" s="13" t="s">
        <v>59</v>
      </c>
      <c r="D72" s="11" t="s">
        <v>54</v>
      </c>
      <c r="E72" s="15">
        <v>4</v>
      </c>
      <c r="F72" s="42">
        <f>SUM(E72)</f>
        <v>4</v>
      </c>
      <c r="G72" s="10">
        <v>56.74</v>
      </c>
      <c r="H72" s="71">
        <f t="shared" si="8"/>
        <v>0.22696</v>
      </c>
      <c r="I72" s="10">
        <f t="shared" si="9"/>
        <v>226.96</v>
      </c>
    </row>
    <row r="73" spans="1:9" ht="15.75" customHeight="1">
      <c r="A73" s="21">
        <v>23</v>
      </c>
      <c r="B73" s="11" t="s">
        <v>133</v>
      </c>
      <c r="C73" s="13" t="s">
        <v>59</v>
      </c>
      <c r="D73" s="11" t="s">
        <v>30</v>
      </c>
      <c r="E73" s="15">
        <v>1</v>
      </c>
      <c r="F73" s="52">
        <v>12</v>
      </c>
      <c r="G73" s="10">
        <v>756.5</v>
      </c>
      <c r="H73" s="71">
        <f t="shared" si="8"/>
        <v>9.0779999999999994</v>
      </c>
      <c r="I73" s="10">
        <f>G73</f>
        <v>756.5</v>
      </c>
    </row>
    <row r="74" spans="1:9" ht="14.25" customHeight="1">
      <c r="A74" s="21"/>
      <c r="B74" s="45" t="s">
        <v>75</v>
      </c>
      <c r="C74" s="13"/>
      <c r="D74" s="11"/>
      <c r="E74" s="15"/>
      <c r="F74" s="10"/>
      <c r="G74" s="10"/>
      <c r="H74" s="71" t="s">
        <v>166</v>
      </c>
      <c r="I74" s="62"/>
    </row>
    <row r="75" spans="1:9" ht="21" hidden="1" customHeight="1">
      <c r="A75" s="21"/>
      <c r="B75" s="11" t="s">
        <v>134</v>
      </c>
      <c r="C75" s="13" t="s">
        <v>31</v>
      </c>
      <c r="D75" s="40" t="s">
        <v>68</v>
      </c>
      <c r="E75" s="15">
        <v>2</v>
      </c>
      <c r="F75" s="10">
        <v>2</v>
      </c>
      <c r="G75" s="10">
        <v>892.5</v>
      </c>
      <c r="H75" s="71">
        <f>G75*F75/1000</f>
        <v>1.7849999999999999</v>
      </c>
      <c r="I75" s="10">
        <v>0</v>
      </c>
    </row>
    <row r="76" spans="1:9" ht="21.75" hidden="1" customHeight="1">
      <c r="A76" s="21"/>
      <c r="B76" s="11" t="s">
        <v>119</v>
      </c>
      <c r="C76" s="13" t="s">
        <v>135</v>
      </c>
      <c r="D76" s="11"/>
      <c r="E76" s="15">
        <v>1</v>
      </c>
      <c r="F76" s="10">
        <v>1</v>
      </c>
      <c r="G76" s="10">
        <v>750</v>
      </c>
      <c r="H76" s="71">
        <f>G76*F76/1000</f>
        <v>0.75</v>
      </c>
      <c r="I76" s="10">
        <v>0</v>
      </c>
    </row>
    <row r="77" spans="1:9" ht="18" customHeight="1">
      <c r="A77" s="21">
        <v>24</v>
      </c>
      <c r="B77" s="11" t="s">
        <v>76</v>
      </c>
      <c r="C77" s="13" t="s">
        <v>78</v>
      </c>
      <c r="D77" s="11"/>
      <c r="E77" s="15">
        <v>2</v>
      </c>
      <c r="F77" s="10">
        <v>0.2</v>
      </c>
      <c r="G77" s="10">
        <v>570.54</v>
      </c>
      <c r="H77" s="71">
        <f t="shared" si="8"/>
        <v>0.114108</v>
      </c>
      <c r="I77" s="10">
        <f>G77*0.2</f>
        <v>114.108</v>
      </c>
    </row>
    <row r="78" spans="1:9" ht="22.5" hidden="1" customHeight="1">
      <c r="A78" s="21"/>
      <c r="B78" s="11" t="s">
        <v>77</v>
      </c>
      <c r="C78" s="13" t="s">
        <v>31</v>
      </c>
      <c r="D78" s="11"/>
      <c r="E78" s="15">
        <v>1</v>
      </c>
      <c r="F78" s="52">
        <v>1</v>
      </c>
      <c r="G78" s="10">
        <v>970.21</v>
      </c>
      <c r="H78" s="71">
        <f t="shared" si="8"/>
        <v>0.97021000000000002</v>
      </c>
      <c r="I78" s="10">
        <v>0</v>
      </c>
    </row>
    <row r="79" spans="1:9" ht="16.5" customHeight="1">
      <c r="A79" s="21">
        <v>25</v>
      </c>
      <c r="B79" s="11" t="s">
        <v>136</v>
      </c>
      <c r="C79" s="13" t="s">
        <v>98</v>
      </c>
      <c r="D79" s="11"/>
      <c r="E79" s="15">
        <v>1</v>
      </c>
      <c r="F79" s="42">
        <f>SUM(E79)</f>
        <v>1</v>
      </c>
      <c r="G79" s="10">
        <v>407.79</v>
      </c>
      <c r="H79" s="71">
        <f t="shared" si="8"/>
        <v>0.40779000000000004</v>
      </c>
      <c r="I79" s="10">
        <f>G79*1</f>
        <v>407.79</v>
      </c>
    </row>
    <row r="80" spans="1:9" ht="18" hidden="1" customHeight="1">
      <c r="A80" s="21"/>
      <c r="B80" s="76" t="s">
        <v>79</v>
      </c>
      <c r="C80" s="13"/>
      <c r="D80" s="11"/>
      <c r="E80" s="15"/>
      <c r="F80" s="10"/>
      <c r="G80" s="10" t="s">
        <v>166</v>
      </c>
      <c r="H80" s="71" t="s">
        <v>166</v>
      </c>
      <c r="I80" s="62"/>
    </row>
    <row r="81" spans="1:9" ht="18.75" hidden="1" customHeight="1">
      <c r="A81" s="21"/>
      <c r="B81" s="34" t="s">
        <v>104</v>
      </c>
      <c r="C81" s="13" t="s">
        <v>80</v>
      </c>
      <c r="D81" s="11"/>
      <c r="E81" s="15"/>
      <c r="F81" s="10">
        <v>0.6</v>
      </c>
      <c r="G81" s="10">
        <v>3138.65</v>
      </c>
      <c r="H81" s="71">
        <f t="shared" si="8"/>
        <v>1.8831900000000001</v>
      </c>
      <c r="I81" s="10">
        <v>0</v>
      </c>
    </row>
    <row r="82" spans="1:9" ht="15.75" customHeight="1">
      <c r="A82" s="21"/>
      <c r="B82" s="80" t="s">
        <v>107</v>
      </c>
      <c r="C82" s="76"/>
      <c r="D82" s="23"/>
      <c r="E82" s="24"/>
      <c r="F82" s="75"/>
      <c r="G82" s="75"/>
      <c r="H82" s="73"/>
      <c r="I82" s="61"/>
    </row>
    <row r="83" spans="1:9" ht="31.5" hidden="1" customHeight="1">
      <c r="A83" s="21"/>
      <c r="B83" s="77" t="s">
        <v>137</v>
      </c>
      <c r="C83" s="13" t="s">
        <v>138</v>
      </c>
      <c r="D83" s="40" t="s">
        <v>68</v>
      </c>
      <c r="E83" s="15">
        <v>10</v>
      </c>
      <c r="F83" s="10">
        <v>10</v>
      </c>
      <c r="G83" s="10">
        <v>271.88</v>
      </c>
      <c r="H83" s="71">
        <f t="shared" ref="H83:H96" si="10">F83*G83/1000</f>
        <v>2.7188000000000003</v>
      </c>
      <c r="I83" s="10">
        <v>0</v>
      </c>
    </row>
    <row r="84" spans="1:9" ht="18" customHeight="1">
      <c r="A84" s="21">
        <v>26</v>
      </c>
      <c r="B84" s="77" t="s">
        <v>108</v>
      </c>
      <c r="C84" s="13" t="s">
        <v>84</v>
      </c>
      <c r="D84" s="40" t="s">
        <v>68</v>
      </c>
      <c r="E84" s="15">
        <v>100</v>
      </c>
      <c r="F84" s="10">
        <v>100</v>
      </c>
      <c r="G84" s="10">
        <v>111.84</v>
      </c>
      <c r="H84" s="71">
        <f t="shared" si="10"/>
        <v>11.183999999999999</v>
      </c>
      <c r="I84" s="10">
        <f>G84*32</f>
        <v>3578.88</v>
      </c>
    </row>
    <row r="85" spans="1:9" ht="15.75" hidden="1" customHeight="1">
      <c r="A85" s="21">
        <v>25</v>
      </c>
      <c r="B85" s="77" t="s">
        <v>139</v>
      </c>
      <c r="C85" s="13" t="s">
        <v>140</v>
      </c>
      <c r="D85" s="40" t="s">
        <v>68</v>
      </c>
      <c r="E85" s="15">
        <v>30</v>
      </c>
      <c r="F85" s="10">
        <v>10</v>
      </c>
      <c r="G85" s="10">
        <v>972.09</v>
      </c>
      <c r="H85" s="71">
        <f t="shared" si="10"/>
        <v>9.7209000000000003</v>
      </c>
      <c r="I85" s="10">
        <f>G85</f>
        <v>972.09</v>
      </c>
    </row>
    <row r="86" spans="1:9" ht="16.5" customHeight="1">
      <c r="A86" s="21">
        <v>27</v>
      </c>
      <c r="B86" s="77" t="s">
        <v>141</v>
      </c>
      <c r="C86" s="13" t="s">
        <v>53</v>
      </c>
      <c r="D86" s="40" t="s">
        <v>68</v>
      </c>
      <c r="E86" s="15">
        <v>100</v>
      </c>
      <c r="F86" s="10">
        <v>1</v>
      </c>
      <c r="G86" s="10">
        <v>1829.52</v>
      </c>
      <c r="H86" s="71">
        <f t="shared" si="10"/>
        <v>1.82952</v>
      </c>
      <c r="I86" s="10">
        <f>G86*1</f>
        <v>1829.52</v>
      </c>
    </row>
    <row r="87" spans="1:9" ht="31.5" hidden="1" customHeight="1">
      <c r="A87" s="21">
        <v>26</v>
      </c>
      <c r="B87" s="77" t="s">
        <v>142</v>
      </c>
      <c r="C87" s="13" t="s">
        <v>143</v>
      </c>
      <c r="D87" s="40" t="s">
        <v>68</v>
      </c>
      <c r="E87" s="15">
        <v>40</v>
      </c>
      <c r="F87" s="10">
        <v>4</v>
      </c>
      <c r="G87" s="10">
        <v>272.39</v>
      </c>
      <c r="H87" s="71">
        <f t="shared" si="10"/>
        <v>1.0895599999999999</v>
      </c>
      <c r="I87" s="10">
        <f>G87*((4+4)/10)</f>
        <v>217.91200000000001</v>
      </c>
    </row>
    <row r="88" spans="1:9" ht="31.5" hidden="1" customHeight="1">
      <c r="A88" s="21"/>
      <c r="B88" s="77" t="s">
        <v>144</v>
      </c>
      <c r="C88" s="13" t="s">
        <v>84</v>
      </c>
      <c r="D88" s="40" t="s">
        <v>68</v>
      </c>
      <c r="E88" s="15">
        <v>15</v>
      </c>
      <c r="F88" s="10">
        <v>15</v>
      </c>
      <c r="G88" s="10">
        <v>1430.02</v>
      </c>
      <c r="H88" s="71">
        <f t="shared" si="10"/>
        <v>21.450299999999999</v>
      </c>
      <c r="I88" s="10">
        <v>0</v>
      </c>
    </row>
    <row r="89" spans="1:9" ht="31.5" hidden="1" customHeight="1">
      <c r="A89" s="21"/>
      <c r="B89" s="77" t="s">
        <v>145</v>
      </c>
      <c r="C89" s="13" t="s">
        <v>84</v>
      </c>
      <c r="D89" s="40" t="s">
        <v>68</v>
      </c>
      <c r="E89" s="15">
        <v>10</v>
      </c>
      <c r="F89" s="10">
        <v>10</v>
      </c>
      <c r="G89" s="10">
        <v>1743.04</v>
      </c>
      <c r="H89" s="71">
        <f t="shared" si="10"/>
        <v>17.430400000000002</v>
      </c>
      <c r="I89" s="10">
        <v>0</v>
      </c>
    </row>
    <row r="90" spans="1:9" ht="31.5" hidden="1" customHeight="1">
      <c r="A90" s="21"/>
      <c r="B90" s="77" t="s">
        <v>146</v>
      </c>
      <c r="C90" s="13" t="s">
        <v>84</v>
      </c>
      <c r="D90" s="40" t="s">
        <v>68</v>
      </c>
      <c r="E90" s="15">
        <v>20</v>
      </c>
      <c r="F90" s="10">
        <v>20</v>
      </c>
      <c r="G90" s="10">
        <v>607.27</v>
      </c>
      <c r="H90" s="71">
        <f t="shared" si="10"/>
        <v>12.1454</v>
      </c>
      <c r="I90" s="10">
        <v>0</v>
      </c>
    </row>
    <row r="91" spans="1:9" ht="31.5" hidden="1" customHeight="1">
      <c r="A91" s="21"/>
      <c r="B91" s="77" t="s">
        <v>147</v>
      </c>
      <c r="C91" s="13" t="s">
        <v>84</v>
      </c>
      <c r="D91" s="40" t="s">
        <v>68</v>
      </c>
      <c r="E91" s="15">
        <v>30</v>
      </c>
      <c r="F91" s="10">
        <v>30</v>
      </c>
      <c r="G91" s="10">
        <v>711.93</v>
      </c>
      <c r="H91" s="71">
        <f t="shared" si="10"/>
        <v>21.357899999999997</v>
      </c>
      <c r="I91" s="10">
        <v>0</v>
      </c>
    </row>
    <row r="92" spans="1:9" ht="15.75" hidden="1" customHeight="1">
      <c r="A92" s="21"/>
      <c r="B92" s="77" t="s">
        <v>109</v>
      </c>
      <c r="C92" s="13" t="s">
        <v>31</v>
      </c>
      <c r="D92" s="40" t="s">
        <v>68</v>
      </c>
      <c r="E92" s="15">
        <v>10</v>
      </c>
      <c r="F92" s="10">
        <v>10</v>
      </c>
      <c r="G92" s="10">
        <v>455.31</v>
      </c>
      <c r="H92" s="71">
        <f t="shared" si="10"/>
        <v>4.5531000000000006</v>
      </c>
      <c r="I92" s="10">
        <v>0</v>
      </c>
    </row>
    <row r="93" spans="1:9" ht="31.5" hidden="1" customHeight="1">
      <c r="A93" s="21"/>
      <c r="B93" s="77" t="s">
        <v>148</v>
      </c>
      <c r="C93" s="13" t="s">
        <v>84</v>
      </c>
      <c r="D93" s="40" t="s">
        <v>68</v>
      </c>
      <c r="E93" s="15">
        <v>30</v>
      </c>
      <c r="F93" s="10">
        <v>30</v>
      </c>
      <c r="G93" s="10">
        <v>1155.7</v>
      </c>
      <c r="H93" s="71">
        <f t="shared" si="10"/>
        <v>34.670999999999999</v>
      </c>
      <c r="I93" s="10">
        <v>0</v>
      </c>
    </row>
    <row r="94" spans="1:9" ht="31.5" hidden="1" customHeight="1">
      <c r="A94" s="21">
        <v>27</v>
      </c>
      <c r="B94" s="77" t="s">
        <v>149</v>
      </c>
      <c r="C94" s="13" t="s">
        <v>29</v>
      </c>
      <c r="D94" s="11" t="s">
        <v>43</v>
      </c>
      <c r="E94" s="15">
        <v>1040.4000000000001</v>
      </c>
      <c r="F94" s="10">
        <f>E94*2/1000</f>
        <v>2.0808</v>
      </c>
      <c r="G94" s="10">
        <v>1560.98</v>
      </c>
      <c r="H94" s="71">
        <f t="shared" si="10"/>
        <v>3.2480871840000001</v>
      </c>
      <c r="I94" s="10">
        <f>F94/2*G94</f>
        <v>1624.043592</v>
      </c>
    </row>
    <row r="95" spans="1:9" ht="31.5" hidden="1" customHeight="1">
      <c r="A95" s="21"/>
      <c r="B95" s="77" t="s">
        <v>150</v>
      </c>
      <c r="C95" s="21" t="s">
        <v>152</v>
      </c>
      <c r="D95" s="40" t="s">
        <v>68</v>
      </c>
      <c r="E95" s="15">
        <v>100</v>
      </c>
      <c r="F95" s="10">
        <v>1</v>
      </c>
      <c r="G95" s="10">
        <v>12859.93</v>
      </c>
      <c r="H95" s="71">
        <f t="shared" si="10"/>
        <v>12.85993</v>
      </c>
      <c r="I95" s="10">
        <v>0</v>
      </c>
    </row>
    <row r="96" spans="1:9" ht="15.75" hidden="1" customHeight="1">
      <c r="A96" s="21"/>
      <c r="B96" s="77" t="s">
        <v>151</v>
      </c>
      <c r="C96" s="13" t="s">
        <v>29</v>
      </c>
      <c r="D96" s="11" t="s">
        <v>43</v>
      </c>
      <c r="E96" s="15">
        <v>1040.4000000000001</v>
      </c>
      <c r="F96" s="10">
        <v>2.08</v>
      </c>
      <c r="G96" s="10">
        <v>1453.29</v>
      </c>
      <c r="H96" s="71">
        <f t="shared" si="10"/>
        <v>3.0228432000000001</v>
      </c>
      <c r="I96" s="10">
        <v>0</v>
      </c>
    </row>
    <row r="97" spans="1:9" ht="15.75" customHeight="1">
      <c r="A97" s="133" t="s">
        <v>161</v>
      </c>
      <c r="B97" s="134"/>
      <c r="C97" s="134"/>
      <c r="D97" s="134"/>
      <c r="E97" s="134"/>
      <c r="F97" s="134"/>
      <c r="G97" s="134"/>
      <c r="H97" s="134"/>
      <c r="I97" s="135"/>
    </row>
    <row r="98" spans="1:9" ht="15.75" customHeight="1">
      <c r="A98" s="21">
        <v>28</v>
      </c>
      <c r="B98" s="77" t="s">
        <v>102</v>
      </c>
      <c r="C98" s="13" t="s">
        <v>55</v>
      </c>
      <c r="D98" s="51" t="s">
        <v>56</v>
      </c>
      <c r="E98" s="10">
        <v>3455.3</v>
      </c>
      <c r="F98" s="10">
        <v>41463.599999999999</v>
      </c>
      <c r="G98" s="10">
        <v>2.7</v>
      </c>
      <c r="H98" s="71">
        <f>SUM(F98*G98/1000)</f>
        <v>111.95171999999999</v>
      </c>
      <c r="I98" s="10">
        <f>F98/12*G98</f>
        <v>9329.31</v>
      </c>
    </row>
    <row r="99" spans="1:9" ht="31.5" customHeight="1">
      <c r="A99" s="21">
        <v>29</v>
      </c>
      <c r="B99" s="11" t="s">
        <v>81</v>
      </c>
      <c r="C99" s="13"/>
      <c r="D99" s="51" t="s">
        <v>56</v>
      </c>
      <c r="E99" s="57">
        <f>E98</f>
        <v>3455.3</v>
      </c>
      <c r="F99" s="10">
        <f>E99*12</f>
        <v>41463.600000000006</v>
      </c>
      <c r="G99" s="10">
        <v>3.05</v>
      </c>
      <c r="H99" s="71">
        <f>F99*G99/1000</f>
        <v>126.46398000000001</v>
      </c>
      <c r="I99" s="10">
        <f>F99/12*G99</f>
        <v>10538.665000000001</v>
      </c>
    </row>
    <row r="100" spans="1:9" ht="15.75" customHeight="1">
      <c r="A100" s="21"/>
      <c r="B100" s="27" t="s">
        <v>83</v>
      </c>
      <c r="C100" s="76"/>
      <c r="D100" s="74"/>
      <c r="E100" s="75"/>
      <c r="F100" s="75"/>
      <c r="G100" s="75"/>
      <c r="H100" s="73">
        <f>SUM(H99)</f>
        <v>126.46398000000001</v>
      </c>
      <c r="I100" s="75">
        <f>I99+I98+I86+I84+I79+I77+I73+I72+I65+I63+I57+I56+I52+I51+I50+I49+I48+I47+I35+I34+I32+I31+I28+I27+I21+I20+I18+I17+I16</f>
        <v>81520.518259111093</v>
      </c>
    </row>
    <row r="101" spans="1:9" ht="15.75" customHeight="1">
      <c r="A101" s="140" t="s">
        <v>61</v>
      </c>
      <c r="B101" s="141"/>
      <c r="C101" s="141"/>
      <c r="D101" s="141"/>
      <c r="E101" s="141"/>
      <c r="F101" s="141"/>
      <c r="G101" s="141"/>
      <c r="H101" s="141"/>
      <c r="I101" s="142"/>
    </row>
    <row r="102" spans="1:9" ht="15.75" customHeight="1">
      <c r="A102" s="21">
        <v>30</v>
      </c>
      <c r="B102" s="39" t="s">
        <v>237</v>
      </c>
      <c r="C102" s="88" t="s">
        <v>238</v>
      </c>
      <c r="D102" s="34"/>
      <c r="E102" s="10"/>
      <c r="F102" s="10">
        <v>11</v>
      </c>
      <c r="G102" s="26">
        <v>203.68</v>
      </c>
      <c r="H102" s="87">
        <f>G102*F102/1000</f>
        <v>2.2404799999999998</v>
      </c>
      <c r="I102" s="10">
        <f>G102*1</f>
        <v>203.68</v>
      </c>
    </row>
    <row r="103" spans="1:9" ht="17.25" customHeight="1">
      <c r="A103" s="21">
        <v>31</v>
      </c>
      <c r="B103" s="39" t="s">
        <v>85</v>
      </c>
      <c r="C103" s="88" t="s">
        <v>98</v>
      </c>
      <c r="D103" s="38"/>
      <c r="E103" s="26"/>
      <c r="F103" s="26">
        <v>9</v>
      </c>
      <c r="G103" s="26">
        <v>197.48</v>
      </c>
      <c r="H103" s="87">
        <f>G103*F103/1000</f>
        <v>1.77732</v>
      </c>
      <c r="I103" s="10">
        <f>G103*3</f>
        <v>592.43999999999994</v>
      </c>
    </row>
    <row r="104" spans="1:9" ht="17.25" customHeight="1">
      <c r="A104" s="21">
        <v>32</v>
      </c>
      <c r="B104" s="116" t="s">
        <v>239</v>
      </c>
      <c r="C104" s="117" t="s">
        <v>98</v>
      </c>
      <c r="D104" s="34"/>
      <c r="E104" s="10"/>
      <c r="F104" s="10">
        <v>2</v>
      </c>
      <c r="G104" s="118">
        <v>470</v>
      </c>
      <c r="H104" s="87">
        <f>G104*F104/1000</f>
        <v>0.94</v>
      </c>
      <c r="I104" s="10">
        <f>G104*1</f>
        <v>470</v>
      </c>
    </row>
    <row r="105" spans="1:9" ht="18" customHeight="1">
      <c r="A105" s="21">
        <v>33</v>
      </c>
      <c r="B105" s="39" t="s">
        <v>240</v>
      </c>
      <c r="C105" s="88" t="s">
        <v>231</v>
      </c>
      <c r="D105" s="38"/>
      <c r="E105" s="26"/>
      <c r="F105" s="26">
        <v>4</v>
      </c>
      <c r="G105" s="110">
        <v>45</v>
      </c>
      <c r="H105" s="87">
        <f>G105*F105/1000</f>
        <v>0.18</v>
      </c>
      <c r="I105" s="10">
        <f>G105*25</f>
        <v>1125</v>
      </c>
    </row>
    <row r="106" spans="1:9" ht="15.75" customHeight="1">
      <c r="A106" s="21">
        <v>34</v>
      </c>
      <c r="B106" s="39" t="s">
        <v>241</v>
      </c>
      <c r="C106" s="88" t="s">
        <v>98</v>
      </c>
      <c r="D106" s="38"/>
      <c r="E106" s="26"/>
      <c r="F106" s="26">
        <v>1</v>
      </c>
      <c r="G106" s="110">
        <v>30</v>
      </c>
      <c r="H106" s="87">
        <f>G106*F106/1000</f>
        <v>0.03</v>
      </c>
      <c r="I106" s="10">
        <f>G106*2</f>
        <v>60</v>
      </c>
    </row>
    <row r="107" spans="1:9">
      <c r="A107" s="21"/>
      <c r="B107" s="32" t="s">
        <v>52</v>
      </c>
      <c r="C107" s="28"/>
      <c r="D107" s="35"/>
      <c r="E107" s="28">
        <v>1</v>
      </c>
      <c r="F107" s="28"/>
      <c r="G107" s="28"/>
      <c r="H107" s="28"/>
      <c r="I107" s="24">
        <f>SUM(I102:I106)</f>
        <v>2451.12</v>
      </c>
    </row>
    <row r="108" spans="1:9">
      <c r="A108" s="21"/>
      <c r="B108" s="34" t="s">
        <v>82</v>
      </c>
      <c r="C108" s="12"/>
      <c r="D108" s="12"/>
      <c r="E108" s="29"/>
      <c r="F108" s="29"/>
      <c r="G108" s="30"/>
      <c r="H108" s="30"/>
      <c r="I108" s="14">
        <v>0</v>
      </c>
    </row>
    <row r="109" spans="1:9" ht="15.75" customHeight="1">
      <c r="A109" s="36"/>
      <c r="B109" s="33" t="s">
        <v>184</v>
      </c>
      <c r="C109" s="25"/>
      <c r="D109" s="25"/>
      <c r="E109" s="25"/>
      <c r="F109" s="25"/>
      <c r="G109" s="25"/>
      <c r="H109" s="25"/>
      <c r="I109" s="31">
        <f>I100+I107</f>
        <v>83971.638259111089</v>
      </c>
    </row>
    <row r="110" spans="1:9" ht="15.75">
      <c r="A110" s="136" t="s">
        <v>243</v>
      </c>
      <c r="B110" s="136"/>
      <c r="C110" s="136"/>
      <c r="D110" s="136"/>
      <c r="E110" s="136"/>
      <c r="F110" s="136"/>
      <c r="G110" s="136"/>
      <c r="H110" s="136"/>
      <c r="I110" s="136"/>
    </row>
    <row r="111" spans="1:9" ht="15.75">
      <c r="A111" s="50"/>
      <c r="B111" s="137" t="s">
        <v>242</v>
      </c>
      <c r="C111" s="137"/>
      <c r="D111" s="137"/>
      <c r="E111" s="137"/>
      <c r="F111" s="137"/>
      <c r="G111" s="137"/>
      <c r="H111" s="56"/>
      <c r="I111" s="2"/>
    </row>
    <row r="112" spans="1:9">
      <c r="A112" s="44"/>
      <c r="B112" s="124" t="s">
        <v>6</v>
      </c>
      <c r="C112" s="124"/>
      <c r="D112" s="124"/>
      <c r="E112" s="124"/>
      <c r="F112" s="124"/>
      <c r="G112" s="124"/>
      <c r="H112" s="16"/>
      <c r="I112" s="4"/>
    </row>
    <row r="113" spans="1:9">
      <c r="A113" s="7"/>
      <c r="B113" s="7"/>
      <c r="C113" s="7"/>
      <c r="D113" s="7"/>
      <c r="E113" s="7"/>
      <c r="F113" s="7"/>
      <c r="G113" s="7"/>
      <c r="H113" s="7"/>
      <c r="I113" s="7"/>
    </row>
    <row r="114" spans="1:9" ht="15.75" customHeight="1">
      <c r="A114" s="138" t="s">
        <v>7</v>
      </c>
      <c r="B114" s="138"/>
      <c r="C114" s="138"/>
      <c r="D114" s="138"/>
      <c r="E114" s="138"/>
      <c r="F114" s="138"/>
      <c r="G114" s="138"/>
      <c r="H114" s="138"/>
      <c r="I114" s="138"/>
    </row>
    <row r="115" spans="1:9" ht="15.75" customHeight="1">
      <c r="A115" s="138" t="s">
        <v>8</v>
      </c>
      <c r="B115" s="138"/>
      <c r="C115" s="138"/>
      <c r="D115" s="138"/>
      <c r="E115" s="138"/>
      <c r="F115" s="138"/>
      <c r="G115" s="138"/>
      <c r="H115" s="138"/>
      <c r="I115" s="138"/>
    </row>
    <row r="116" spans="1:9" ht="15.75" customHeight="1">
      <c r="A116" s="139" t="s">
        <v>62</v>
      </c>
      <c r="B116" s="139"/>
      <c r="C116" s="139"/>
      <c r="D116" s="139"/>
      <c r="E116" s="139"/>
      <c r="F116" s="139"/>
      <c r="G116" s="139"/>
      <c r="H116" s="139"/>
      <c r="I116" s="139"/>
    </row>
    <row r="117" spans="1:9" ht="15.75" customHeight="1">
      <c r="A117" s="8"/>
    </row>
    <row r="118" spans="1:9" ht="15.75" customHeight="1">
      <c r="A118" s="128" t="s">
        <v>9</v>
      </c>
      <c r="B118" s="128"/>
      <c r="C118" s="128"/>
      <c r="D118" s="128"/>
      <c r="E118" s="128"/>
      <c r="F118" s="128"/>
      <c r="G118" s="128"/>
      <c r="H118" s="128"/>
      <c r="I118" s="128"/>
    </row>
    <row r="119" spans="1:9" ht="15.75" customHeight="1">
      <c r="A119" s="3"/>
    </row>
    <row r="120" spans="1:9" ht="15.75" customHeight="1">
      <c r="B120" s="46" t="s">
        <v>10</v>
      </c>
      <c r="C120" s="123" t="s">
        <v>158</v>
      </c>
      <c r="D120" s="123"/>
      <c r="E120" s="123"/>
      <c r="F120" s="54"/>
      <c r="I120" s="48"/>
    </row>
    <row r="121" spans="1:9">
      <c r="A121" s="44"/>
      <c r="C121" s="124" t="s">
        <v>11</v>
      </c>
      <c r="D121" s="124"/>
      <c r="E121" s="124"/>
      <c r="F121" s="16"/>
      <c r="I121" s="49" t="s">
        <v>12</v>
      </c>
    </row>
    <row r="122" spans="1:9" ht="15.75">
      <c r="A122" s="17"/>
      <c r="C122" s="9"/>
      <c r="D122" s="9"/>
      <c r="G122" s="9"/>
      <c r="H122" s="9"/>
    </row>
    <row r="123" spans="1:9" ht="15.75">
      <c r="B123" s="46" t="s">
        <v>13</v>
      </c>
      <c r="C123" s="125"/>
      <c r="D123" s="125"/>
      <c r="E123" s="125"/>
      <c r="F123" s="55"/>
      <c r="I123" s="48"/>
    </row>
    <row r="124" spans="1:9">
      <c r="A124" s="44"/>
      <c r="C124" s="126" t="s">
        <v>11</v>
      </c>
      <c r="D124" s="126"/>
      <c r="E124" s="126"/>
      <c r="F124" s="44"/>
      <c r="I124" s="49" t="s">
        <v>12</v>
      </c>
    </row>
    <row r="125" spans="1:9" ht="15.75">
      <c r="A125" s="3" t="s">
        <v>14</v>
      </c>
    </row>
    <row r="126" spans="1:9">
      <c r="A126" s="127" t="s">
        <v>15</v>
      </c>
      <c r="B126" s="127"/>
      <c r="C126" s="127"/>
      <c r="D126" s="127"/>
      <c r="E126" s="127"/>
      <c r="F126" s="127"/>
      <c r="G126" s="127"/>
      <c r="H126" s="127"/>
      <c r="I126" s="127"/>
    </row>
    <row r="127" spans="1:9" ht="45" customHeight="1">
      <c r="A127" s="122" t="s">
        <v>16</v>
      </c>
      <c r="B127" s="122"/>
      <c r="C127" s="122"/>
      <c r="D127" s="122"/>
      <c r="E127" s="122"/>
      <c r="F127" s="122"/>
      <c r="G127" s="122"/>
      <c r="H127" s="122"/>
      <c r="I127" s="122"/>
    </row>
    <row r="128" spans="1:9" ht="30" customHeight="1">
      <c r="A128" s="122" t="s">
        <v>17</v>
      </c>
      <c r="B128" s="122"/>
      <c r="C128" s="122"/>
      <c r="D128" s="122"/>
      <c r="E128" s="122"/>
      <c r="F128" s="122"/>
      <c r="G128" s="122"/>
      <c r="H128" s="122"/>
      <c r="I128" s="122"/>
    </row>
    <row r="129" spans="1:9" ht="30" customHeight="1">
      <c r="A129" s="122" t="s">
        <v>21</v>
      </c>
      <c r="B129" s="122"/>
      <c r="C129" s="122"/>
      <c r="D129" s="122"/>
      <c r="E129" s="122"/>
      <c r="F129" s="122"/>
      <c r="G129" s="122"/>
      <c r="H129" s="122"/>
      <c r="I129" s="122"/>
    </row>
    <row r="130" spans="1:9" ht="15" customHeight="1">
      <c r="A130" s="122" t="s">
        <v>20</v>
      </c>
      <c r="B130" s="122"/>
      <c r="C130" s="122"/>
      <c r="D130" s="122"/>
      <c r="E130" s="122"/>
      <c r="F130" s="122"/>
      <c r="G130" s="122"/>
      <c r="H130" s="122"/>
      <c r="I130" s="122"/>
    </row>
  </sheetData>
  <mergeCells count="28">
    <mergeCell ref="A14:I14"/>
    <mergeCell ref="A3:I3"/>
    <mergeCell ref="A4:I4"/>
    <mergeCell ref="A5:I5"/>
    <mergeCell ref="A8:I8"/>
    <mergeCell ref="A10:I10"/>
    <mergeCell ref="A118:I118"/>
    <mergeCell ref="A15:I15"/>
    <mergeCell ref="A29:I29"/>
    <mergeCell ref="A46:I46"/>
    <mergeCell ref="A58:I58"/>
    <mergeCell ref="A97:I97"/>
    <mergeCell ref="A110:I110"/>
    <mergeCell ref="B111:G111"/>
    <mergeCell ref="B112:G112"/>
    <mergeCell ref="A114:I114"/>
    <mergeCell ref="A115:I115"/>
    <mergeCell ref="A116:I116"/>
    <mergeCell ref="A101:I101"/>
    <mergeCell ref="A128:I128"/>
    <mergeCell ref="A129:I129"/>
    <mergeCell ref="A130:I130"/>
    <mergeCell ref="C120:E120"/>
    <mergeCell ref="C121:E121"/>
    <mergeCell ref="C123:E123"/>
    <mergeCell ref="C124:E124"/>
    <mergeCell ref="A126:I126"/>
    <mergeCell ref="A127:I127"/>
  </mergeCells>
  <pageMargins left="0.70866141732283472" right="0.70866141732283472" top="0.27559055118110237" bottom="0.27559055118110237" header="0.31496062992125984" footer="0.31496062992125984"/>
  <pageSetup paperSize="9" scale="58" orientation="portrait" horizontalDpi="0" verticalDpi="0" r:id="rId1"/>
  <rowBreaks count="1" manualBreakCount="1">
    <brk id="12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13</vt:i4>
      </vt:variant>
    </vt:vector>
  </HeadingPairs>
  <TitlesOfParts>
    <vt:vector size="25" baseType="lpstr"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'05.18'!Заголовки_для_печати</vt:lpstr>
      <vt:lpstr>'01.18'!Область_печати</vt:lpstr>
      <vt:lpstr>'02.18'!Область_печати</vt:lpstr>
      <vt:lpstr>'03.18'!Область_печати</vt:lpstr>
      <vt:lpstr>'04.18'!Область_печати</vt:lpstr>
      <vt:lpstr>'05.18'!Область_печати</vt:lpstr>
      <vt:lpstr>'06.18'!Область_печати</vt:lpstr>
      <vt:lpstr>'07.18'!Область_печати</vt:lpstr>
      <vt:lpstr>'08.18'!Область_печати</vt:lpstr>
      <vt:lpstr>'09.18'!Область_печати</vt:lpstr>
      <vt:lpstr>'10.18'!Область_печати</vt:lpstr>
      <vt:lpstr>'11.18'!Область_печати</vt:lpstr>
      <vt:lpstr>'12.18'!Область_печати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2019-01-31T10:40:02Z</cp:lastPrinted>
  <dcterms:created xsi:type="dcterms:W3CDTF">2016-03-25T08:33:47Z</dcterms:created>
  <dcterms:modified xsi:type="dcterms:W3CDTF">2019-01-31T10:40:17Z</dcterms:modified>
</cp:coreProperties>
</file>