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9" sheetId="8" r:id="rId1"/>
    <sheet name="02.19" sheetId="17" r:id="rId2"/>
    <sheet name="03.19" sheetId="18" r:id="rId3"/>
    <sheet name="04.19" sheetId="19" r:id="rId4"/>
    <sheet name="05.18" sheetId="20" r:id="rId5"/>
    <sheet name="06.19" sheetId="21" r:id="rId6"/>
    <sheet name="07.19" sheetId="22" r:id="rId7"/>
    <sheet name="08.19" sheetId="23" r:id="rId8"/>
    <sheet name="09.19" sheetId="24" r:id="rId9"/>
    <sheet name="10.19" sheetId="25" r:id="rId10"/>
    <sheet name="11.19" sheetId="26" r:id="rId11"/>
    <sheet name="12.19" sheetId="27" r:id="rId12"/>
  </sheets>
  <definedNames>
    <definedName name="_xlnm._FilterDatabase" localSheetId="0" hidden="1">'01.19'!$I$12:$I$83</definedName>
    <definedName name="_xlnm._FilterDatabase" localSheetId="1" hidden="1">'02.19'!$I$12:$I$83</definedName>
    <definedName name="_xlnm._FilterDatabase" localSheetId="2" hidden="1">'03.19'!$I$12:$I$83</definedName>
    <definedName name="_xlnm._FilterDatabase" localSheetId="3" hidden="1">'04.19'!$I$12:$I$85</definedName>
    <definedName name="_xlnm._FilterDatabase" localSheetId="4" hidden="1">'05.18'!$I$12:$I$82</definedName>
    <definedName name="_xlnm._FilterDatabase" localSheetId="5" hidden="1">'06.19'!$I$12:$I$82</definedName>
    <definedName name="_xlnm._FilterDatabase" localSheetId="6" hidden="1">'07.19'!$I$12:$I$82</definedName>
    <definedName name="_xlnm._FilterDatabase" localSheetId="7" hidden="1">'08.19'!$I$12:$I$82</definedName>
    <definedName name="_xlnm._FilterDatabase" localSheetId="8" hidden="1">'09.19'!$I$12:$I$82</definedName>
    <definedName name="_xlnm._FilterDatabase" localSheetId="9" hidden="1">'10.19'!$I$12:$I$82</definedName>
    <definedName name="_xlnm._FilterDatabase" localSheetId="10" hidden="1">'11.19'!$I$12:$I$84</definedName>
    <definedName name="_xlnm._FilterDatabase" localSheetId="11" hidden="1">'12.19'!$I$12:$I$84</definedName>
    <definedName name="_xlnm.Print_Area" localSheetId="0">'01.19'!$A$1:$I$111</definedName>
    <definedName name="_xlnm.Print_Area" localSheetId="1">'02.19'!$A$1:$I$111</definedName>
    <definedName name="_xlnm.Print_Area" localSheetId="2">'03.19'!$A$1:$I$119</definedName>
    <definedName name="_xlnm.Print_Area" localSheetId="3">'04.19'!$A$1:$I$116</definedName>
    <definedName name="_xlnm.Print_Area" localSheetId="4">'05.18'!$A$1:$I$111</definedName>
    <definedName name="_xlnm.Print_Area" localSheetId="5">'06.19'!$A$1:$I$111</definedName>
    <definedName name="_xlnm.Print_Area" localSheetId="6">'07.19'!$A$1:$I$116</definedName>
    <definedName name="_xlnm.Print_Area" localSheetId="7">'08.19'!$A$1:$I$114</definedName>
    <definedName name="_xlnm.Print_Area" localSheetId="8">'09.19'!$A$1:$I$111</definedName>
    <definedName name="_xlnm.Print_Area" localSheetId="9">'10.19'!$A$1:$I$115</definedName>
    <definedName name="_xlnm.Print_Area" localSheetId="10">'11.19'!$A$1:$I$116</definedName>
    <definedName name="_xlnm.Print_Area" localSheetId="11">'12.19'!$A$1:$I$118</definedName>
  </definedNames>
  <calcPr calcId="124519"/>
</workbook>
</file>

<file path=xl/calcChain.xml><?xml version="1.0" encoding="utf-8"?>
<calcChain xmlns="http://schemas.openxmlformats.org/spreadsheetml/2006/main">
  <c r="F72" i="27"/>
  <c r="I72" s="1"/>
  <c r="I56"/>
  <c r="I94"/>
  <c r="I93"/>
  <c r="I92"/>
  <c r="I91"/>
  <c r="I90"/>
  <c r="I89"/>
  <c r="I88"/>
  <c r="I87"/>
  <c r="I86"/>
  <c r="I95" s="1"/>
  <c r="I42"/>
  <c r="H42"/>
  <c r="F41"/>
  <c r="I41" s="1"/>
  <c r="F40"/>
  <c r="I40" s="1"/>
  <c r="F39"/>
  <c r="I39" s="1"/>
  <c r="F38"/>
  <c r="I38" s="1"/>
  <c r="I37"/>
  <c r="F27"/>
  <c r="H27" s="1"/>
  <c r="F26"/>
  <c r="H26" s="1"/>
  <c r="F24"/>
  <c r="H24" s="1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F80" i="26"/>
  <c r="I80" s="1"/>
  <c r="I92"/>
  <c r="I91"/>
  <c r="I90"/>
  <c r="I88"/>
  <c r="I87"/>
  <c r="I86"/>
  <c r="I56"/>
  <c r="I63"/>
  <c r="I37"/>
  <c r="F27"/>
  <c r="H27" s="1"/>
  <c r="F26"/>
  <c r="H26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92" i="25"/>
  <c r="I91"/>
  <c r="H20" i="27" l="1"/>
  <c r="H39"/>
  <c r="H16"/>
  <c r="H41"/>
  <c r="H38"/>
  <c r="H40"/>
  <c r="I17"/>
  <c r="I18"/>
  <c r="I21"/>
  <c r="I27"/>
  <c r="H16" i="26"/>
  <c r="H20"/>
  <c r="H17"/>
  <c r="H18"/>
  <c r="H21"/>
  <c r="I27"/>
  <c r="F78" i="25"/>
  <c r="I78" s="1"/>
  <c r="I90"/>
  <c r="I89"/>
  <c r="I88"/>
  <c r="I87"/>
  <c r="I86"/>
  <c r="I85"/>
  <c r="I84"/>
  <c r="F31"/>
  <c r="H31" s="1"/>
  <c r="F30"/>
  <c r="I30" s="1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F70" i="24"/>
  <c r="I70" s="1"/>
  <c r="I87"/>
  <c r="I86"/>
  <c r="I85"/>
  <c r="I84"/>
  <c r="I88" s="1"/>
  <c r="H84"/>
  <c r="I61"/>
  <c r="F31"/>
  <c r="H31" s="1"/>
  <c r="F30"/>
  <c r="I30" s="1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2" i="23"/>
  <c r="F78"/>
  <c r="I78" s="1"/>
  <c r="I82" i="22"/>
  <c r="F78"/>
  <c r="I78" s="1"/>
  <c r="I82" i="21"/>
  <c r="F72"/>
  <c r="I72" s="1"/>
  <c r="I82" i="20"/>
  <c r="I78"/>
  <c r="F78"/>
  <c r="I85" i="19"/>
  <c r="I81"/>
  <c r="F81"/>
  <c r="I83" i="18"/>
  <c r="I73"/>
  <c r="F73"/>
  <c r="I83" i="17"/>
  <c r="F79"/>
  <c r="I79" s="1"/>
  <c r="I83" i="8"/>
  <c r="I79"/>
  <c r="F79"/>
  <c r="I61" i="23"/>
  <c r="I51"/>
  <c r="I90"/>
  <c r="I89"/>
  <c r="I88"/>
  <c r="I87"/>
  <c r="I86"/>
  <c r="I85"/>
  <c r="I84"/>
  <c r="I91" s="1"/>
  <c r="F31"/>
  <c r="H31" s="1"/>
  <c r="F30"/>
  <c r="I30" s="1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21" i="25" l="1"/>
  <c r="H17"/>
  <c r="H30"/>
  <c r="I31"/>
  <c r="I18"/>
  <c r="H18"/>
  <c r="I16"/>
  <c r="I20"/>
  <c r="I27"/>
  <c r="H21" i="24"/>
  <c r="H17"/>
  <c r="H30"/>
  <c r="I31"/>
  <c r="I18"/>
  <c r="H18"/>
  <c r="I16"/>
  <c r="I20"/>
  <c r="I27"/>
  <c r="H30" i="23"/>
  <c r="I31"/>
  <c r="H17"/>
  <c r="I18"/>
  <c r="H18"/>
  <c r="I16"/>
  <c r="I20"/>
  <c r="H21"/>
  <c r="I27"/>
  <c r="I92" i="22"/>
  <c r="I91"/>
  <c r="I90"/>
  <c r="I89"/>
  <c r="I85"/>
  <c r="I84"/>
  <c r="I93" s="1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17" l="1"/>
  <c r="H21"/>
  <c r="I18"/>
  <c r="H18"/>
  <c r="I16"/>
  <c r="I20"/>
  <c r="I27"/>
  <c r="F27" i="21" l="1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8" i="20"/>
  <c r="I87"/>
  <c r="F27"/>
  <c r="H27" s="1"/>
  <c r="I93" i="19"/>
  <c r="I92"/>
  <c r="F27"/>
  <c r="H27" s="1"/>
  <c r="F26"/>
  <c r="H26" s="1"/>
  <c r="F24"/>
  <c r="H24" s="1"/>
  <c r="F23"/>
  <c r="H23" s="1"/>
  <c r="F22"/>
  <c r="H22" s="1"/>
  <c r="H21"/>
  <c r="F21"/>
  <c r="I21" s="1"/>
  <c r="F20"/>
  <c r="H20" s="1"/>
  <c r="F19"/>
  <c r="H19" s="1"/>
  <c r="E18"/>
  <c r="F18" s="1"/>
  <c r="H17"/>
  <c r="F17"/>
  <c r="I17" s="1"/>
  <c r="F16"/>
  <c r="H16" s="1"/>
  <c r="I96" i="18"/>
  <c r="I95"/>
  <c r="F27"/>
  <c r="H27" s="1"/>
  <c r="F26"/>
  <c r="H26" s="1"/>
  <c r="F24"/>
  <c r="H24" s="1"/>
  <c r="F23"/>
  <c r="H23" s="1"/>
  <c r="F22"/>
  <c r="H22" s="1"/>
  <c r="H21"/>
  <c r="F21"/>
  <c r="I21" s="1"/>
  <c r="F20"/>
  <c r="H20" s="1"/>
  <c r="F19"/>
  <c r="H19" s="1"/>
  <c r="E18"/>
  <c r="F18" s="1"/>
  <c r="H17"/>
  <c r="F17"/>
  <c r="I17" s="1"/>
  <c r="F16"/>
  <c r="H16" s="1"/>
  <c r="I88" i="17"/>
  <c r="I87"/>
  <c r="F27"/>
  <c r="H27" s="1"/>
  <c r="F26"/>
  <c r="H26" s="1"/>
  <c r="F24"/>
  <c r="H24" s="1"/>
  <c r="F23"/>
  <c r="H23" s="1"/>
  <c r="F22"/>
  <c r="H22" s="1"/>
  <c r="H21"/>
  <c r="F21"/>
  <c r="I21" s="1"/>
  <c r="F20"/>
  <c r="H20" s="1"/>
  <c r="F19"/>
  <c r="H19" s="1"/>
  <c r="E18"/>
  <c r="F18" s="1"/>
  <c r="H17"/>
  <c r="F17"/>
  <c r="I17" s="1"/>
  <c r="F16"/>
  <c r="H16" s="1"/>
  <c r="I88" i="8"/>
  <c r="I87"/>
  <c r="F27"/>
  <c r="I87" i="21"/>
  <c r="I86"/>
  <c r="I85"/>
  <c r="I84"/>
  <c r="I88" s="1"/>
  <c r="I74"/>
  <c r="H17" l="1"/>
  <c r="H21"/>
  <c r="I18"/>
  <c r="H18"/>
  <c r="I16"/>
  <c r="I20"/>
  <c r="I27"/>
  <c r="I27" i="20"/>
  <c r="I18" i="19"/>
  <c r="H18"/>
  <c r="I16"/>
  <c r="I20"/>
  <c r="I27"/>
  <c r="I18" i="18"/>
  <c r="H18"/>
  <c r="I16"/>
  <c r="I20"/>
  <c r="I27"/>
  <c r="I18" i="17"/>
  <c r="H18"/>
  <c r="I16"/>
  <c r="I20"/>
  <c r="I27"/>
  <c r="I51" i="20"/>
  <c r="I86"/>
  <c r="I85"/>
  <c r="I84"/>
  <c r="I61"/>
  <c r="I91" i="19"/>
  <c r="I90" l="1"/>
  <c r="I89"/>
  <c r="I88"/>
  <c r="I87"/>
  <c r="I55"/>
  <c r="I79"/>
  <c r="I55" i="18" l="1"/>
  <c r="I86"/>
  <c r="I94"/>
  <c r="I93"/>
  <c r="I92"/>
  <c r="I91"/>
  <c r="I90"/>
  <c r="I89"/>
  <c r="I88"/>
  <c r="I87"/>
  <c r="I85"/>
  <c r="I75"/>
  <c r="I36"/>
  <c r="I86" i="17" l="1"/>
  <c r="I85" l="1"/>
  <c r="I36"/>
  <c r="I36" i="8"/>
  <c r="I86"/>
  <c r="I85"/>
  <c r="F85"/>
  <c r="I59" i="27" l="1"/>
  <c r="H59"/>
  <c r="I89" i="26"/>
  <c r="I93" s="1"/>
  <c r="I42"/>
  <c r="I72" i="25" l="1"/>
  <c r="I61"/>
  <c r="I61" i="22"/>
  <c r="I57" i="20" l="1"/>
  <c r="I58" i="19" l="1"/>
  <c r="I41"/>
  <c r="F58" i="18" l="1"/>
  <c r="I41"/>
  <c r="I41" i="17"/>
  <c r="I41" i="8"/>
  <c r="H85" i="17" l="1"/>
  <c r="I62"/>
  <c r="F58"/>
  <c r="H86" i="8"/>
  <c r="H85"/>
  <c r="I62"/>
  <c r="F58"/>
  <c r="H58" s="1"/>
  <c r="H89" i="27" l="1"/>
  <c r="H88"/>
  <c r="H87"/>
  <c r="H86"/>
  <c r="F83"/>
  <c r="H83" s="1"/>
  <c r="F82"/>
  <c r="I82" s="1"/>
  <c r="H80"/>
  <c r="F78"/>
  <c r="H78" s="1"/>
  <c r="F77"/>
  <c r="H77" s="1"/>
  <c r="I76"/>
  <c r="H76"/>
  <c r="I74"/>
  <c r="H74"/>
  <c r="F70"/>
  <c r="I70" s="1"/>
  <c r="F69"/>
  <c r="H69" s="1"/>
  <c r="F68"/>
  <c r="I68" s="1"/>
  <c r="F67"/>
  <c r="H67" s="1"/>
  <c r="F66"/>
  <c r="I66" s="1"/>
  <c r="F65"/>
  <c r="H65" s="1"/>
  <c r="H64"/>
  <c r="I63"/>
  <c r="H63"/>
  <c r="F61"/>
  <c r="H61" s="1"/>
  <c r="H56"/>
  <c r="F56"/>
  <c r="I53"/>
  <c r="F53"/>
  <c r="H53" s="1"/>
  <c r="I52"/>
  <c r="H52"/>
  <c r="F51"/>
  <c r="I51" s="1"/>
  <c r="F50"/>
  <c r="H50" s="1"/>
  <c r="F49"/>
  <c r="H49" s="1"/>
  <c r="F48"/>
  <c r="H48" s="1"/>
  <c r="F47"/>
  <c r="I47" s="1"/>
  <c r="F46"/>
  <c r="H46" s="1"/>
  <c r="F45"/>
  <c r="H45" s="1"/>
  <c r="F44"/>
  <c r="H44" s="1"/>
  <c r="H37"/>
  <c r="H35"/>
  <c r="H34"/>
  <c r="F34"/>
  <c r="I34" s="1"/>
  <c r="F33"/>
  <c r="H33" s="1"/>
  <c r="F32"/>
  <c r="H32" s="1"/>
  <c r="F31"/>
  <c r="H31" s="1"/>
  <c r="F28"/>
  <c r="H28" s="1"/>
  <c r="H89" i="26"/>
  <c r="H88"/>
  <c r="H87"/>
  <c r="F83"/>
  <c r="I83" s="1"/>
  <c r="F82"/>
  <c r="H82" s="1"/>
  <c r="H78"/>
  <c r="F76"/>
  <c r="H76" s="1"/>
  <c r="F75"/>
  <c r="H75" s="1"/>
  <c r="I74"/>
  <c r="H74"/>
  <c r="I72"/>
  <c r="H72"/>
  <c r="F70"/>
  <c r="H70" s="1"/>
  <c r="F69"/>
  <c r="I69" s="1"/>
  <c r="F68"/>
  <c r="H68" s="1"/>
  <c r="F67"/>
  <c r="I67" s="1"/>
  <c r="F66"/>
  <c r="I66" s="1"/>
  <c r="F65"/>
  <c r="I65" s="1"/>
  <c r="H64"/>
  <c r="H63"/>
  <c r="F61"/>
  <c r="H61" s="1"/>
  <c r="I59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I45" s="1"/>
  <c r="F44"/>
  <c r="I44" s="1"/>
  <c r="H42"/>
  <c r="F41"/>
  <c r="F40"/>
  <c r="I40" s="1"/>
  <c r="F39"/>
  <c r="H39" s="1"/>
  <c r="F38"/>
  <c r="I38" s="1"/>
  <c r="H37"/>
  <c r="H35"/>
  <c r="H34"/>
  <c r="F34"/>
  <c r="I34" s="1"/>
  <c r="F33"/>
  <c r="H33" s="1"/>
  <c r="F32"/>
  <c r="I32" s="1"/>
  <c r="F31"/>
  <c r="H31" s="1"/>
  <c r="F28"/>
  <c r="I28" s="1"/>
  <c r="H89" i="25"/>
  <c r="H88"/>
  <c r="H87"/>
  <c r="H86"/>
  <c r="H85"/>
  <c r="I32" i="27" l="1"/>
  <c r="H82"/>
  <c r="I83"/>
  <c r="I67"/>
  <c r="H41" i="26"/>
  <c r="I41"/>
  <c r="H46"/>
  <c r="H48"/>
  <c r="H44"/>
  <c r="H59"/>
  <c r="H83"/>
  <c r="H66"/>
  <c r="H67"/>
  <c r="H69"/>
  <c r="H28"/>
  <c r="I31" i="27"/>
  <c r="H47"/>
  <c r="I50"/>
  <c r="H66"/>
  <c r="H68"/>
  <c r="H70"/>
  <c r="H51"/>
  <c r="I46"/>
  <c r="I45"/>
  <c r="I49"/>
  <c r="I33"/>
  <c r="I28"/>
  <c r="I44"/>
  <c r="I48"/>
  <c r="I65"/>
  <c r="I69"/>
  <c r="H32" i="26"/>
  <c r="H38"/>
  <c r="H50"/>
  <c r="H65"/>
  <c r="I70"/>
  <c r="I82"/>
  <c r="I84" s="1"/>
  <c r="H40"/>
  <c r="H45"/>
  <c r="I49"/>
  <c r="I31"/>
  <c r="I33"/>
  <c r="I39"/>
  <c r="I47"/>
  <c r="I51"/>
  <c r="I68"/>
  <c r="I84" i="27" l="1"/>
  <c r="I97" s="1"/>
  <c r="I95" i="26"/>
  <c r="F81" i="25" l="1"/>
  <c r="H81" s="1"/>
  <c r="F80"/>
  <c r="I80" s="1"/>
  <c r="H76"/>
  <c r="F74"/>
  <c r="H74" s="1"/>
  <c r="F73"/>
  <c r="H73" s="1"/>
  <c r="H72"/>
  <c r="I70"/>
  <c r="H70"/>
  <c r="F68"/>
  <c r="I68" s="1"/>
  <c r="F67"/>
  <c r="H67" s="1"/>
  <c r="F66"/>
  <c r="I66" s="1"/>
  <c r="F65"/>
  <c r="H65" s="1"/>
  <c r="F64"/>
  <c r="I64" s="1"/>
  <c r="F63"/>
  <c r="H63" s="1"/>
  <c r="H62"/>
  <c r="H61"/>
  <c r="F59"/>
  <c r="H59" s="1"/>
  <c r="H57"/>
  <c r="F54"/>
  <c r="I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F42"/>
  <c r="H42" s="1"/>
  <c r="I40"/>
  <c r="H40"/>
  <c r="F39"/>
  <c r="I39" s="1"/>
  <c r="F38"/>
  <c r="H38" s="1"/>
  <c r="F37"/>
  <c r="I37" s="1"/>
  <c r="F36"/>
  <c r="H36" s="1"/>
  <c r="I35"/>
  <c r="H35"/>
  <c r="H33"/>
  <c r="F32"/>
  <c r="I32" s="1"/>
  <c r="I74" i="24"/>
  <c r="H85"/>
  <c r="F81"/>
  <c r="I81" s="1"/>
  <c r="F80"/>
  <c r="H80" s="1"/>
  <c r="H78"/>
  <c r="F76"/>
  <c r="H76" s="1"/>
  <c r="F75"/>
  <c r="H75" s="1"/>
  <c r="H74"/>
  <c r="I72"/>
  <c r="H72"/>
  <c r="F68"/>
  <c r="H68" s="1"/>
  <c r="F67"/>
  <c r="I67" s="1"/>
  <c r="F66"/>
  <c r="H66" s="1"/>
  <c r="F65"/>
  <c r="I65" s="1"/>
  <c r="F64"/>
  <c r="H64" s="1"/>
  <c r="F63"/>
  <c r="I63" s="1"/>
  <c r="H62"/>
  <c r="H61"/>
  <c r="F59"/>
  <c r="H59" s="1"/>
  <c r="H57"/>
  <c r="F54"/>
  <c r="I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F42"/>
  <c r="H42" s="1"/>
  <c r="I40"/>
  <c r="H40"/>
  <c r="F39"/>
  <c r="I39" s="1"/>
  <c r="F38"/>
  <c r="H38" s="1"/>
  <c r="F37"/>
  <c r="I37" s="1"/>
  <c r="F36"/>
  <c r="H36" s="1"/>
  <c r="I35"/>
  <c r="H35"/>
  <c r="H33"/>
  <c r="F32"/>
  <c r="I32" s="1"/>
  <c r="H86" i="23"/>
  <c r="H85"/>
  <c r="H84"/>
  <c r="F81"/>
  <c r="I81" s="1"/>
  <c r="F80"/>
  <c r="I80" s="1"/>
  <c r="H76"/>
  <c r="F74"/>
  <c r="H74" s="1"/>
  <c r="F73"/>
  <c r="H73" s="1"/>
  <c r="I72"/>
  <c r="H72"/>
  <c r="I70"/>
  <c r="H70"/>
  <c r="F68"/>
  <c r="H68" s="1"/>
  <c r="F67"/>
  <c r="I67" s="1"/>
  <c r="F66"/>
  <c r="H66" s="1"/>
  <c r="F65"/>
  <c r="I65" s="1"/>
  <c r="F64"/>
  <c r="H64" s="1"/>
  <c r="F63"/>
  <c r="I63" s="1"/>
  <c r="H62"/>
  <c r="H61"/>
  <c r="F59"/>
  <c r="H59" s="1"/>
  <c r="H57"/>
  <c r="F54"/>
  <c r="I54" s="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F42"/>
  <c r="H42" s="1"/>
  <c r="I40"/>
  <c r="H40"/>
  <c r="F39"/>
  <c r="I39" s="1"/>
  <c r="F38"/>
  <c r="H38" s="1"/>
  <c r="F37"/>
  <c r="I37" s="1"/>
  <c r="F36"/>
  <c r="H36" s="1"/>
  <c r="I35"/>
  <c r="H35"/>
  <c r="H33"/>
  <c r="F32"/>
  <c r="I32" s="1"/>
  <c r="H88" i="22"/>
  <c r="H85"/>
  <c r="I72"/>
  <c r="H84"/>
  <c r="F81"/>
  <c r="I81" s="1"/>
  <c r="F80"/>
  <c r="I80" s="1"/>
  <c r="H76"/>
  <c r="F74"/>
  <c r="H74" s="1"/>
  <c r="F73"/>
  <c r="H73" s="1"/>
  <c r="H72"/>
  <c r="I70"/>
  <c r="H70"/>
  <c r="F68"/>
  <c r="I68" s="1"/>
  <c r="F67"/>
  <c r="I67" s="1"/>
  <c r="F66"/>
  <c r="I66" s="1"/>
  <c r="F65"/>
  <c r="I65" s="1"/>
  <c r="F64"/>
  <c r="I64" s="1"/>
  <c r="F63"/>
  <c r="I63" s="1"/>
  <c r="H62"/>
  <c r="H61"/>
  <c r="F59"/>
  <c r="H59" s="1"/>
  <c r="I57"/>
  <c r="F54"/>
  <c r="I54" s="1"/>
  <c r="I51"/>
  <c r="F51"/>
  <c r="H51" s="1"/>
  <c r="I50"/>
  <c r="H50"/>
  <c r="F49"/>
  <c r="I49" s="1"/>
  <c r="F48"/>
  <c r="I48" s="1"/>
  <c r="F47"/>
  <c r="I47" s="1"/>
  <c r="F46"/>
  <c r="I46" s="1"/>
  <c r="F45"/>
  <c r="I45" s="1"/>
  <c r="F44"/>
  <c r="I44" s="1"/>
  <c r="F43"/>
  <c r="I43" s="1"/>
  <c r="F42"/>
  <c r="I42" s="1"/>
  <c r="I40"/>
  <c r="H40"/>
  <c r="F39"/>
  <c r="I39" s="1"/>
  <c r="F38"/>
  <c r="I38" s="1"/>
  <c r="F37"/>
  <c r="I37" s="1"/>
  <c r="F36"/>
  <c r="I36" s="1"/>
  <c r="I35"/>
  <c r="H35"/>
  <c r="H33"/>
  <c r="F32"/>
  <c r="I32" s="1"/>
  <c r="F31"/>
  <c r="I31" s="1"/>
  <c r="F30"/>
  <c r="I30" s="1"/>
  <c r="H43" i="25" l="1"/>
  <c r="H66"/>
  <c r="H49"/>
  <c r="H64"/>
  <c r="H47"/>
  <c r="H68"/>
  <c r="H80" i="23"/>
  <c r="H45" i="25"/>
  <c r="H54"/>
  <c r="H80"/>
  <c r="H32"/>
  <c r="I36"/>
  <c r="H37"/>
  <c r="I38"/>
  <c r="H39"/>
  <c r="I42"/>
  <c r="I44"/>
  <c r="I46"/>
  <c r="I48"/>
  <c r="I57"/>
  <c r="I63"/>
  <c r="I65"/>
  <c r="I67"/>
  <c r="I81"/>
  <c r="I82" s="1"/>
  <c r="H47" i="24"/>
  <c r="H32"/>
  <c r="I36"/>
  <c r="H37"/>
  <c r="I38"/>
  <c r="H39"/>
  <c r="I42"/>
  <c r="H43"/>
  <c r="I44"/>
  <c r="H45"/>
  <c r="I46"/>
  <c r="I48"/>
  <c r="H49"/>
  <c r="H54"/>
  <c r="I57"/>
  <c r="H63"/>
  <c r="I64"/>
  <c r="H65"/>
  <c r="I66"/>
  <c r="H67"/>
  <c r="I68"/>
  <c r="I80"/>
  <c r="I82" s="1"/>
  <c r="H81"/>
  <c r="H32" i="23"/>
  <c r="I36"/>
  <c r="H37"/>
  <c r="I38"/>
  <c r="H39"/>
  <c r="I42"/>
  <c r="H43"/>
  <c r="I44"/>
  <c r="H45"/>
  <c r="I46"/>
  <c r="H47"/>
  <c r="I48"/>
  <c r="H49"/>
  <c r="H54"/>
  <c r="I57"/>
  <c r="H63"/>
  <c r="I64"/>
  <c r="H65"/>
  <c r="I66"/>
  <c r="H67"/>
  <c r="I68"/>
  <c r="H81"/>
  <c r="H31" i="22"/>
  <c r="H36"/>
  <c r="H44"/>
  <c r="H38"/>
  <c r="H48"/>
  <c r="H80"/>
  <c r="H66"/>
  <c r="H57"/>
  <c r="H64"/>
  <c r="H68"/>
  <c r="H42"/>
  <c r="H46"/>
  <c r="H30"/>
  <c r="H32"/>
  <c r="H37"/>
  <c r="H39"/>
  <c r="H43"/>
  <c r="H45"/>
  <c r="H47"/>
  <c r="H49"/>
  <c r="H54"/>
  <c r="H63"/>
  <c r="H65"/>
  <c r="H67"/>
  <c r="H81"/>
  <c r="I90" i="24" l="1"/>
  <c r="I93" i="23"/>
  <c r="I94" i="25"/>
  <c r="I95" i="22"/>
  <c r="H86" i="21" l="1"/>
  <c r="H85"/>
  <c r="H84"/>
  <c r="F81"/>
  <c r="I81" s="1"/>
  <c r="F80"/>
  <c r="I80" s="1"/>
  <c r="H78"/>
  <c r="F76"/>
  <c r="H76" s="1"/>
  <c r="F75"/>
  <c r="H75" s="1"/>
  <c r="H74"/>
  <c r="I70"/>
  <c r="H70"/>
  <c r="F68"/>
  <c r="H68" s="1"/>
  <c r="F67"/>
  <c r="I67" s="1"/>
  <c r="F66"/>
  <c r="H66" s="1"/>
  <c r="F65"/>
  <c r="I65" s="1"/>
  <c r="F64"/>
  <c r="H64" s="1"/>
  <c r="F63"/>
  <c r="I63" s="1"/>
  <c r="H62"/>
  <c r="H61"/>
  <c r="F59"/>
  <c r="H59" s="1"/>
  <c r="H57"/>
  <c r="F54"/>
  <c r="I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F42"/>
  <c r="H42" s="1"/>
  <c r="I40"/>
  <c r="H40"/>
  <c r="F39"/>
  <c r="I39" s="1"/>
  <c r="F38"/>
  <c r="H38" s="1"/>
  <c r="F37"/>
  <c r="I37" s="1"/>
  <c r="F36"/>
  <c r="H36" s="1"/>
  <c r="I35"/>
  <c r="H35"/>
  <c r="H33"/>
  <c r="F32"/>
  <c r="I32" s="1"/>
  <c r="F31"/>
  <c r="H31" s="1"/>
  <c r="F30"/>
  <c r="I30" s="1"/>
  <c r="H85" i="20"/>
  <c r="I72"/>
  <c r="I25"/>
  <c r="H84"/>
  <c r="F81"/>
  <c r="I81" s="1"/>
  <c r="F80"/>
  <c r="I80" s="1"/>
  <c r="H76"/>
  <c r="F74"/>
  <c r="H74" s="1"/>
  <c r="F73"/>
  <c r="H73" s="1"/>
  <c r="H72"/>
  <c r="I70"/>
  <c r="H70"/>
  <c r="F68"/>
  <c r="H68" s="1"/>
  <c r="F67"/>
  <c r="H67" s="1"/>
  <c r="F66"/>
  <c r="H66" s="1"/>
  <c r="F65"/>
  <c r="H65" s="1"/>
  <c r="F64"/>
  <c r="H64" s="1"/>
  <c r="F63"/>
  <c r="H63" s="1"/>
  <c r="H62"/>
  <c r="H61"/>
  <c r="F59"/>
  <c r="H59" s="1"/>
  <c r="F57"/>
  <c r="H57" s="1"/>
  <c r="F54"/>
  <c r="I54" s="1"/>
  <c r="F51"/>
  <c r="H51" s="1"/>
  <c r="I50"/>
  <c r="H50"/>
  <c r="F49"/>
  <c r="I49" s="1"/>
  <c r="F48"/>
  <c r="H48" s="1"/>
  <c r="F47"/>
  <c r="I47" s="1"/>
  <c r="F46"/>
  <c r="H46" s="1"/>
  <c r="F45"/>
  <c r="H45" s="1"/>
  <c r="F44"/>
  <c r="H44" s="1"/>
  <c r="F43"/>
  <c r="H43" s="1"/>
  <c r="F42"/>
  <c r="H42" s="1"/>
  <c r="I40"/>
  <c r="H40"/>
  <c r="F39"/>
  <c r="H39" s="1"/>
  <c r="F38"/>
  <c r="I38" s="1"/>
  <c r="F37"/>
  <c r="H37" s="1"/>
  <c r="F36"/>
  <c r="I36" s="1"/>
  <c r="I35"/>
  <c r="H35"/>
  <c r="H33"/>
  <c r="F32"/>
  <c r="H32" s="1"/>
  <c r="F31"/>
  <c r="H31" s="1"/>
  <c r="F30"/>
  <c r="H30" s="1"/>
  <c r="F26"/>
  <c r="H26" s="1"/>
  <c r="F24"/>
  <c r="H24" s="1"/>
  <c r="F23"/>
  <c r="H23" s="1"/>
  <c r="F22"/>
  <c r="F21"/>
  <c r="I21" s="1"/>
  <c r="F20"/>
  <c r="H20" s="1"/>
  <c r="F19"/>
  <c r="E18"/>
  <c r="F18" s="1"/>
  <c r="F17"/>
  <c r="I17" s="1"/>
  <c r="F16"/>
  <c r="H16" s="1"/>
  <c r="H90" i="19"/>
  <c r="H89"/>
  <c r="H88"/>
  <c r="I71"/>
  <c r="H87"/>
  <c r="F84"/>
  <c r="H84" s="1"/>
  <c r="F83"/>
  <c r="I83" s="1"/>
  <c r="H77"/>
  <c r="F75"/>
  <c r="H75" s="1"/>
  <c r="F74"/>
  <c r="H74" s="1"/>
  <c r="I73"/>
  <c r="H73"/>
  <c r="H71"/>
  <c r="F69"/>
  <c r="H69" s="1"/>
  <c r="F68"/>
  <c r="H68" s="1"/>
  <c r="F67"/>
  <c r="H67" s="1"/>
  <c r="F66"/>
  <c r="H66" s="1"/>
  <c r="F65"/>
  <c r="H65" s="1"/>
  <c r="F64"/>
  <c r="H64" s="1"/>
  <c r="H63"/>
  <c r="H62"/>
  <c r="F60"/>
  <c r="H60" s="1"/>
  <c r="F58"/>
  <c r="H58" s="1"/>
  <c r="F55"/>
  <c r="I52"/>
  <c r="F52"/>
  <c r="H52" s="1"/>
  <c r="I51"/>
  <c r="H51"/>
  <c r="F50"/>
  <c r="I50" s="1"/>
  <c r="F49"/>
  <c r="H49" s="1"/>
  <c r="F48"/>
  <c r="I48" s="1"/>
  <c r="F47"/>
  <c r="H47" s="1"/>
  <c r="F46"/>
  <c r="H46" s="1"/>
  <c r="F45"/>
  <c r="H45" s="1"/>
  <c r="F44"/>
  <c r="H44" s="1"/>
  <c r="F43"/>
  <c r="H43" s="1"/>
  <c r="H41"/>
  <c r="F40"/>
  <c r="F39"/>
  <c r="I39" s="1"/>
  <c r="F38"/>
  <c r="H38" s="1"/>
  <c r="F37"/>
  <c r="I37" s="1"/>
  <c r="I36"/>
  <c r="H36"/>
  <c r="H34"/>
  <c r="H33"/>
  <c r="F33"/>
  <c r="F32"/>
  <c r="H32" s="1"/>
  <c r="F31"/>
  <c r="H31" s="1"/>
  <c r="F30"/>
  <c r="H30" s="1"/>
  <c r="I51" i="18"/>
  <c r="H85"/>
  <c r="F82"/>
  <c r="I82" s="1"/>
  <c r="F81"/>
  <c r="I81" s="1"/>
  <c r="H79"/>
  <c r="F77"/>
  <c r="H77" s="1"/>
  <c r="F76"/>
  <c r="H76" s="1"/>
  <c r="H75"/>
  <c r="H71"/>
  <c r="F69"/>
  <c r="H69" s="1"/>
  <c r="F68"/>
  <c r="H68" s="1"/>
  <c r="F67"/>
  <c r="H67" s="1"/>
  <c r="F66"/>
  <c r="H66" s="1"/>
  <c r="F65"/>
  <c r="H65" s="1"/>
  <c r="F64"/>
  <c r="H64" s="1"/>
  <c r="H63"/>
  <c r="H62"/>
  <c r="F60"/>
  <c r="H60" s="1"/>
  <c r="I58"/>
  <c r="F55"/>
  <c r="H55" s="1"/>
  <c r="I52"/>
  <c r="F52"/>
  <c r="H52" s="1"/>
  <c r="H51"/>
  <c r="F50"/>
  <c r="H50" s="1"/>
  <c r="F49"/>
  <c r="H49" s="1"/>
  <c r="F48"/>
  <c r="I48" s="1"/>
  <c r="F47"/>
  <c r="H47" s="1"/>
  <c r="F46"/>
  <c r="H46" s="1"/>
  <c r="F45"/>
  <c r="H45" s="1"/>
  <c r="F44"/>
  <c r="H44" s="1"/>
  <c r="F43"/>
  <c r="H43" s="1"/>
  <c r="H41"/>
  <c r="F40"/>
  <c r="F39"/>
  <c r="I39" s="1"/>
  <c r="F38"/>
  <c r="H38" s="1"/>
  <c r="F37"/>
  <c r="I37" s="1"/>
  <c r="H36"/>
  <c r="H34"/>
  <c r="H33"/>
  <c r="F33"/>
  <c r="F32"/>
  <c r="H32" s="1"/>
  <c r="F31"/>
  <c r="H31" s="1"/>
  <c r="F30"/>
  <c r="H30" s="1"/>
  <c r="I73" i="17"/>
  <c r="F82"/>
  <c r="I82" s="1"/>
  <c r="F81"/>
  <c r="H81" s="1"/>
  <c r="H77"/>
  <c r="F75"/>
  <c r="H75" s="1"/>
  <c r="F74"/>
  <c r="H74" s="1"/>
  <c r="H73"/>
  <c r="H71"/>
  <c r="F69"/>
  <c r="H69" s="1"/>
  <c r="F68"/>
  <c r="H68" s="1"/>
  <c r="F67"/>
  <c r="H67" s="1"/>
  <c r="F66"/>
  <c r="H66" s="1"/>
  <c r="F65"/>
  <c r="H65" s="1"/>
  <c r="F64"/>
  <c r="H64" s="1"/>
  <c r="H63"/>
  <c r="H62"/>
  <c r="F60"/>
  <c r="H60" s="1"/>
  <c r="H58"/>
  <c r="F55"/>
  <c r="I55" s="1"/>
  <c r="I52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H41"/>
  <c r="F40"/>
  <c r="I40" s="1"/>
  <c r="F39"/>
  <c r="H39" s="1"/>
  <c r="F38"/>
  <c r="I38" s="1"/>
  <c r="F37"/>
  <c r="H37" s="1"/>
  <c r="H36"/>
  <c r="H34"/>
  <c r="H33"/>
  <c r="F33"/>
  <c r="F32"/>
  <c r="H32" s="1"/>
  <c r="F31"/>
  <c r="H31" s="1"/>
  <c r="F30"/>
  <c r="H30" s="1"/>
  <c r="H80" i="21" l="1"/>
  <c r="H19" i="20"/>
  <c r="I19"/>
  <c r="H22"/>
  <c r="I22"/>
  <c r="H40" i="19"/>
  <c r="I40"/>
  <c r="H40" i="18"/>
  <c r="I40"/>
  <c r="H37" i="19"/>
  <c r="H30" i="21"/>
  <c r="I31"/>
  <c r="H32"/>
  <c r="I36"/>
  <c r="H37"/>
  <c r="I38"/>
  <c r="H39"/>
  <c r="I42"/>
  <c r="H43"/>
  <c r="I44"/>
  <c r="H45"/>
  <c r="I46"/>
  <c r="H47"/>
  <c r="I48"/>
  <c r="H49"/>
  <c r="H54"/>
  <c r="I57"/>
  <c r="H63"/>
  <c r="I64"/>
  <c r="H65"/>
  <c r="I66"/>
  <c r="H67"/>
  <c r="I68"/>
  <c r="H81"/>
  <c r="I23" i="20"/>
  <c r="I32"/>
  <c r="I45"/>
  <c r="I43"/>
  <c r="I63"/>
  <c r="I66"/>
  <c r="I64"/>
  <c r="H80"/>
  <c r="I26"/>
  <c r="I24"/>
  <c r="I30"/>
  <c r="I31"/>
  <c r="I46"/>
  <c r="I44"/>
  <c r="I42"/>
  <c r="I67"/>
  <c r="I65"/>
  <c r="I68"/>
  <c r="H47"/>
  <c r="I18"/>
  <c r="H18"/>
  <c r="I16"/>
  <c r="H17"/>
  <c r="I20"/>
  <c r="H21"/>
  <c r="H36"/>
  <c r="I37"/>
  <c r="H38"/>
  <c r="I39"/>
  <c r="I48"/>
  <c r="H49"/>
  <c r="H54"/>
  <c r="H81"/>
  <c r="I38" i="19"/>
  <c r="H39"/>
  <c r="H48"/>
  <c r="I49"/>
  <c r="H50"/>
  <c r="H55"/>
  <c r="H83"/>
  <c r="I84"/>
  <c r="H81" i="18"/>
  <c r="I49"/>
  <c r="I50"/>
  <c r="H37"/>
  <c r="I38"/>
  <c r="H39"/>
  <c r="H48"/>
  <c r="H58"/>
  <c r="H82"/>
  <c r="I37" i="17"/>
  <c r="H38"/>
  <c r="I39"/>
  <c r="H40"/>
  <c r="I48"/>
  <c r="H55"/>
  <c r="I58"/>
  <c r="I81"/>
  <c r="H82"/>
  <c r="I90" i="21" l="1"/>
  <c r="I90" i="20"/>
  <c r="I98" i="18"/>
  <c r="I90" i="17"/>
  <c r="I95" i="19"/>
  <c r="F82" i="8" l="1"/>
  <c r="H82" s="1"/>
  <c r="F81"/>
  <c r="H81" s="1"/>
  <c r="H77"/>
  <c r="H71"/>
  <c r="F75"/>
  <c r="H75" s="1"/>
  <c r="F74"/>
  <c r="H74" s="1"/>
  <c r="H73"/>
  <c r="F69"/>
  <c r="H69" s="1"/>
  <c r="F68"/>
  <c r="H68" s="1"/>
  <c r="F67"/>
  <c r="H67" s="1"/>
  <c r="F66"/>
  <c r="H66" s="1"/>
  <c r="F65"/>
  <c r="H65" s="1"/>
  <c r="F64"/>
  <c r="H64" s="1"/>
  <c r="H63"/>
  <c r="H62"/>
  <c r="F60"/>
  <c r="H60" s="1"/>
  <c r="F55"/>
  <c r="H55" s="1"/>
  <c r="I52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H41"/>
  <c r="F40"/>
  <c r="F39"/>
  <c r="I39" s="1"/>
  <c r="F38"/>
  <c r="H38" s="1"/>
  <c r="F37"/>
  <c r="I37" s="1"/>
  <c r="H36"/>
  <c r="H34"/>
  <c r="H33"/>
  <c r="F33"/>
  <c r="F32"/>
  <c r="H32" s="1"/>
  <c r="F31"/>
  <c r="H31" s="1"/>
  <c r="F30"/>
  <c r="H30" s="1"/>
  <c r="H27"/>
  <c r="F26"/>
  <c r="H26" s="1"/>
  <c r="F24"/>
  <c r="H24" s="1"/>
  <c r="F23"/>
  <c r="H23" s="1"/>
  <c r="F22"/>
  <c r="H22" s="1"/>
  <c r="F21"/>
  <c r="I21" s="1"/>
  <c r="F20"/>
  <c r="I20" s="1"/>
  <c r="F19"/>
  <c r="H19" s="1"/>
  <c r="E18"/>
  <c r="F18" s="1"/>
  <c r="F17"/>
  <c r="I17" s="1"/>
  <c r="F16"/>
  <c r="I16" s="1"/>
  <c r="H40" l="1"/>
  <c r="I40"/>
  <c r="H37"/>
  <c r="H17"/>
  <c r="H39"/>
  <c r="H21"/>
  <c r="I82"/>
  <c r="I81"/>
  <c r="I58"/>
  <c r="I55"/>
  <c r="I48"/>
  <c r="I38"/>
  <c r="I27"/>
  <c r="H18"/>
  <c r="I18"/>
  <c r="H16"/>
  <c r="H20"/>
  <c r="I90" l="1"/>
</calcChain>
</file>

<file path=xl/sharedStrings.xml><?xml version="1.0" encoding="utf-8"?>
<sst xmlns="http://schemas.openxmlformats.org/spreadsheetml/2006/main" count="2554" uniqueCount="271">
  <si>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</si>
  <si>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</si>
  <si>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</si>
  <si>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</si>
  <si>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</si>
  <si>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</si>
  <si>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</si>
  <si>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</si>
  <si>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</si>
  <si>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</si>
  <si>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</si>
  <si>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</si>
  <si>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</si>
  <si>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</si>
  <si>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</si>
  <si>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</si>
  <si>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</si>
  <si>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</si>
  <si>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</si>
  <si>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</si>
  <si>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</si>
  <si>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</si>
  <si>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</si>
  <si>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</si>
  <si>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</si>
  <si>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</si>
  <si>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</si>
  <si>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</si>
  <si>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</si>
  <si>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</si>
  <si>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</si>
  <si>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</si>
  <si>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</si>
  <si>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</si>
  <si>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</si>
  <si>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</si>
  <si>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</si>
  <si>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</si>
  <si>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</si>
  <si>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</si>
  <si>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</si>
  <si>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</si>
  <si>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</si>
  <si>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</si>
  <si>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</si>
  <si>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</si>
  <si>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</si>
  <si>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</si>
  <si>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</si>
  <si>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</si>
  <si>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</si>
  <si>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</si>
  <si>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</si>
  <si>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</si>
  <si>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</si>
  <si>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</si>
  <si>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</si>
  <si>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</si>
  <si>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</si>
  <si>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</si>
  <si>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</si>
  <si>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</si>
  <si>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</si>
  <si>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</si>
  <si>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</si>
  <si>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</si>
  <si>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</si>
  <si>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</si>
  <si>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70 раз за сезон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</si>
  <si>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</si>
  <si>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</si>
  <si>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</si>
  <si>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</si>
  <si>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</si>
  <si>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</si>
  <si>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</si>
  <si>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</si>
  <si>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</si>
  <si>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</si>
  <si>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</si>
  <si>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</si>
  <si>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</si>
  <si>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</si>
  <si>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</si>
  <si>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</si>
  <si>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</si>
  <si>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генеральный директор Куканов Ю.Л.</t>
  </si>
  <si>
    <t>шт</t>
  </si>
  <si>
    <t>Дератизация</t>
  </si>
  <si>
    <t>Влажная протирка перил</t>
  </si>
  <si>
    <t>100м2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</si>
  <si>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</si>
  <si>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</si>
  <si>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</si>
  <si>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</si>
  <si>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Снятие показаний эл.счетчика коммунального назначения</t>
  </si>
  <si>
    <t>1 шт</t>
  </si>
  <si>
    <t>Влажная протирка почтовых ящиков</t>
  </si>
  <si>
    <t>Влажная протирка шкафов для щитов и слаботочных устройств</t>
  </si>
  <si>
    <t>Влажное подметание лестничных клеток 2-5 этажа</t>
  </si>
  <si>
    <t>Мытье лестничных  площадок и маршей 1-5 этаж.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</si>
  <si>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</si>
  <si>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</si>
  <si>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</si>
  <si>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</si>
  <si>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</si>
  <si>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155 раз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</si>
  <si>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</si>
  <si>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</si>
  <si>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</si>
  <si>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</si>
  <si>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</si>
  <si>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</si>
  <si>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</si>
  <si>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</si>
  <si>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</si>
  <si>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</si>
  <si>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</si>
  <si>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</si>
  <si>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</si>
  <si>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</si>
  <si>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</si>
  <si>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ул.Мира пгт.Ярега
</t>
  </si>
  <si>
    <t>Мытье окон</t>
  </si>
  <si>
    <t>10м2</t>
  </si>
  <si>
    <t xml:space="preserve">1 раз в год     </t>
  </si>
  <si>
    <t xml:space="preserve">1 раз в год    </t>
  </si>
  <si>
    <t>30 раз за сезон</t>
  </si>
  <si>
    <t>Лестничная клетка</t>
  </si>
  <si>
    <t>Установка пружин на входных дверях</t>
  </si>
  <si>
    <t>Смена плавкой вставки в электрощитке</t>
  </si>
  <si>
    <t>Замена ламп ДРЛ</t>
  </si>
  <si>
    <t>АКТ №1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</si>
  <si>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</si>
  <si>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</si>
  <si>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</si>
  <si>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</si>
  <si>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</si>
  <si>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Итого затраты за месяц</t>
  </si>
  <si>
    <t>АКТ №2</t>
  </si>
  <si>
    <t>АКТ №3</t>
  </si>
  <si>
    <t>Работа автовышки</t>
  </si>
  <si>
    <t>маш/час</t>
  </si>
  <si>
    <t>АКТ №4</t>
  </si>
  <si>
    <t>III. Содержание общего имущества МКД</t>
  </si>
  <si>
    <t>IV. Прочие услуги</t>
  </si>
  <si>
    <t>АКТ №5</t>
  </si>
  <si>
    <t>АКТ №6</t>
  </si>
  <si>
    <t>АКТ №7</t>
  </si>
  <si>
    <t>АКТ №8</t>
  </si>
  <si>
    <t>АКТ №9</t>
  </si>
  <si>
    <t>АКТ №10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</si>
  <si>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ул.Мира, д.5</t>
    </r>
  </si>
  <si>
    <t>АКТ №11</t>
  </si>
  <si>
    <t>Ремонт штукатурки внутренних стен по камню и бетону цементно-известковым раствором площадью до 1 м2 толщиной слоя до 20 мм</t>
  </si>
  <si>
    <t>10 м2</t>
  </si>
  <si>
    <t>АКТ №12</t>
  </si>
  <si>
    <t>100 кв.</t>
  </si>
  <si>
    <t>Ремонт поверхности кирпичных стен при глубине заделки в 1 кирпич площадью в одном месте до 1 м2</t>
  </si>
  <si>
    <t>ООО «Движение»</t>
  </si>
  <si>
    <r>
      <t xml:space="preserve">    Собственники   помещений   в  многоквартирном  доме,  расположенном  по  адресу:  пгт.Ярега,  ул.Мира,  д.5,  именуемые  в  дальнейшем 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14.05.2013г.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</si>
  <si>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Очистка вручную от снега и наледи люков каналиационных и водопроводных колодцев</t>
  </si>
  <si>
    <t>за период с 01.01.2019 г. по 31.01.2019 г.</t>
  </si>
  <si>
    <t>Закрыли чердачные люки</t>
  </si>
  <si>
    <t>за период с 01.02.2019 г. по 28.02.2019 г.</t>
  </si>
  <si>
    <t>Установка хомута диаметром до 50 мм</t>
  </si>
  <si>
    <t>за период с 01.03.2019 г. по 31.03.2019 г.</t>
  </si>
  <si>
    <t>Смена плипропиленовых канализационных труб ПП 50*2000</t>
  </si>
  <si>
    <t>Муфта 50</t>
  </si>
  <si>
    <t>Переход чугун-пластик 50</t>
  </si>
  <si>
    <t>Манжета 73*50</t>
  </si>
  <si>
    <t>Собрали кухонный стоя</t>
  </si>
  <si>
    <t>Герметизация стыков трубопроводов</t>
  </si>
  <si>
    <t>1 место</t>
  </si>
  <si>
    <t>Смена патронов</t>
  </si>
  <si>
    <t>Внеплановый осмотр кровель из штучных материалов</t>
  </si>
  <si>
    <t>за период с 01.04.2019 г. по 30.04.2019 г.</t>
  </si>
  <si>
    <t>Заменили подвод к полотенцесушителю</t>
  </si>
  <si>
    <t>Осмотр водопроводов, канализации, отопления в квартирах</t>
  </si>
  <si>
    <t>за период с 01.05.2019 г. по 31.05.2019 г.</t>
  </si>
  <si>
    <t>Смена внутренних трубопроводов на полипропиленовые трубы PN 25 Dу 20</t>
  </si>
  <si>
    <t>м</t>
  </si>
  <si>
    <t>Осмотр электросетей, армазуры и электрооборудования на лестничных клетках</t>
  </si>
  <si>
    <t>за период с 01.06.2019 г. по 30.06.2019 г.</t>
  </si>
  <si>
    <t>Ремонт отдельных мест покрытия из асбоцементных листов обыкновенного профиля(и ремонт разделки слухового окна)</t>
  </si>
  <si>
    <t>Организация и содержание мест накопления ТКО</t>
  </si>
  <si>
    <t>13 раз</t>
  </si>
  <si>
    <t>8 раз</t>
  </si>
  <si>
    <t>2 раза</t>
  </si>
  <si>
    <t xml:space="preserve">1 раз </t>
  </si>
  <si>
    <t>1 раз</t>
  </si>
  <si>
    <t>21 раз</t>
  </si>
  <si>
    <t>5 раз</t>
  </si>
  <si>
    <t>25 раз</t>
  </si>
  <si>
    <t>11 раз</t>
  </si>
  <si>
    <t>7 раз</t>
  </si>
  <si>
    <t>3 шт</t>
  </si>
  <si>
    <t xml:space="preserve">1 раз   </t>
  </si>
  <si>
    <t xml:space="preserve">1 раз    </t>
  </si>
  <si>
    <t xml:space="preserve">1 раз     </t>
  </si>
  <si>
    <t>3 раза</t>
  </si>
  <si>
    <t>2 шт</t>
  </si>
  <si>
    <t>Закрыли слуховое окно</t>
  </si>
  <si>
    <t>Смена арматуры - вентилей и клапанов обратных муфтовых диаметром до 20 мм ( без материалов)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</si>
  <si>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</si>
  <si>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</si>
  <si>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за период с 01.08.2019 г. по 31.08.2019 г.</t>
  </si>
  <si>
    <t xml:space="preserve">Смена прокладок </t>
  </si>
  <si>
    <t>Очистка канализационной сети внутренней</t>
  </si>
  <si>
    <t>Осмотр кровель из штучных материалов</t>
  </si>
  <si>
    <t>4,5 м2</t>
  </si>
  <si>
    <t>1 маш/час</t>
  </si>
  <si>
    <t>2м</t>
  </si>
  <si>
    <t>17,31м2</t>
  </si>
  <si>
    <t>9,24м2</t>
  </si>
  <si>
    <t>Водоснабжение и канализация</t>
  </si>
  <si>
    <t>Техническое обслуживание внутренних сетей водопровода и канализации</t>
  </si>
  <si>
    <t>руб/м2 в мес</t>
  </si>
  <si>
    <t>2. Всего за период с 01.01.2019 по 31.01.2019 выполнено работ (оказано услуг) на общую сумму: 48731,52 руб.</t>
  </si>
  <si>
    <t>(сорок восемь тысяч семьсот тридцать один рубль 52 копейки)</t>
  </si>
  <si>
    <t>2. Всего за период с 01.02.2019 по 28.02.2019 выполнено работ (оказано услуг) на общую сумму: 42957,49 руб.</t>
  </si>
  <si>
    <t>(сорок две тысячи девятьсот пятьдесят семь рублей 49 копеек)</t>
  </si>
  <si>
    <t>2. Всего за период с 01.03.2019 по 31.03.2019 выполнено работ (оказано услуг) на общую сумму: 68980,59 руб.</t>
  </si>
  <si>
    <t>(шестьдесят восемь тысяч девятьсот восемьдесят рублей 59 копеек)</t>
  </si>
  <si>
    <t>2. Всего за период с 01.04.2019 по 30.04.2019 выполнено работ (оказано услуг) на общую сумму: 42753,22 руб.</t>
  </si>
  <si>
    <t>(сорок две тысячи семьсот пятьдесят три рубля 22 копейки)</t>
  </si>
  <si>
    <t>2. Всего за период с 01.05.2019 по 31.05.2019 выполнено работ (оказано услуг) на общую сумму: 45057,79 руб.</t>
  </si>
  <si>
    <t>(сорок пять тысяч пятьдесят семь рублей 79 копеек)</t>
  </si>
  <si>
    <t>2. Всего за период с 01.06.2019 по 30.06.2019 выполнено работ (оказано услуг) на общую сумму: 100409,17 руб.</t>
  </si>
  <si>
    <t>(сто тысяч четыреста девять рублей 17 копеек)</t>
  </si>
  <si>
    <t>2. Всего за период с 01.07.2019 по 31.07.2019 выполнено работ (оказано услуг) на общую сумму: 33980,78 руб.</t>
  </si>
  <si>
    <t>(тридцать три тысячи девятьсот восемьдесят рублей 78 копеек)</t>
  </si>
  <si>
    <t>2. Всего за период с 01.08.2019 по 31.08.2019 выполнено работ (оказано услуг) на общую сумму: 35063,14 руб.</t>
  </si>
  <si>
    <t>(тридцать пять тысяч шестьдесят три рубля 14 копеек)</t>
  </si>
  <si>
    <t>за период с 01.09.2019 г. по 30.09.2019 г.</t>
  </si>
  <si>
    <t>100шт</t>
  </si>
  <si>
    <t>ГВС, кв.12</t>
  </si>
  <si>
    <t>2. Всего за период с 01.09.2019 по 30.09.2019 выполнено работ (оказано услуг) на общую сумму: 35472,58 руб.</t>
  </si>
  <si>
    <t>(тридцать пять тысяч четыреста семьдесят два рубля 58 копеек)</t>
  </si>
  <si>
    <t>за период с 01.10.2019 г. по 31.10.2019 г.</t>
  </si>
  <si>
    <t>Заложили шахту после работ ВДИС</t>
  </si>
  <si>
    <t>кв.12</t>
  </si>
  <si>
    <t>ГВС между 36 и 33 кв.</t>
  </si>
  <si>
    <t>2 м ГВС кв.12</t>
  </si>
  <si>
    <t>3 под.</t>
  </si>
  <si>
    <t>Смена внутренних трубопроводов на полипропиленовые трубы PN 25 Dу 25</t>
  </si>
  <si>
    <t>2. Всего за период с 01.10.2019 по 31.10.2019 выполнено работ (оказано услуг) на общую сумму: 34911,88 руб.</t>
  </si>
  <si>
    <t>(тридцать четыре тысячи девятьсот одиннадцать рублей 88 копеек)</t>
  </si>
  <si>
    <t>за период с 01.11.2019 г. по 30.11.2019 г.</t>
  </si>
  <si>
    <t>Внеплановая проверка вентканалов</t>
  </si>
  <si>
    <t>кв.1</t>
  </si>
  <si>
    <t>ГВС со 2-го по 5-й этаж, 8м</t>
  </si>
  <si>
    <t>ГВС со 2-го по 5-й этаж,10м</t>
  </si>
  <si>
    <t>кв.27 ГВС,ГВС подвал</t>
  </si>
  <si>
    <t>2. Всего за период с 01.11.2019 по 30.11.2019 выполнено работ (оказано услуг) на общую сумму: 70862,67 руб.</t>
  </si>
  <si>
    <t>(семьдесят тысяч восемьсот шестьдесят два рубля 67 копеек)</t>
  </si>
  <si>
    <t>за период с 01.12.2019 г. по 31.12.2019 г.</t>
  </si>
  <si>
    <t>Обработка швов в подвале монтажной пеной</t>
  </si>
  <si>
    <t>100 м шва</t>
  </si>
  <si>
    <t>Закрыли продухи (УРСА)</t>
  </si>
  <si>
    <t>Изготовление и установка жалюзийных решеток на слуховые окна</t>
  </si>
  <si>
    <t>руб</t>
  </si>
  <si>
    <t>2 часа</t>
  </si>
  <si>
    <t>25 м.п.</t>
  </si>
  <si>
    <t>1,5 м2</t>
  </si>
  <si>
    <t>Смена арматуры - вентилей и клапанов обратных муфтовых диаметром до 20 мм</t>
  </si>
  <si>
    <t>под.№1 ГВС подвал</t>
  </si>
  <si>
    <t>кв.44</t>
  </si>
  <si>
    <t>2. Всего за период с 01.12.2019 по 31.12.2019 выполнено работ (оказано услуг) на общую сумму: 60080,80 руб.</t>
  </si>
  <si>
    <t>(шстьдесят тысяч восемьдесят рублей 80 копеек)</t>
  </si>
  <si>
    <t>за период с 01.07.2019 г. по 31.07.2019 г.</t>
  </si>
</sst>
</file>

<file path=xl/styles.xml><?xml version="1.0" encoding="utf-8"?>
<styleSheet xmlns="http://schemas.openxmlformats.org/spreadsheetml/2006/main">
  <numFmts count="1">
    <numFmt numFmtId="164" formatCode="#,##0.00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11" fillId="2" borderId="10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4" fillId="0" borderId="0" xfId="0" applyFont="1"/>
    <xf numFmtId="0" fontId="11" fillId="0" borderId="0" xfId="0" applyFont="1" applyAlignment="1">
      <alignment wrapText="1"/>
    </xf>
    <xf numFmtId="0" fontId="11" fillId="0" borderId="0" xfId="0" applyFont="1" applyBorder="1" applyAlignment="1">
      <alignment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4" fontId="19" fillId="2" borderId="0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6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1"/>
  <sheetViews>
    <sheetView topLeftCell="A7" workbookViewId="0">
      <selection activeCell="B78" sqref="B78:I7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5" t="s">
        <v>132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122</v>
      </c>
      <c r="B4" s="166"/>
      <c r="C4" s="166"/>
      <c r="D4" s="166"/>
      <c r="E4" s="166"/>
      <c r="F4" s="166"/>
      <c r="G4" s="166"/>
      <c r="H4" s="166"/>
      <c r="I4" s="166"/>
    </row>
    <row r="5" spans="1:13" ht="15.75" customHeight="1">
      <c r="A5" s="165" t="s">
        <v>162</v>
      </c>
      <c r="B5" s="169"/>
      <c r="C5" s="169"/>
      <c r="D5" s="169"/>
      <c r="E5" s="169"/>
      <c r="F5" s="169"/>
      <c r="G5" s="169"/>
      <c r="H5" s="169"/>
      <c r="I5" s="169"/>
      <c r="J5" s="2"/>
      <c r="K5" s="2"/>
      <c r="L5" s="2"/>
      <c r="M5" s="2"/>
    </row>
    <row r="6" spans="1:13" ht="15.75" customHeight="1">
      <c r="A6" s="2"/>
      <c r="B6" s="60"/>
      <c r="C6" s="60"/>
      <c r="D6" s="60"/>
      <c r="E6" s="60"/>
      <c r="F6" s="76"/>
      <c r="G6" s="60"/>
      <c r="H6" s="76"/>
      <c r="I6" s="32">
        <v>43496</v>
      </c>
      <c r="J6" s="2"/>
      <c r="K6" s="2"/>
      <c r="L6" s="2"/>
      <c r="M6" s="2"/>
    </row>
    <row r="7" spans="1:13" ht="15.75" customHeight="1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7" t="s">
        <v>160</v>
      </c>
      <c r="B8" s="167"/>
      <c r="C8" s="167"/>
      <c r="D8" s="167"/>
      <c r="E8" s="167"/>
      <c r="F8" s="167"/>
      <c r="G8" s="167"/>
      <c r="H8" s="167"/>
      <c r="I8" s="167"/>
      <c r="J8" s="61"/>
      <c r="K8" s="61"/>
      <c r="L8" s="61"/>
      <c r="M8" s="61"/>
    </row>
    <row r="9" spans="1:13" ht="15.75">
      <c r="A9" s="4"/>
      <c r="J9" s="2"/>
      <c r="K9" s="2"/>
      <c r="L9" s="2"/>
      <c r="M9" s="2"/>
    </row>
    <row r="10" spans="1:13" ht="47.25" customHeight="1">
      <c r="A10" s="168" t="s">
        <v>152</v>
      </c>
      <c r="B10" s="168"/>
      <c r="C10" s="168"/>
      <c r="D10" s="168"/>
      <c r="E10" s="168"/>
      <c r="F10" s="168"/>
      <c r="G10" s="168"/>
      <c r="H10" s="168"/>
      <c r="I10" s="16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59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1">
        <v>1</v>
      </c>
      <c r="B16" s="93" t="s">
        <v>85</v>
      </c>
      <c r="C16" s="94" t="s">
        <v>90</v>
      </c>
      <c r="D16" s="93" t="s">
        <v>186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7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99</v>
      </c>
      <c r="C17" s="94" t="s">
        <v>90</v>
      </c>
      <c r="D17" s="93" t="s">
        <v>187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100</v>
      </c>
      <c r="C18" s="94" t="s">
        <v>90</v>
      </c>
      <c r="D18" s="93" t="s">
        <v>188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123</v>
      </c>
      <c r="C19" s="94" t="s">
        <v>124</v>
      </c>
      <c r="D19" s="93" t="s">
        <v>125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89</v>
      </c>
      <c r="C20" s="94" t="s">
        <v>90</v>
      </c>
      <c r="D20" s="93" t="s">
        <v>189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97</v>
      </c>
      <c r="C21" s="94" t="s">
        <v>90</v>
      </c>
      <c r="D21" s="93" t="s">
        <v>190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91</v>
      </c>
      <c r="C22" s="94" t="s">
        <v>53</v>
      </c>
      <c r="D22" s="93" t="s">
        <v>125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92</v>
      </c>
      <c r="C23" s="94" t="s">
        <v>53</v>
      </c>
      <c r="D23" s="93" t="s">
        <v>125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93</v>
      </c>
      <c r="C24" s="94" t="s">
        <v>53</v>
      </c>
      <c r="D24" s="93" t="s">
        <v>126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98</v>
      </c>
      <c r="C25" s="94" t="s">
        <v>90</v>
      </c>
      <c r="D25" s="93" t="s">
        <v>54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94</v>
      </c>
      <c r="C26" s="94" t="s">
        <v>53</v>
      </c>
      <c r="D26" s="93" t="s">
        <v>125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185</v>
      </c>
      <c r="C27" s="40" t="s">
        <v>25</v>
      </c>
      <c r="D27" s="34" t="s">
        <v>191</v>
      </c>
      <c r="E27" s="140">
        <v>4.83</v>
      </c>
      <c r="F27" s="127">
        <f>SUM(E27*258)</f>
        <v>1246.1400000000001</v>
      </c>
      <c r="G27" s="127">
        <v>10.39</v>
      </c>
      <c r="H27" s="97">
        <f t="shared" si="0"/>
        <v>12.947394600000001</v>
      </c>
      <c r="I27" s="13">
        <f>F27/12*G27</f>
        <v>1078.9495500000003</v>
      </c>
      <c r="J27" s="8"/>
      <c r="K27" s="8"/>
      <c r="L27" s="8"/>
      <c r="M27" s="8"/>
    </row>
    <row r="28" spans="1:13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  <c r="J28" s="24"/>
      <c r="K28" s="8"/>
      <c r="L28" s="8"/>
      <c r="M28" s="8"/>
    </row>
    <row r="29" spans="1:13" ht="15.75" hidden="1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hidden="1" customHeight="1">
      <c r="A30" s="41">
        <v>2</v>
      </c>
      <c r="B30" s="93" t="s">
        <v>101</v>
      </c>
      <c r="C30" s="94" t="s">
        <v>102</v>
      </c>
      <c r="D30" s="93" t="s">
        <v>103</v>
      </c>
      <c r="E30" s="96">
        <v>1167.4000000000001</v>
      </c>
      <c r="F30" s="96">
        <f>SUM(E30*52/1000)</f>
        <v>60.704800000000006</v>
      </c>
      <c r="G30" s="96">
        <v>155.88999999999999</v>
      </c>
      <c r="H30" s="97">
        <f t="shared" ref="H30:H32" si="1">SUM(F30*G30/1000)</f>
        <v>9.4632712720000001</v>
      </c>
      <c r="I30" s="13">
        <v>0</v>
      </c>
      <c r="J30" s="24"/>
      <c r="K30" s="8"/>
      <c r="L30" s="8"/>
      <c r="M30" s="8"/>
    </row>
    <row r="31" spans="1:13" ht="31.5" hidden="1" customHeight="1">
      <c r="A31" s="41">
        <v>3</v>
      </c>
      <c r="B31" s="93" t="s">
        <v>136</v>
      </c>
      <c r="C31" s="94" t="s">
        <v>102</v>
      </c>
      <c r="D31" s="93" t="s">
        <v>104</v>
      </c>
      <c r="E31" s="96">
        <v>540.04999999999995</v>
      </c>
      <c r="F31" s="96">
        <f>SUM(E31*78/1000)</f>
        <v>42.123899999999992</v>
      </c>
      <c r="G31" s="96">
        <v>258.63</v>
      </c>
      <c r="H31" s="97">
        <f t="shared" si="1"/>
        <v>10.894504256999998</v>
      </c>
      <c r="I31" s="13">
        <v>0</v>
      </c>
      <c r="J31" s="24"/>
      <c r="K31" s="8"/>
      <c r="L31" s="8"/>
      <c r="M31" s="8"/>
    </row>
    <row r="32" spans="1:13" ht="15.75" hidden="1" customHeight="1">
      <c r="A32" s="41">
        <v>4</v>
      </c>
      <c r="B32" s="93" t="s">
        <v>27</v>
      </c>
      <c r="C32" s="94" t="s">
        <v>102</v>
      </c>
      <c r="D32" s="93" t="s">
        <v>54</v>
      </c>
      <c r="E32" s="96">
        <v>1167.4000000000001</v>
      </c>
      <c r="F32" s="96">
        <f>SUM(E32/1000)</f>
        <v>1.1674</v>
      </c>
      <c r="G32" s="96">
        <v>3020.33</v>
      </c>
      <c r="H32" s="97">
        <f t="shared" si="1"/>
        <v>3.5259332420000002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5</v>
      </c>
      <c r="B33" s="93" t="s">
        <v>105</v>
      </c>
      <c r="C33" s="94" t="s">
        <v>30</v>
      </c>
      <c r="D33" s="93" t="s">
        <v>63</v>
      </c>
      <c r="E33" s="100">
        <v>0.33333333333333331</v>
      </c>
      <c r="F33" s="96">
        <f>155/3</f>
        <v>51.666666666666664</v>
      </c>
      <c r="G33" s="96">
        <v>56.69</v>
      </c>
      <c r="H33" s="97">
        <f>SUM(G33*155/3/1000)</f>
        <v>2.9289833333333331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4</v>
      </c>
      <c r="B34" s="93" t="s">
        <v>64</v>
      </c>
      <c r="C34" s="94" t="s">
        <v>32</v>
      </c>
      <c r="D34" s="93" t="s">
        <v>65</v>
      </c>
      <c r="E34" s="95"/>
      <c r="F34" s="96">
        <v>3</v>
      </c>
      <c r="G34" s="96">
        <v>191.32</v>
      </c>
      <c r="H34" s="97">
        <f t="shared" ref="H34" si="2">SUM(F34*G34/1000)</f>
        <v>0.57396000000000003</v>
      </c>
      <c r="I34" s="13">
        <v>0</v>
      </c>
      <c r="J34" s="24"/>
      <c r="K34" s="8"/>
      <c r="L34" s="8"/>
      <c r="M34" s="8"/>
    </row>
    <row r="35" spans="1:13" ht="15.75" customHeight="1">
      <c r="A35" s="41"/>
      <c r="B35" s="49" t="s">
        <v>5</v>
      </c>
      <c r="C35" s="49"/>
      <c r="D35" s="49"/>
      <c r="E35" s="13"/>
      <c r="F35" s="13"/>
      <c r="G35" s="14"/>
      <c r="H35" s="14"/>
      <c r="I35" s="19"/>
      <c r="J35" s="24"/>
      <c r="K35" s="8"/>
      <c r="L35" s="8"/>
      <c r="M35" s="8"/>
    </row>
    <row r="36" spans="1:13" ht="15.75" customHeight="1">
      <c r="A36" s="41">
        <v>7</v>
      </c>
      <c r="B36" s="93" t="s">
        <v>26</v>
      </c>
      <c r="C36" s="94" t="s">
        <v>31</v>
      </c>
      <c r="D36" s="93"/>
      <c r="E36" s="95"/>
      <c r="F36" s="96">
        <v>6</v>
      </c>
      <c r="G36" s="96">
        <v>1527.2</v>
      </c>
      <c r="H36" s="97">
        <f t="shared" ref="H36:H41" si="3">SUM(F36*G36/1000)</f>
        <v>9.1632000000000016</v>
      </c>
      <c r="I36" s="13">
        <f>G36*1.11</f>
        <v>1695.1920000000002</v>
      </c>
      <c r="J36" s="24"/>
      <c r="K36" s="8"/>
      <c r="L36" s="8"/>
      <c r="M36" s="8"/>
    </row>
    <row r="37" spans="1:13" ht="15.75" customHeight="1">
      <c r="A37" s="35">
        <v>8</v>
      </c>
      <c r="B37" s="93" t="s">
        <v>66</v>
      </c>
      <c r="C37" s="94" t="s">
        <v>29</v>
      </c>
      <c r="D37" s="93" t="s">
        <v>192</v>
      </c>
      <c r="E37" s="96">
        <v>1080.0999999999999</v>
      </c>
      <c r="F37" s="96">
        <f>SUM(E37*30/1000)</f>
        <v>32.402999999999999</v>
      </c>
      <c r="G37" s="96">
        <v>2102.6999999999998</v>
      </c>
      <c r="H37" s="97">
        <f t="shared" si="3"/>
        <v>68.13378809999999</v>
      </c>
      <c r="I37" s="13">
        <f t="shared" ref="I37:I39" si="4">F37/6*G37</f>
        <v>11355.63135</v>
      </c>
      <c r="J37" s="24"/>
      <c r="K37" s="8"/>
      <c r="L37" s="8"/>
      <c r="M37" s="8"/>
    </row>
    <row r="38" spans="1:13" ht="15.75" customHeight="1">
      <c r="A38" s="35">
        <v>9</v>
      </c>
      <c r="B38" s="93" t="s">
        <v>67</v>
      </c>
      <c r="C38" s="94" t="s">
        <v>29</v>
      </c>
      <c r="D38" s="93" t="s">
        <v>193</v>
      </c>
      <c r="E38" s="96">
        <v>45</v>
      </c>
      <c r="F38" s="96">
        <f>SUM(E38*155/1000)</f>
        <v>6.9749999999999996</v>
      </c>
      <c r="G38" s="96">
        <v>350.75</v>
      </c>
      <c r="H38" s="97">
        <f t="shared" si="3"/>
        <v>2.4464812499999997</v>
      </c>
      <c r="I38" s="13">
        <f t="shared" si="4"/>
        <v>407.74687499999993</v>
      </c>
      <c r="J38" s="24"/>
      <c r="K38" s="8"/>
      <c r="L38" s="8"/>
      <c r="M38" s="8"/>
    </row>
    <row r="39" spans="1:13" ht="47.25" customHeight="1">
      <c r="A39" s="35">
        <v>10</v>
      </c>
      <c r="B39" s="93" t="s">
        <v>82</v>
      </c>
      <c r="C39" s="94" t="s">
        <v>102</v>
      </c>
      <c r="D39" s="93" t="s">
        <v>194</v>
      </c>
      <c r="E39" s="96">
        <v>45</v>
      </c>
      <c r="F39" s="96">
        <f>SUM(E39*70/1000)</f>
        <v>3.15</v>
      </c>
      <c r="G39" s="96">
        <v>5803.28</v>
      </c>
      <c r="H39" s="97">
        <f t="shared" si="3"/>
        <v>18.280331999999998</v>
      </c>
      <c r="I39" s="13">
        <f t="shared" si="4"/>
        <v>3046.7220000000002</v>
      </c>
      <c r="J39" s="24"/>
      <c r="K39" s="8"/>
      <c r="L39" s="8"/>
      <c r="M39" s="8"/>
    </row>
    <row r="40" spans="1:13" ht="15.75" customHeight="1">
      <c r="A40" s="35">
        <v>11</v>
      </c>
      <c r="B40" s="93" t="s">
        <v>107</v>
      </c>
      <c r="C40" s="94" t="s">
        <v>102</v>
      </c>
      <c r="D40" s="93" t="s">
        <v>195</v>
      </c>
      <c r="E40" s="96">
        <v>45</v>
      </c>
      <c r="F40" s="96">
        <f>SUM(E40*45/1000)</f>
        <v>2.0249999999999999</v>
      </c>
      <c r="G40" s="96">
        <v>428.7</v>
      </c>
      <c r="H40" s="97">
        <f t="shared" si="3"/>
        <v>0.86811749999999999</v>
      </c>
      <c r="I40" s="13">
        <f>F40/7.5*G40</f>
        <v>115.74899999999998</v>
      </c>
      <c r="J40" s="24"/>
      <c r="K40" s="8"/>
      <c r="L40" s="8"/>
      <c r="M40" s="8"/>
    </row>
    <row r="41" spans="1:13" ht="15.75" customHeight="1">
      <c r="A41" s="35">
        <v>12</v>
      </c>
      <c r="B41" s="93" t="s">
        <v>70</v>
      </c>
      <c r="C41" s="94" t="s">
        <v>32</v>
      </c>
      <c r="D41" s="93"/>
      <c r="E41" s="95"/>
      <c r="F41" s="96">
        <v>0.6</v>
      </c>
      <c r="G41" s="96">
        <v>798</v>
      </c>
      <c r="H41" s="97">
        <f t="shared" si="3"/>
        <v>0.47879999999999995</v>
      </c>
      <c r="I41" s="13">
        <f>F41/7.5*G41</f>
        <v>63.84</v>
      </c>
      <c r="J41" s="24"/>
      <c r="K41" s="8"/>
      <c r="L41" s="8"/>
      <c r="M41" s="8"/>
    </row>
    <row r="42" spans="1:13" ht="15.75" customHeight="1">
      <c r="A42" s="155" t="s">
        <v>133</v>
      </c>
      <c r="B42" s="156"/>
      <c r="C42" s="156"/>
      <c r="D42" s="156"/>
      <c r="E42" s="156"/>
      <c r="F42" s="156"/>
      <c r="G42" s="156"/>
      <c r="H42" s="156"/>
      <c r="I42" s="157"/>
      <c r="J42" s="24"/>
      <c r="K42" s="8"/>
      <c r="L42" s="8"/>
      <c r="M42" s="8"/>
    </row>
    <row r="43" spans="1:13" ht="15.75" hidden="1" customHeight="1">
      <c r="A43" s="41">
        <v>15</v>
      </c>
      <c r="B43" s="93" t="s">
        <v>108</v>
      </c>
      <c r="C43" s="94" t="s">
        <v>102</v>
      </c>
      <c r="D43" s="93" t="s">
        <v>42</v>
      </c>
      <c r="E43" s="95">
        <v>965.8</v>
      </c>
      <c r="F43" s="96">
        <f>SUM(E43*2/1000)</f>
        <v>1.9316</v>
      </c>
      <c r="G43" s="13">
        <v>849.49</v>
      </c>
      <c r="H43" s="97">
        <f t="shared" ref="H43:H52" si="5">SUM(F43*G43/1000)</f>
        <v>1.640874884</v>
      </c>
      <c r="I43" s="13">
        <v>0</v>
      </c>
      <c r="J43" s="24"/>
      <c r="K43" s="8"/>
    </row>
    <row r="44" spans="1:13" ht="15.75" hidden="1" customHeight="1">
      <c r="A44" s="41">
        <v>16</v>
      </c>
      <c r="B44" s="93" t="s">
        <v>35</v>
      </c>
      <c r="C44" s="94" t="s">
        <v>102</v>
      </c>
      <c r="D44" s="93" t="s">
        <v>42</v>
      </c>
      <c r="E44" s="95">
        <v>36</v>
      </c>
      <c r="F44" s="96">
        <f>SUM(E44*2/1000)</f>
        <v>7.1999999999999995E-2</v>
      </c>
      <c r="G44" s="13">
        <v>579.48</v>
      </c>
      <c r="H44" s="97">
        <f t="shared" si="5"/>
        <v>4.1722559999999999E-2</v>
      </c>
      <c r="I44" s="13">
        <v>0</v>
      </c>
      <c r="J44" s="25"/>
    </row>
    <row r="45" spans="1:13" ht="15.75" hidden="1" customHeight="1">
      <c r="A45" s="41">
        <v>17</v>
      </c>
      <c r="B45" s="93" t="s">
        <v>36</v>
      </c>
      <c r="C45" s="94" t="s">
        <v>102</v>
      </c>
      <c r="D45" s="93" t="s">
        <v>42</v>
      </c>
      <c r="E45" s="95">
        <v>1197.7</v>
      </c>
      <c r="F45" s="96">
        <f>SUM(E45*2/1000)</f>
        <v>2.3954</v>
      </c>
      <c r="G45" s="13">
        <v>579.48</v>
      </c>
      <c r="H45" s="97">
        <f t="shared" si="5"/>
        <v>1.3880863919999999</v>
      </c>
      <c r="I45" s="13">
        <v>0</v>
      </c>
      <c r="J45" s="25"/>
    </row>
    <row r="46" spans="1:13" ht="15.75" hidden="1" customHeight="1">
      <c r="A46" s="41"/>
      <c r="B46" s="93" t="s">
        <v>37</v>
      </c>
      <c r="C46" s="94" t="s">
        <v>102</v>
      </c>
      <c r="D46" s="93" t="s">
        <v>42</v>
      </c>
      <c r="E46" s="95">
        <v>2275.92</v>
      </c>
      <c r="F46" s="96">
        <f>SUM(E46*2/1000)</f>
        <v>4.5518400000000003</v>
      </c>
      <c r="G46" s="13">
        <v>606.77</v>
      </c>
      <c r="H46" s="97">
        <f t="shared" si="5"/>
        <v>2.7619199567999999</v>
      </c>
      <c r="I46" s="13">
        <v>0</v>
      </c>
      <c r="J46" s="25"/>
    </row>
    <row r="47" spans="1:13" ht="15.75" hidden="1" customHeight="1">
      <c r="A47" s="41">
        <v>18</v>
      </c>
      <c r="B47" s="93" t="s">
        <v>33</v>
      </c>
      <c r="C47" s="94" t="s">
        <v>34</v>
      </c>
      <c r="D47" s="93" t="s">
        <v>42</v>
      </c>
      <c r="E47" s="95">
        <v>81.709999999999994</v>
      </c>
      <c r="F47" s="96">
        <f>SUM(E47*2/100)</f>
        <v>1.6341999999999999</v>
      </c>
      <c r="G47" s="13">
        <v>68.56</v>
      </c>
      <c r="H47" s="97">
        <f t="shared" si="5"/>
        <v>0.11204075199999999</v>
      </c>
      <c r="I47" s="13">
        <v>0</v>
      </c>
      <c r="J47" s="25"/>
    </row>
    <row r="48" spans="1:13" ht="15.75" customHeight="1">
      <c r="A48" s="41">
        <v>13</v>
      </c>
      <c r="B48" s="93" t="s">
        <v>56</v>
      </c>
      <c r="C48" s="94" t="s">
        <v>102</v>
      </c>
      <c r="D48" s="93" t="s">
        <v>190</v>
      </c>
      <c r="E48" s="95">
        <v>1711.8</v>
      </c>
      <c r="F48" s="96">
        <f>SUM(E48*5/1000)</f>
        <v>8.5589999999999993</v>
      </c>
      <c r="G48" s="13">
        <v>1213.55</v>
      </c>
      <c r="H48" s="97">
        <f t="shared" si="5"/>
        <v>10.386774449999999</v>
      </c>
      <c r="I48" s="13">
        <f>F48/5*G48</f>
        <v>2077.3548899999996</v>
      </c>
      <c r="J48" s="25"/>
    </row>
    <row r="49" spans="1:14" ht="31.5" hidden="1" customHeight="1">
      <c r="A49" s="41">
        <v>10</v>
      </c>
      <c r="B49" s="93" t="s">
        <v>109</v>
      </c>
      <c r="C49" s="94" t="s">
        <v>102</v>
      </c>
      <c r="D49" s="93" t="s">
        <v>42</v>
      </c>
      <c r="E49" s="95">
        <v>1711.8</v>
      </c>
      <c r="F49" s="96">
        <f>SUM(E49*2/1000)</f>
        <v>3.4236</v>
      </c>
      <c r="G49" s="13">
        <v>1213.55</v>
      </c>
      <c r="H49" s="97">
        <f t="shared" si="5"/>
        <v>4.1547097800000001</v>
      </c>
      <c r="I49" s="13">
        <v>0</v>
      </c>
      <c r="J49" s="25"/>
    </row>
    <row r="50" spans="1:14" ht="31.5" hidden="1" customHeight="1">
      <c r="A50" s="41">
        <v>11</v>
      </c>
      <c r="B50" s="93" t="s">
        <v>110</v>
      </c>
      <c r="C50" s="94" t="s">
        <v>38</v>
      </c>
      <c r="D50" s="93" t="s">
        <v>42</v>
      </c>
      <c r="E50" s="95">
        <v>15</v>
      </c>
      <c r="F50" s="96">
        <f>SUM(E50*2/100)</f>
        <v>0.3</v>
      </c>
      <c r="G50" s="13">
        <v>2730.49</v>
      </c>
      <c r="H50" s="97">
        <f t="shared" si="5"/>
        <v>0.81914699999999996</v>
      </c>
      <c r="I50" s="13">
        <v>0</v>
      </c>
      <c r="J50" s="25"/>
    </row>
    <row r="51" spans="1:14" ht="15.75" hidden="1" customHeight="1">
      <c r="A51" s="41">
        <v>12</v>
      </c>
      <c r="B51" s="93" t="s">
        <v>39</v>
      </c>
      <c r="C51" s="94" t="s">
        <v>40</v>
      </c>
      <c r="D51" s="93" t="s">
        <v>42</v>
      </c>
      <c r="E51" s="95">
        <v>1</v>
      </c>
      <c r="F51" s="96">
        <v>0.02</v>
      </c>
      <c r="G51" s="13">
        <v>5322.15</v>
      </c>
      <c r="H51" s="97">
        <f t="shared" si="5"/>
        <v>0.106443</v>
      </c>
      <c r="I51" s="13">
        <v>0</v>
      </c>
      <c r="J51" s="25"/>
      <c r="L51" s="21"/>
      <c r="M51" s="22"/>
      <c r="N51" s="23"/>
    </row>
    <row r="52" spans="1:14" ht="15.75" customHeight="1">
      <c r="A52" s="41">
        <v>14</v>
      </c>
      <c r="B52" s="93" t="s">
        <v>41</v>
      </c>
      <c r="C52" s="94" t="s">
        <v>87</v>
      </c>
      <c r="D52" s="141">
        <v>43488</v>
      </c>
      <c r="E52" s="95">
        <v>90</v>
      </c>
      <c r="F52" s="96">
        <f>SUM(E52)*3</f>
        <v>270</v>
      </c>
      <c r="G52" s="13">
        <v>65.67</v>
      </c>
      <c r="H52" s="97">
        <f t="shared" si="5"/>
        <v>17.730900000000002</v>
      </c>
      <c r="I52" s="13">
        <f>E52*G52</f>
        <v>5910.3</v>
      </c>
      <c r="J52" s="25"/>
      <c r="L52" s="21"/>
      <c r="M52" s="22"/>
      <c r="N52" s="23"/>
    </row>
    <row r="53" spans="1:14" ht="15.75" customHeight="1">
      <c r="A53" s="155" t="s">
        <v>134</v>
      </c>
      <c r="B53" s="156"/>
      <c r="C53" s="156"/>
      <c r="D53" s="156"/>
      <c r="E53" s="156"/>
      <c r="F53" s="156"/>
      <c r="G53" s="156"/>
      <c r="H53" s="156"/>
      <c r="I53" s="157"/>
      <c r="J53" s="25"/>
      <c r="L53" s="21"/>
      <c r="M53" s="22"/>
      <c r="N53" s="23"/>
    </row>
    <row r="54" spans="1:14" ht="15.75" hidden="1" customHeight="1">
      <c r="A54" s="53"/>
      <c r="B54" s="48" t="s">
        <v>43</v>
      </c>
      <c r="C54" s="17"/>
      <c r="D54" s="16"/>
      <c r="E54" s="16"/>
      <c r="F54" s="16"/>
      <c r="G54" s="31"/>
      <c r="H54" s="31"/>
      <c r="I54" s="19"/>
      <c r="J54" s="25"/>
      <c r="L54" s="21"/>
      <c r="M54" s="22"/>
      <c r="N54" s="23"/>
    </row>
    <row r="55" spans="1:14" ht="31.5" hidden="1" customHeight="1">
      <c r="A55" s="41">
        <v>16</v>
      </c>
      <c r="B55" s="93" t="s">
        <v>111</v>
      </c>
      <c r="C55" s="94" t="s">
        <v>90</v>
      </c>
      <c r="D55" s="93" t="s">
        <v>112</v>
      </c>
      <c r="E55" s="95">
        <v>96.58</v>
      </c>
      <c r="F55" s="96">
        <f>SUM(E55*6/100)</f>
        <v>5.7948000000000004</v>
      </c>
      <c r="G55" s="13">
        <v>1547.28</v>
      </c>
      <c r="H55" s="97">
        <f>SUM(F55*G55/1000)</f>
        <v>8.9661781440000006</v>
      </c>
      <c r="I55" s="13">
        <f>F55/6*G55</f>
        <v>1494.3630240000002</v>
      </c>
      <c r="J55" s="25"/>
      <c r="L55" s="21"/>
      <c r="M55" s="22"/>
      <c r="N55" s="23"/>
    </row>
    <row r="56" spans="1:14" ht="15.75" customHeight="1">
      <c r="A56" s="41"/>
      <c r="B56" s="69" t="s">
        <v>44</v>
      </c>
      <c r="C56" s="40"/>
      <c r="D56" s="34"/>
      <c r="E56" s="19"/>
      <c r="F56" s="87"/>
      <c r="G56" s="37"/>
      <c r="H56" s="70"/>
      <c r="I56" s="20"/>
      <c r="J56" s="25"/>
      <c r="L56" s="21"/>
      <c r="M56" s="22"/>
      <c r="N56" s="23"/>
    </row>
    <row r="57" spans="1:14" ht="15.75" hidden="1" customHeight="1">
      <c r="A57" s="41"/>
      <c r="B57" s="93" t="s">
        <v>45</v>
      </c>
      <c r="C57" s="94" t="s">
        <v>90</v>
      </c>
      <c r="D57" s="93" t="s">
        <v>54</v>
      </c>
      <c r="E57" s="95">
        <v>855.9</v>
      </c>
      <c r="F57" s="97">
        <v>8.6</v>
      </c>
      <c r="G57" s="13">
        <v>747.3</v>
      </c>
      <c r="H57" s="101">
        <v>6.4</v>
      </c>
      <c r="I57" s="13">
        <v>0</v>
      </c>
      <c r="J57" s="25"/>
      <c r="L57" s="21"/>
      <c r="M57" s="22"/>
      <c r="N57" s="23"/>
    </row>
    <row r="58" spans="1:14" ht="15.75" customHeight="1">
      <c r="A58" s="41">
        <v>15</v>
      </c>
      <c r="B58" s="34" t="s">
        <v>88</v>
      </c>
      <c r="C58" s="40" t="s">
        <v>25</v>
      </c>
      <c r="D58" s="34" t="s">
        <v>190</v>
      </c>
      <c r="E58" s="126">
        <v>130</v>
      </c>
      <c r="F58" s="127">
        <f>E58*12</f>
        <v>1560</v>
      </c>
      <c r="G58" s="70">
        <v>1.4</v>
      </c>
      <c r="H58" s="128">
        <f>F58*G58/1000</f>
        <v>2.1840000000000002</v>
      </c>
      <c r="I58" s="13">
        <f>F58/12*G58</f>
        <v>182</v>
      </c>
      <c r="J58" s="25"/>
      <c r="L58" s="21"/>
      <c r="M58" s="22"/>
      <c r="N58" s="23"/>
    </row>
    <row r="59" spans="1:14" ht="15.75" hidden="1" customHeight="1">
      <c r="A59" s="41"/>
      <c r="B59" s="69" t="s">
        <v>128</v>
      </c>
      <c r="C59" s="40"/>
      <c r="D59" s="34"/>
      <c r="E59" s="19"/>
      <c r="F59" s="87"/>
      <c r="G59" s="71"/>
      <c r="H59" s="70"/>
      <c r="I59" s="20"/>
      <c r="J59" s="25"/>
      <c r="L59" s="21"/>
      <c r="M59" s="22"/>
      <c r="N59" s="23"/>
    </row>
    <row r="60" spans="1:14" ht="15.75" hidden="1" customHeight="1">
      <c r="A60" s="41"/>
      <c r="B60" s="93" t="s">
        <v>129</v>
      </c>
      <c r="C60" s="94" t="s">
        <v>87</v>
      </c>
      <c r="D60" s="93" t="s">
        <v>65</v>
      </c>
      <c r="E60" s="95">
        <v>2</v>
      </c>
      <c r="F60" s="96">
        <f>SUM(E60)</f>
        <v>2</v>
      </c>
      <c r="G60" s="102">
        <v>237.75</v>
      </c>
      <c r="H60" s="97">
        <f t="shared" ref="H60" si="6">SUM(F60*G60/1000)</f>
        <v>0.47549999999999998</v>
      </c>
      <c r="I60" s="13">
        <v>0</v>
      </c>
      <c r="J60" s="25"/>
      <c r="L60" s="21"/>
      <c r="M60" s="22"/>
      <c r="N60" s="23"/>
    </row>
    <row r="61" spans="1:14" ht="15.75" hidden="1" customHeight="1">
      <c r="A61" s="41"/>
      <c r="B61" s="63" t="s">
        <v>46</v>
      </c>
      <c r="C61" s="17"/>
      <c r="D61" s="16"/>
      <c r="E61" s="16"/>
      <c r="F61" s="88"/>
      <c r="G61" s="65"/>
      <c r="H61" s="70"/>
      <c r="I61" s="19"/>
      <c r="J61" s="25"/>
      <c r="L61" s="21"/>
      <c r="M61" s="22"/>
      <c r="N61" s="23"/>
    </row>
    <row r="62" spans="1:14" ht="15.75" hidden="1" customHeight="1">
      <c r="A62" s="41">
        <v>17</v>
      </c>
      <c r="B62" s="15" t="s">
        <v>47</v>
      </c>
      <c r="C62" s="17" t="s">
        <v>87</v>
      </c>
      <c r="D62" s="93" t="s">
        <v>65</v>
      </c>
      <c r="E62" s="19">
        <v>10</v>
      </c>
      <c r="F62" s="96">
        <v>10</v>
      </c>
      <c r="G62" s="13">
        <v>222.4</v>
      </c>
      <c r="H62" s="103">
        <f t="shared" ref="H62:H69" si="7">SUM(F62*G62/1000)</f>
        <v>2.2240000000000002</v>
      </c>
      <c r="I62" s="13">
        <f>G62*3</f>
        <v>667.2</v>
      </c>
      <c r="J62" s="25"/>
      <c r="L62" s="21"/>
      <c r="M62" s="22"/>
      <c r="N62" s="23"/>
    </row>
    <row r="63" spans="1:14" ht="15.75" hidden="1" customHeight="1">
      <c r="A63" s="31">
        <v>29</v>
      </c>
      <c r="B63" s="15" t="s">
        <v>48</v>
      </c>
      <c r="C63" s="17" t="s">
        <v>87</v>
      </c>
      <c r="D63" s="93" t="s">
        <v>65</v>
      </c>
      <c r="E63" s="19">
        <v>5</v>
      </c>
      <c r="F63" s="96">
        <v>5</v>
      </c>
      <c r="G63" s="13">
        <v>75.25</v>
      </c>
      <c r="H63" s="103">
        <f t="shared" si="7"/>
        <v>0.37624999999999997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8</v>
      </c>
      <c r="B64" s="15" t="s">
        <v>49</v>
      </c>
      <c r="C64" s="17" t="s">
        <v>113</v>
      </c>
      <c r="D64" s="15" t="s">
        <v>54</v>
      </c>
      <c r="E64" s="95">
        <v>13018</v>
      </c>
      <c r="F64" s="13">
        <f>SUM(E64/100)</f>
        <v>130.18</v>
      </c>
      <c r="G64" s="13">
        <v>212.15</v>
      </c>
      <c r="H64" s="103">
        <f t="shared" si="7"/>
        <v>27.617687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9</v>
      </c>
      <c r="B65" s="15" t="s">
        <v>50</v>
      </c>
      <c r="C65" s="17" t="s">
        <v>114</v>
      </c>
      <c r="D65" s="15"/>
      <c r="E65" s="95">
        <v>13018</v>
      </c>
      <c r="F65" s="13">
        <f>SUM(E65/1000)</f>
        <v>13.018000000000001</v>
      </c>
      <c r="G65" s="13">
        <v>165.21</v>
      </c>
      <c r="H65" s="103">
        <f t="shared" si="7"/>
        <v>2.1507037800000002</v>
      </c>
      <c r="I65" s="13">
        <v>0</v>
      </c>
      <c r="J65" s="25"/>
      <c r="L65" s="21"/>
      <c r="M65" s="22"/>
      <c r="N65" s="23"/>
    </row>
    <row r="66" spans="1:14" ht="15.75" hidden="1" customHeight="1">
      <c r="A66" s="31">
        <v>10</v>
      </c>
      <c r="B66" s="15" t="s">
        <v>51</v>
      </c>
      <c r="C66" s="17" t="s">
        <v>76</v>
      </c>
      <c r="D66" s="15" t="s">
        <v>54</v>
      </c>
      <c r="E66" s="95">
        <v>1279</v>
      </c>
      <c r="F66" s="13">
        <f>SUM(E66/100)</f>
        <v>12.79</v>
      </c>
      <c r="G66" s="13">
        <v>2074.63</v>
      </c>
      <c r="H66" s="103">
        <f t="shared" si="7"/>
        <v>26.534517700000002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11</v>
      </c>
      <c r="B67" s="104" t="s">
        <v>115</v>
      </c>
      <c r="C67" s="17" t="s">
        <v>32</v>
      </c>
      <c r="D67" s="15"/>
      <c r="E67" s="95">
        <v>12</v>
      </c>
      <c r="F67" s="13">
        <f>SUM(E67)</f>
        <v>12</v>
      </c>
      <c r="G67" s="13">
        <v>45.32</v>
      </c>
      <c r="H67" s="103">
        <f t="shared" si="7"/>
        <v>0.54383999999999999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12</v>
      </c>
      <c r="B68" s="104" t="s">
        <v>116</v>
      </c>
      <c r="C68" s="17" t="s">
        <v>32</v>
      </c>
      <c r="D68" s="15"/>
      <c r="E68" s="95">
        <v>12</v>
      </c>
      <c r="F68" s="13">
        <f>SUM(E68)</f>
        <v>12</v>
      </c>
      <c r="G68" s="13">
        <v>42.28</v>
      </c>
      <c r="H68" s="103">
        <f t="shared" si="7"/>
        <v>0.50736000000000003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13</v>
      </c>
      <c r="B69" s="15" t="s">
        <v>57</v>
      </c>
      <c r="C69" s="17" t="s">
        <v>58</v>
      </c>
      <c r="D69" s="15" t="s">
        <v>54</v>
      </c>
      <c r="E69" s="19">
        <v>1</v>
      </c>
      <c r="F69" s="96">
        <f>SUM(E69)</f>
        <v>1</v>
      </c>
      <c r="G69" s="13">
        <v>49.88</v>
      </c>
      <c r="H69" s="103">
        <f t="shared" si="7"/>
        <v>4.9880000000000001E-2</v>
      </c>
      <c r="I69" s="13">
        <v>0</v>
      </c>
      <c r="J69" s="25"/>
      <c r="L69" s="21"/>
      <c r="M69" s="22"/>
      <c r="N69" s="23"/>
    </row>
    <row r="70" spans="1:14" ht="15.75" hidden="1" customHeight="1">
      <c r="A70" s="53"/>
      <c r="B70" s="63" t="s">
        <v>117</v>
      </c>
      <c r="C70" s="63"/>
      <c r="D70" s="63"/>
      <c r="E70" s="63"/>
      <c r="F70" s="77"/>
      <c r="G70" s="63"/>
      <c r="H70" s="77"/>
      <c r="I70" s="19"/>
      <c r="J70" s="25"/>
      <c r="L70" s="21"/>
      <c r="M70" s="22"/>
      <c r="N70" s="23"/>
    </row>
    <row r="71" spans="1:14" ht="15.75" hidden="1" customHeight="1">
      <c r="A71" s="31">
        <v>15</v>
      </c>
      <c r="B71" s="93" t="s">
        <v>118</v>
      </c>
      <c r="C71" s="17"/>
      <c r="D71" s="15"/>
      <c r="E71" s="87"/>
      <c r="F71" s="13">
        <v>1</v>
      </c>
      <c r="G71" s="13">
        <v>10041.700000000001</v>
      </c>
      <c r="H71" s="103">
        <f>G71*F71/1000</f>
        <v>10.041700000000001</v>
      </c>
      <c r="I71" s="13">
        <v>0</v>
      </c>
      <c r="J71" s="25"/>
      <c r="L71" s="21"/>
      <c r="M71" s="22"/>
      <c r="N71" s="23"/>
    </row>
    <row r="72" spans="1:14" ht="15.75" hidden="1" customHeight="1">
      <c r="A72" s="31"/>
      <c r="B72" s="49" t="s">
        <v>72</v>
      </c>
      <c r="C72" s="49"/>
      <c r="D72" s="49"/>
      <c r="E72" s="19"/>
      <c r="F72" s="19"/>
      <c r="G72" s="31"/>
      <c r="H72" s="31"/>
      <c r="I72" s="19"/>
      <c r="J72" s="25"/>
      <c r="L72" s="21"/>
      <c r="M72" s="22"/>
      <c r="N72" s="23"/>
    </row>
    <row r="73" spans="1:14" ht="15.75" hidden="1" customHeight="1">
      <c r="A73" s="31">
        <v>11</v>
      </c>
      <c r="B73" s="15" t="s">
        <v>73</v>
      </c>
      <c r="C73" s="17" t="s">
        <v>74</v>
      </c>
      <c r="D73" s="15" t="s">
        <v>65</v>
      </c>
      <c r="E73" s="19">
        <v>5</v>
      </c>
      <c r="F73" s="13">
        <v>0.5</v>
      </c>
      <c r="G73" s="13">
        <v>501.62</v>
      </c>
      <c r="H73" s="103">
        <f t="shared" ref="H73:H75" si="8">SUM(F73*G73/1000)</f>
        <v>0.25080999999999998</v>
      </c>
      <c r="I73" s="13">
        <v>0</v>
      </c>
      <c r="J73" s="25"/>
      <c r="L73" s="21"/>
      <c r="M73" s="22"/>
      <c r="N73" s="23"/>
    </row>
    <row r="74" spans="1:14" ht="15.75" hidden="1" customHeight="1">
      <c r="A74" s="31"/>
      <c r="B74" s="15" t="s">
        <v>130</v>
      </c>
      <c r="C74" s="17" t="s">
        <v>87</v>
      </c>
      <c r="D74" s="15"/>
      <c r="E74" s="19">
        <v>1</v>
      </c>
      <c r="F74" s="86">
        <f>E74</f>
        <v>1</v>
      </c>
      <c r="G74" s="13">
        <v>852.99</v>
      </c>
      <c r="H74" s="103">
        <f t="shared" si="8"/>
        <v>0.85299000000000003</v>
      </c>
      <c r="I74" s="13">
        <v>0</v>
      </c>
      <c r="J74" s="25"/>
      <c r="L74" s="21"/>
      <c r="M74" s="22"/>
      <c r="N74" s="23"/>
    </row>
    <row r="75" spans="1:14" ht="15.75" hidden="1" customHeight="1">
      <c r="A75" s="31"/>
      <c r="B75" s="15" t="s">
        <v>131</v>
      </c>
      <c r="C75" s="17" t="s">
        <v>87</v>
      </c>
      <c r="D75" s="15"/>
      <c r="E75" s="19">
        <v>1</v>
      </c>
      <c r="F75" s="96">
        <f>SUM(E75)</f>
        <v>1</v>
      </c>
      <c r="G75" s="13">
        <v>358.51</v>
      </c>
      <c r="H75" s="103">
        <f t="shared" si="8"/>
        <v>0.35851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50" t="s">
        <v>75</v>
      </c>
      <c r="C76" s="38"/>
      <c r="D76" s="31"/>
      <c r="E76" s="19"/>
      <c r="F76" s="19"/>
      <c r="G76" s="37" t="s">
        <v>119</v>
      </c>
      <c r="H76" s="37"/>
      <c r="I76" s="19"/>
      <c r="J76" s="25"/>
      <c r="L76" s="21"/>
      <c r="M76" s="22"/>
      <c r="N76" s="23"/>
    </row>
    <row r="77" spans="1:14" ht="15.75" hidden="1" customHeight="1">
      <c r="A77" s="31">
        <v>12</v>
      </c>
      <c r="B77" s="52" t="s">
        <v>120</v>
      </c>
      <c r="C77" s="17" t="s">
        <v>76</v>
      </c>
      <c r="D77" s="15"/>
      <c r="E77" s="19"/>
      <c r="F77" s="13">
        <v>0.3</v>
      </c>
      <c r="G77" s="13">
        <v>2759.44</v>
      </c>
      <c r="H77" s="103">
        <f t="shared" ref="H77" si="9">SUM(F77*G77/1000)</f>
        <v>0.82783200000000001</v>
      </c>
      <c r="I77" s="13">
        <v>0</v>
      </c>
      <c r="J77" s="25"/>
      <c r="L77" s="21"/>
      <c r="M77" s="22"/>
      <c r="N77" s="23"/>
    </row>
    <row r="78" spans="1:14" ht="15.75" customHeight="1">
      <c r="A78" s="143"/>
      <c r="B78" s="146" t="s">
        <v>215</v>
      </c>
      <c r="C78" s="147"/>
      <c r="D78" s="148"/>
      <c r="E78" s="149"/>
      <c r="F78" s="150"/>
      <c r="G78" s="142"/>
      <c r="H78" s="144"/>
      <c r="I78" s="145"/>
      <c r="J78" s="25"/>
      <c r="L78" s="21"/>
      <c r="M78" s="22"/>
      <c r="N78" s="23"/>
    </row>
    <row r="79" spans="1:14" ht="15.75" customHeight="1">
      <c r="A79" s="143">
        <v>16</v>
      </c>
      <c r="B79" s="124" t="s">
        <v>216</v>
      </c>
      <c r="C79" s="41" t="s">
        <v>217</v>
      </c>
      <c r="D79" s="124"/>
      <c r="E79" s="18">
        <v>2581.1999999999998</v>
      </c>
      <c r="F79" s="37">
        <f>E79*12</f>
        <v>30974.399999999998</v>
      </c>
      <c r="G79" s="37">
        <v>2.4900000000000002</v>
      </c>
      <c r="H79" s="144"/>
      <c r="I79" s="145">
        <f>G79*F79/12</f>
        <v>6427.1879999999992</v>
      </c>
      <c r="J79" s="25"/>
      <c r="L79" s="21"/>
      <c r="M79" s="22"/>
      <c r="N79" s="23"/>
    </row>
    <row r="80" spans="1:14" ht="15.75" customHeight="1">
      <c r="A80" s="159" t="s">
        <v>135</v>
      </c>
      <c r="B80" s="160"/>
      <c r="C80" s="160"/>
      <c r="D80" s="160"/>
      <c r="E80" s="160"/>
      <c r="F80" s="160"/>
      <c r="G80" s="160"/>
      <c r="H80" s="160"/>
      <c r="I80" s="161"/>
      <c r="J80" s="25"/>
      <c r="L80" s="21"/>
      <c r="M80" s="22"/>
      <c r="N80" s="23"/>
    </row>
    <row r="81" spans="1:22" ht="15.75" customHeight="1">
      <c r="A81" s="31">
        <v>17</v>
      </c>
      <c r="B81" s="93" t="s">
        <v>121</v>
      </c>
      <c r="C81" s="17" t="s">
        <v>55</v>
      </c>
      <c r="D81" s="106"/>
      <c r="E81" s="13">
        <v>2581.1999999999998</v>
      </c>
      <c r="F81" s="13">
        <f>SUM(E81*12)</f>
        <v>30974.399999999998</v>
      </c>
      <c r="G81" s="13">
        <v>2.1</v>
      </c>
      <c r="H81" s="103">
        <f>SUM(F81*G81/1000)</f>
        <v>65.046239999999997</v>
      </c>
      <c r="I81" s="13">
        <f>F81/12*G81</f>
        <v>5420.5199999999995</v>
      </c>
      <c r="J81" s="25"/>
      <c r="L81" s="21"/>
    </row>
    <row r="82" spans="1:22" ht="31.5" customHeight="1">
      <c r="A82" s="31">
        <v>18</v>
      </c>
      <c r="B82" s="15" t="s">
        <v>77</v>
      </c>
      <c r="C82" s="17"/>
      <c r="D82" s="106"/>
      <c r="E82" s="95">
        <v>2581.1999999999998</v>
      </c>
      <c r="F82" s="13">
        <f>E82*12</f>
        <v>30974.399999999998</v>
      </c>
      <c r="G82" s="13">
        <v>1.63</v>
      </c>
      <c r="H82" s="103">
        <f>F82*G82/1000</f>
        <v>50.488271999999988</v>
      </c>
      <c r="I82" s="13">
        <f>F82/12*G82</f>
        <v>4207.3559999999998</v>
      </c>
    </row>
    <row r="83" spans="1:22" ht="15.75" customHeight="1">
      <c r="A83" s="53"/>
      <c r="B83" s="39" t="s">
        <v>79</v>
      </c>
      <c r="C83" s="41"/>
      <c r="D83" s="16"/>
      <c r="E83" s="16"/>
      <c r="F83" s="16"/>
      <c r="G83" s="19"/>
      <c r="H83" s="19"/>
      <c r="I83" s="33">
        <f>I82+I81+I58+I52+I48+I41+I40+I39+I38+I37+I36+I27+I21+I20+I18+I17+I16+I79</f>
        <v>48386.873021000007</v>
      </c>
    </row>
    <row r="84" spans="1:22" ht="15.75" customHeight="1">
      <c r="A84" s="162" t="s">
        <v>60</v>
      </c>
      <c r="B84" s="163"/>
      <c r="C84" s="163"/>
      <c r="D84" s="163"/>
      <c r="E84" s="163"/>
      <c r="F84" s="163"/>
      <c r="G84" s="163"/>
      <c r="H84" s="163"/>
      <c r="I84" s="164"/>
    </row>
    <row r="85" spans="1:22" ht="30" customHeight="1">
      <c r="A85" s="31">
        <v>19</v>
      </c>
      <c r="B85" s="125" t="s">
        <v>161</v>
      </c>
      <c r="C85" s="41" t="s">
        <v>29</v>
      </c>
      <c r="D85" s="124"/>
      <c r="E85" s="18"/>
      <c r="F85" s="138">
        <f>0.599*6/1000</f>
        <v>3.594E-3</v>
      </c>
      <c r="G85" s="37">
        <v>19757.060000000001</v>
      </c>
      <c r="H85" s="103">
        <f t="shared" ref="H85:H86" si="10">G85*F85/1000</f>
        <v>7.1006873640000009E-2</v>
      </c>
      <c r="I85" s="129">
        <f>G85*0.599*6/1000</f>
        <v>71.006873640000009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9"/>
    </row>
    <row r="86" spans="1:22" ht="15" customHeight="1">
      <c r="A86" s="31">
        <v>20</v>
      </c>
      <c r="B86" s="125" t="s">
        <v>163</v>
      </c>
      <c r="C86" s="41" t="s">
        <v>124</v>
      </c>
      <c r="D86" s="124"/>
      <c r="E86" s="18"/>
      <c r="F86" s="138">
        <v>0.06</v>
      </c>
      <c r="G86" s="37">
        <v>3587.49</v>
      </c>
      <c r="H86" s="103">
        <f t="shared" si="10"/>
        <v>0.21524939999999998</v>
      </c>
      <c r="I86" s="13">
        <f>G86*0.06</f>
        <v>215.24939999999998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15" customHeight="1">
      <c r="A87" s="31">
        <v>21</v>
      </c>
      <c r="B87" s="122" t="s">
        <v>95</v>
      </c>
      <c r="C87" s="123" t="s">
        <v>87</v>
      </c>
      <c r="D87" s="52"/>
      <c r="E87" s="13"/>
      <c r="F87" s="13"/>
      <c r="G87" s="37">
        <v>58.39</v>
      </c>
      <c r="H87" s="103"/>
      <c r="I87" s="13">
        <f>G87*1</f>
        <v>58.39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9"/>
    </row>
    <row r="88" spans="1:22" ht="15.75" customHeight="1">
      <c r="A88" s="31"/>
      <c r="B88" s="46" t="s">
        <v>52</v>
      </c>
      <c r="C88" s="42"/>
      <c r="D88" s="54"/>
      <c r="E88" s="42">
        <v>1</v>
      </c>
      <c r="F88" s="42"/>
      <c r="G88" s="42"/>
      <c r="H88" s="42"/>
      <c r="I88" s="33">
        <f>SUM(I85:I87)</f>
        <v>344.64627364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2" ht="15.75" customHeight="1">
      <c r="A89" s="31"/>
      <c r="B89" s="52" t="s">
        <v>78</v>
      </c>
      <c r="C89" s="16"/>
      <c r="D89" s="16"/>
      <c r="E89" s="43"/>
      <c r="F89" s="43"/>
      <c r="G89" s="44"/>
      <c r="H89" s="44"/>
      <c r="I89" s="18">
        <v>0</v>
      </c>
    </row>
    <row r="90" spans="1:22" ht="15.75" customHeight="1">
      <c r="A90" s="55"/>
      <c r="B90" s="47" t="s">
        <v>138</v>
      </c>
      <c r="C90" s="36"/>
      <c r="D90" s="36"/>
      <c r="E90" s="36"/>
      <c r="F90" s="36"/>
      <c r="G90" s="36"/>
      <c r="H90" s="36"/>
      <c r="I90" s="45">
        <f>I88+I83</f>
        <v>48731.519294640006</v>
      </c>
    </row>
    <row r="91" spans="1:22" ht="15.75" customHeight="1">
      <c r="A91" s="158" t="s">
        <v>218</v>
      </c>
      <c r="B91" s="158"/>
      <c r="C91" s="158"/>
      <c r="D91" s="158"/>
      <c r="E91" s="158"/>
      <c r="F91" s="158"/>
      <c r="G91" s="158"/>
      <c r="H91" s="158"/>
      <c r="I91" s="158"/>
    </row>
    <row r="92" spans="1:22" ht="15.75" customHeight="1">
      <c r="A92" s="62"/>
      <c r="B92" s="171" t="s">
        <v>219</v>
      </c>
      <c r="C92" s="171"/>
      <c r="D92" s="171"/>
      <c r="E92" s="171"/>
      <c r="F92" s="171"/>
      <c r="G92" s="171"/>
      <c r="H92" s="91"/>
      <c r="I92" s="3"/>
    </row>
    <row r="93" spans="1:22" ht="15.75" customHeight="1">
      <c r="A93" s="56"/>
      <c r="B93" s="172" t="s">
        <v>6</v>
      </c>
      <c r="C93" s="172"/>
      <c r="D93" s="172"/>
      <c r="E93" s="172"/>
      <c r="F93" s="172"/>
      <c r="G93" s="172"/>
      <c r="H93" s="26"/>
      <c r="I93" s="5"/>
    </row>
    <row r="94" spans="1:22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2" ht="15.75" customHeight="1">
      <c r="A95" s="173" t="s">
        <v>7</v>
      </c>
      <c r="B95" s="173"/>
      <c r="C95" s="173"/>
      <c r="D95" s="173"/>
      <c r="E95" s="173"/>
      <c r="F95" s="173"/>
      <c r="G95" s="173"/>
      <c r="H95" s="173"/>
      <c r="I95" s="173"/>
    </row>
    <row r="96" spans="1:22" ht="15.75" customHeight="1">
      <c r="A96" s="173" t="s">
        <v>8</v>
      </c>
      <c r="B96" s="173"/>
      <c r="C96" s="173"/>
      <c r="D96" s="173"/>
      <c r="E96" s="173"/>
      <c r="F96" s="173"/>
      <c r="G96" s="173"/>
      <c r="H96" s="173"/>
      <c r="I96" s="173"/>
    </row>
    <row r="97" spans="1:9" ht="15.75" customHeight="1">
      <c r="A97" s="176" t="s">
        <v>61</v>
      </c>
      <c r="B97" s="176"/>
      <c r="C97" s="176"/>
      <c r="D97" s="176"/>
      <c r="E97" s="176"/>
      <c r="F97" s="176"/>
      <c r="G97" s="176"/>
      <c r="H97" s="176"/>
      <c r="I97" s="176"/>
    </row>
    <row r="98" spans="1:9" ht="15.75" customHeight="1">
      <c r="A98" s="11"/>
    </row>
    <row r="99" spans="1:9" ht="15.75" customHeight="1">
      <c r="A99" s="177" t="s">
        <v>9</v>
      </c>
      <c r="B99" s="177"/>
      <c r="C99" s="177"/>
      <c r="D99" s="177"/>
      <c r="E99" s="177"/>
      <c r="F99" s="177"/>
      <c r="G99" s="177"/>
      <c r="H99" s="177"/>
      <c r="I99" s="177"/>
    </row>
    <row r="100" spans="1:9" ht="15.75" customHeight="1">
      <c r="A100" s="4"/>
    </row>
    <row r="101" spans="1:9" ht="15.75" customHeight="1">
      <c r="B101" s="57" t="s">
        <v>10</v>
      </c>
      <c r="C101" s="178" t="s">
        <v>86</v>
      </c>
      <c r="D101" s="178"/>
      <c r="E101" s="178"/>
      <c r="F101" s="89"/>
      <c r="I101" s="59"/>
    </row>
    <row r="102" spans="1:9" ht="15.75" customHeight="1">
      <c r="A102" s="56"/>
      <c r="C102" s="172" t="s">
        <v>11</v>
      </c>
      <c r="D102" s="172"/>
      <c r="E102" s="172"/>
      <c r="F102" s="26"/>
      <c r="I102" s="58" t="s">
        <v>12</v>
      </c>
    </row>
    <row r="103" spans="1:9" ht="15.75" customHeight="1">
      <c r="A103" s="27"/>
      <c r="C103" s="12"/>
      <c r="D103" s="12"/>
      <c r="G103" s="12"/>
      <c r="H103" s="12"/>
    </row>
    <row r="104" spans="1:9" ht="15.75" customHeight="1">
      <c r="B104" s="57" t="s">
        <v>13</v>
      </c>
      <c r="C104" s="179"/>
      <c r="D104" s="179"/>
      <c r="E104" s="179"/>
      <c r="F104" s="90"/>
      <c r="I104" s="59"/>
    </row>
    <row r="105" spans="1:9" ht="15.75" customHeight="1">
      <c r="A105" s="56"/>
      <c r="C105" s="175" t="s">
        <v>11</v>
      </c>
      <c r="D105" s="175"/>
      <c r="E105" s="175"/>
      <c r="F105" s="72"/>
      <c r="I105" s="58" t="s">
        <v>12</v>
      </c>
    </row>
    <row r="106" spans="1:9" ht="15.75" customHeight="1">
      <c r="A106" s="4" t="s">
        <v>14</v>
      </c>
    </row>
    <row r="107" spans="1:9">
      <c r="A107" s="174" t="s">
        <v>15</v>
      </c>
      <c r="B107" s="174"/>
      <c r="C107" s="174"/>
      <c r="D107" s="174"/>
      <c r="E107" s="174"/>
      <c r="F107" s="174"/>
      <c r="G107" s="174"/>
      <c r="H107" s="174"/>
      <c r="I107" s="174"/>
    </row>
    <row r="108" spans="1:9" ht="45" customHeight="1">
      <c r="A108" s="170" t="s">
        <v>16</v>
      </c>
      <c r="B108" s="170"/>
      <c r="C108" s="170"/>
      <c r="D108" s="170"/>
      <c r="E108" s="170"/>
      <c r="F108" s="170"/>
      <c r="G108" s="170"/>
      <c r="H108" s="170"/>
      <c r="I108" s="170"/>
    </row>
    <row r="109" spans="1:9" ht="30" customHeight="1">
      <c r="A109" s="170" t="s">
        <v>17</v>
      </c>
      <c r="B109" s="170"/>
      <c r="C109" s="170"/>
      <c r="D109" s="170"/>
      <c r="E109" s="170"/>
      <c r="F109" s="170"/>
      <c r="G109" s="170"/>
      <c r="H109" s="170"/>
      <c r="I109" s="170"/>
    </row>
    <row r="110" spans="1:9" ht="30" customHeight="1">
      <c r="A110" s="170" t="s">
        <v>21</v>
      </c>
      <c r="B110" s="170"/>
      <c r="C110" s="170"/>
      <c r="D110" s="170"/>
      <c r="E110" s="170"/>
      <c r="F110" s="170"/>
      <c r="G110" s="170"/>
      <c r="H110" s="170"/>
      <c r="I110" s="170"/>
    </row>
    <row r="111" spans="1:9" ht="15" customHeight="1">
      <c r="A111" s="170" t="s">
        <v>20</v>
      </c>
      <c r="B111" s="170"/>
      <c r="C111" s="170"/>
      <c r="D111" s="170"/>
      <c r="E111" s="170"/>
      <c r="F111" s="170"/>
      <c r="G111" s="170"/>
      <c r="H111" s="170"/>
      <c r="I111" s="170"/>
    </row>
  </sheetData>
  <autoFilter ref="I12:I83"/>
  <mergeCells count="28">
    <mergeCell ref="A108:I108"/>
    <mergeCell ref="A109:I109"/>
    <mergeCell ref="A110:I110"/>
    <mergeCell ref="A111:I111"/>
    <mergeCell ref="B92:G92"/>
    <mergeCell ref="B93:G93"/>
    <mergeCell ref="A95:I95"/>
    <mergeCell ref="A96:I96"/>
    <mergeCell ref="A107:I107"/>
    <mergeCell ref="C105:E105"/>
    <mergeCell ref="A97:I97"/>
    <mergeCell ref="A99:I99"/>
    <mergeCell ref="C101:E101"/>
    <mergeCell ref="C102:E102"/>
    <mergeCell ref="C104:E104"/>
    <mergeCell ref="A3:I3"/>
    <mergeCell ref="A4:I4"/>
    <mergeCell ref="A8:I8"/>
    <mergeCell ref="A10:I10"/>
    <mergeCell ref="A5:I5"/>
    <mergeCell ref="A14:I14"/>
    <mergeCell ref="A15:I15"/>
    <mergeCell ref="A28:I28"/>
    <mergeCell ref="A42:I42"/>
    <mergeCell ref="A91:I91"/>
    <mergeCell ref="A53:I53"/>
    <mergeCell ref="A80:I80"/>
    <mergeCell ref="A84:I8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5"/>
  <sheetViews>
    <sheetView view="pageBreakPreview" topLeftCell="A92" zoomScale="60" workbookViewId="0">
      <selection activeCell="B77" sqref="B77:I7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5" t="s">
        <v>151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122</v>
      </c>
      <c r="B4" s="166"/>
      <c r="C4" s="166"/>
      <c r="D4" s="166"/>
      <c r="E4" s="166"/>
      <c r="F4" s="166"/>
      <c r="G4" s="166"/>
      <c r="H4" s="166"/>
      <c r="I4" s="166"/>
    </row>
    <row r="5" spans="1:13" ht="15.75" customHeight="1">
      <c r="A5" s="165" t="s">
        <v>239</v>
      </c>
      <c r="B5" s="169"/>
      <c r="C5" s="169"/>
      <c r="D5" s="169"/>
      <c r="E5" s="169"/>
      <c r="F5" s="169"/>
      <c r="G5" s="169"/>
      <c r="H5" s="169"/>
      <c r="I5" s="169"/>
      <c r="J5" s="2"/>
      <c r="K5" s="2"/>
      <c r="L5" s="2"/>
      <c r="M5" s="2"/>
    </row>
    <row r="6" spans="1:13" ht="15.75" customHeight="1">
      <c r="A6" s="2"/>
      <c r="B6" s="84"/>
      <c r="C6" s="84"/>
      <c r="D6" s="84"/>
      <c r="E6" s="84"/>
      <c r="F6" s="84"/>
      <c r="G6" s="84"/>
      <c r="H6" s="84"/>
      <c r="I6" s="32">
        <v>43769</v>
      </c>
      <c r="J6" s="2"/>
      <c r="K6" s="2"/>
      <c r="L6" s="2"/>
      <c r="M6" s="2"/>
    </row>
    <row r="7" spans="1:13" ht="15.75" customHeight="1">
      <c r="B7" s="85"/>
      <c r="C7" s="85"/>
      <c r="D7" s="8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7" t="s">
        <v>160</v>
      </c>
      <c r="B8" s="167"/>
      <c r="C8" s="167"/>
      <c r="D8" s="167"/>
      <c r="E8" s="167"/>
      <c r="F8" s="167"/>
      <c r="G8" s="167"/>
      <c r="H8" s="167"/>
      <c r="I8" s="167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8" t="s">
        <v>152</v>
      </c>
      <c r="B10" s="168"/>
      <c r="C10" s="168"/>
      <c r="D10" s="168"/>
      <c r="E10" s="168"/>
      <c r="F10" s="168"/>
      <c r="G10" s="168"/>
      <c r="H10" s="168"/>
      <c r="I10" s="16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59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1">
        <v>1</v>
      </c>
      <c r="B16" s="93" t="s">
        <v>85</v>
      </c>
      <c r="C16" s="94" t="s">
        <v>90</v>
      </c>
      <c r="D16" s="93" t="s">
        <v>186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7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99</v>
      </c>
      <c r="C17" s="94" t="s">
        <v>90</v>
      </c>
      <c r="D17" s="93" t="s">
        <v>187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100</v>
      </c>
      <c r="C18" s="94" t="s">
        <v>90</v>
      </c>
      <c r="D18" s="93" t="s">
        <v>188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123</v>
      </c>
      <c r="C19" s="94" t="s">
        <v>124</v>
      </c>
      <c r="D19" s="93" t="s">
        <v>125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89</v>
      </c>
      <c r="C20" s="94" t="s">
        <v>90</v>
      </c>
      <c r="D20" s="93" t="s">
        <v>189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97</v>
      </c>
      <c r="C21" s="94" t="s">
        <v>90</v>
      </c>
      <c r="D21" s="93" t="s">
        <v>190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91</v>
      </c>
      <c r="C22" s="94" t="s">
        <v>53</v>
      </c>
      <c r="D22" s="93" t="s">
        <v>125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92</v>
      </c>
      <c r="C23" s="94" t="s">
        <v>53</v>
      </c>
      <c r="D23" s="93" t="s">
        <v>125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93</v>
      </c>
      <c r="C24" s="94" t="s">
        <v>53</v>
      </c>
      <c r="D24" s="93" t="s">
        <v>126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98</v>
      </c>
      <c r="C25" s="94" t="s">
        <v>90</v>
      </c>
      <c r="D25" s="93" t="s">
        <v>54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94</v>
      </c>
      <c r="C26" s="94" t="s">
        <v>53</v>
      </c>
      <c r="D26" s="93" t="s">
        <v>125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185</v>
      </c>
      <c r="C27" s="40" t="s">
        <v>25</v>
      </c>
      <c r="D27" s="34" t="s">
        <v>191</v>
      </c>
      <c r="E27" s="140">
        <v>4.83</v>
      </c>
      <c r="F27" s="127">
        <f>SUM(E27*258)</f>
        <v>1246.1400000000001</v>
      </c>
      <c r="G27" s="127">
        <v>10.39</v>
      </c>
      <c r="H27" s="97">
        <f t="shared" si="0"/>
        <v>12.947394600000001</v>
      </c>
      <c r="I27" s="13">
        <f>F27/12*G27</f>
        <v>1078.9495500000003</v>
      </c>
      <c r="J27" s="8"/>
      <c r="K27" s="8"/>
      <c r="L27" s="8"/>
      <c r="M27" s="8"/>
    </row>
    <row r="28" spans="1:13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7</v>
      </c>
      <c r="B30" s="93" t="s">
        <v>101</v>
      </c>
      <c r="C30" s="94" t="s">
        <v>102</v>
      </c>
      <c r="D30" s="93" t="s">
        <v>187</v>
      </c>
      <c r="E30" s="96">
        <v>1167.4000000000001</v>
      </c>
      <c r="F30" s="96">
        <f>SUM(E30*52/1000)</f>
        <v>60.704800000000006</v>
      </c>
      <c r="G30" s="96">
        <v>155.88999999999999</v>
      </c>
      <c r="H30" s="97">
        <f t="shared" ref="H30:H31" si="1">SUM(F30*G30/1000)</f>
        <v>9.4632712720000001</v>
      </c>
      <c r="I30" s="13">
        <f>F30/6*G30</f>
        <v>1577.2118786666665</v>
      </c>
      <c r="J30" s="24"/>
      <c r="K30" s="8"/>
      <c r="L30" s="8"/>
      <c r="M30" s="8"/>
    </row>
    <row r="31" spans="1:13" ht="31.5" customHeight="1">
      <c r="A31" s="41">
        <v>8</v>
      </c>
      <c r="B31" s="93" t="s">
        <v>136</v>
      </c>
      <c r="C31" s="94" t="s">
        <v>102</v>
      </c>
      <c r="D31" s="93" t="s">
        <v>186</v>
      </c>
      <c r="E31" s="96">
        <v>540.04999999999995</v>
      </c>
      <c r="F31" s="96">
        <f>SUM(E31*78/1000)</f>
        <v>42.123899999999992</v>
      </c>
      <c r="G31" s="96">
        <v>258.63</v>
      </c>
      <c r="H31" s="97">
        <f t="shared" si="1"/>
        <v>10.894504256999998</v>
      </c>
      <c r="I31" s="13">
        <f t="shared" ref="I31" si="2">F31/6*G31</f>
        <v>1815.7507094999996</v>
      </c>
      <c r="J31" s="24"/>
      <c r="K31" s="8"/>
      <c r="L31" s="8"/>
      <c r="M31" s="8"/>
    </row>
    <row r="32" spans="1:13" ht="15.75" hidden="1" customHeight="1">
      <c r="A32" s="41">
        <v>16</v>
      </c>
      <c r="B32" s="93" t="s">
        <v>27</v>
      </c>
      <c r="C32" s="94" t="s">
        <v>102</v>
      </c>
      <c r="D32" s="93" t="s">
        <v>54</v>
      </c>
      <c r="E32" s="96">
        <v>1167.4000000000001</v>
      </c>
      <c r="F32" s="96">
        <f>SUM(E32/1000)</f>
        <v>1.1674</v>
      </c>
      <c r="G32" s="96">
        <v>3020.33</v>
      </c>
      <c r="H32" s="97">
        <f t="shared" ref="H32" si="3">SUM(F32*G32/1000)</f>
        <v>3.5259332420000002</v>
      </c>
      <c r="I32" s="13">
        <f>F32*G32</f>
        <v>3525.9332420000001</v>
      </c>
      <c r="J32" s="24"/>
      <c r="K32" s="8"/>
      <c r="L32" s="8"/>
      <c r="M32" s="8"/>
    </row>
    <row r="33" spans="1:13" ht="15.75" hidden="1" customHeight="1">
      <c r="A33" s="41">
        <v>4</v>
      </c>
      <c r="B33" s="93" t="s">
        <v>64</v>
      </c>
      <c r="C33" s="94" t="s">
        <v>32</v>
      </c>
      <c r="D33" s="93" t="s">
        <v>65</v>
      </c>
      <c r="E33" s="95"/>
      <c r="F33" s="96">
        <v>3</v>
      </c>
      <c r="G33" s="96">
        <v>191.32</v>
      </c>
      <c r="H33" s="97">
        <f t="shared" ref="H33" si="4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3" t="s">
        <v>26</v>
      </c>
      <c r="C35" s="94" t="s">
        <v>31</v>
      </c>
      <c r="D35" s="93"/>
      <c r="E35" s="95"/>
      <c r="F35" s="96">
        <v>6</v>
      </c>
      <c r="G35" s="96">
        <v>1527.2</v>
      </c>
      <c r="H35" s="97">
        <f t="shared" ref="H35:H40" si="5">SUM(F35*G35/1000)</f>
        <v>9.1632000000000016</v>
      </c>
      <c r="I35" s="13">
        <f t="shared" ref="I35:I40" si="6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3" t="s">
        <v>66</v>
      </c>
      <c r="C36" s="94" t="s">
        <v>29</v>
      </c>
      <c r="D36" s="93" t="s">
        <v>127</v>
      </c>
      <c r="E36" s="96">
        <v>1080.0999999999999</v>
      </c>
      <c r="F36" s="96">
        <f>SUM(E36*30/1000)</f>
        <v>32.402999999999999</v>
      </c>
      <c r="G36" s="96">
        <v>2102.6999999999998</v>
      </c>
      <c r="H36" s="97">
        <f t="shared" si="5"/>
        <v>68.13378809999999</v>
      </c>
      <c r="I36" s="13">
        <f t="shared" si="6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3" t="s">
        <v>67</v>
      </c>
      <c r="C37" s="94" t="s">
        <v>29</v>
      </c>
      <c r="D37" s="93" t="s">
        <v>106</v>
      </c>
      <c r="E37" s="96">
        <v>45</v>
      </c>
      <c r="F37" s="96">
        <f>SUM(E37*155/1000)</f>
        <v>6.9749999999999996</v>
      </c>
      <c r="G37" s="96">
        <v>350.75</v>
      </c>
      <c r="H37" s="97">
        <f t="shared" si="5"/>
        <v>2.4464812499999997</v>
      </c>
      <c r="I37" s="13">
        <f t="shared" si="6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3" t="s">
        <v>82</v>
      </c>
      <c r="C38" s="94" t="s">
        <v>102</v>
      </c>
      <c r="D38" s="93" t="s">
        <v>68</v>
      </c>
      <c r="E38" s="96">
        <v>45</v>
      </c>
      <c r="F38" s="96">
        <f>SUM(E38*70/1000)</f>
        <v>3.15</v>
      </c>
      <c r="G38" s="96">
        <v>5803.28</v>
      </c>
      <c r="H38" s="97">
        <f t="shared" si="5"/>
        <v>18.280331999999998</v>
      </c>
      <c r="I38" s="13">
        <f t="shared" si="6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3" t="s">
        <v>107</v>
      </c>
      <c r="C39" s="94" t="s">
        <v>102</v>
      </c>
      <c r="D39" s="93" t="s">
        <v>69</v>
      </c>
      <c r="E39" s="96">
        <v>45</v>
      </c>
      <c r="F39" s="96">
        <f>SUM(E39*45/1000)</f>
        <v>2.0249999999999999</v>
      </c>
      <c r="G39" s="96">
        <v>428.7</v>
      </c>
      <c r="H39" s="97">
        <f t="shared" si="5"/>
        <v>0.86811749999999999</v>
      </c>
      <c r="I39" s="13">
        <f t="shared" si="6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3" t="s">
        <v>70</v>
      </c>
      <c r="C40" s="94" t="s">
        <v>32</v>
      </c>
      <c r="D40" s="93"/>
      <c r="E40" s="95"/>
      <c r="F40" s="96">
        <v>0.6</v>
      </c>
      <c r="G40" s="96">
        <v>798</v>
      </c>
      <c r="H40" s="97">
        <f t="shared" si="5"/>
        <v>0.47879999999999995</v>
      </c>
      <c r="I40" s="13">
        <f t="shared" si="6"/>
        <v>79.8</v>
      </c>
      <c r="J40" s="24"/>
      <c r="K40" s="8"/>
      <c r="L40" s="8"/>
      <c r="M40" s="8"/>
    </row>
    <row r="41" spans="1:13" ht="15.75" hidden="1" customHeight="1">
      <c r="A41" s="155" t="s">
        <v>133</v>
      </c>
      <c r="B41" s="156"/>
      <c r="C41" s="156"/>
      <c r="D41" s="156"/>
      <c r="E41" s="156"/>
      <c r="F41" s="156"/>
      <c r="G41" s="156"/>
      <c r="H41" s="156"/>
      <c r="I41" s="157"/>
      <c r="J41" s="24"/>
      <c r="K41" s="8"/>
      <c r="L41" s="8"/>
      <c r="M41" s="8"/>
    </row>
    <row r="42" spans="1:13" ht="15.75" hidden="1" customHeight="1">
      <c r="A42" s="41">
        <v>11</v>
      </c>
      <c r="B42" s="93" t="s">
        <v>108</v>
      </c>
      <c r="C42" s="94" t="s">
        <v>102</v>
      </c>
      <c r="D42" s="93" t="s">
        <v>42</v>
      </c>
      <c r="E42" s="95">
        <v>965.8</v>
      </c>
      <c r="F42" s="96">
        <f>SUM(E42*2/1000)</f>
        <v>1.9316</v>
      </c>
      <c r="G42" s="13">
        <v>849.49</v>
      </c>
      <c r="H42" s="97">
        <f t="shared" ref="H42:H51" si="7">SUM(F42*G42/1000)</f>
        <v>1.640874884</v>
      </c>
      <c r="I42" s="13">
        <f t="shared" ref="I42:I45" si="8">F42/2*G42</f>
        <v>820.43744200000003</v>
      </c>
      <c r="J42" s="24"/>
      <c r="K42" s="8"/>
    </row>
    <row r="43" spans="1:13" ht="15.75" hidden="1" customHeight="1">
      <c r="A43" s="41">
        <v>12</v>
      </c>
      <c r="B43" s="93" t="s">
        <v>35</v>
      </c>
      <c r="C43" s="94" t="s">
        <v>102</v>
      </c>
      <c r="D43" s="93" t="s">
        <v>42</v>
      </c>
      <c r="E43" s="95">
        <v>36</v>
      </c>
      <c r="F43" s="96">
        <f>SUM(E43*2/1000)</f>
        <v>7.1999999999999995E-2</v>
      </c>
      <c r="G43" s="13">
        <v>579.48</v>
      </c>
      <c r="H43" s="97">
        <f t="shared" si="7"/>
        <v>4.1722559999999999E-2</v>
      </c>
      <c r="I43" s="13">
        <f t="shared" si="8"/>
        <v>20.861280000000001</v>
      </c>
      <c r="J43" s="25"/>
    </row>
    <row r="44" spans="1:13" ht="15.75" hidden="1" customHeight="1">
      <c r="A44" s="41">
        <v>13</v>
      </c>
      <c r="B44" s="93" t="s">
        <v>36</v>
      </c>
      <c r="C44" s="94" t="s">
        <v>102</v>
      </c>
      <c r="D44" s="93" t="s">
        <v>42</v>
      </c>
      <c r="E44" s="95">
        <v>1197.7</v>
      </c>
      <c r="F44" s="96">
        <f>SUM(E44*2/1000)</f>
        <v>2.3954</v>
      </c>
      <c r="G44" s="13">
        <v>579.48</v>
      </c>
      <c r="H44" s="97">
        <f t="shared" si="7"/>
        <v>1.3880863919999999</v>
      </c>
      <c r="I44" s="13">
        <f t="shared" si="8"/>
        <v>694.04319599999997</v>
      </c>
      <c r="J44" s="25"/>
    </row>
    <row r="45" spans="1:13" ht="15.75" hidden="1" customHeight="1">
      <c r="A45" s="41">
        <v>14</v>
      </c>
      <c r="B45" s="93" t="s">
        <v>37</v>
      </c>
      <c r="C45" s="94" t="s">
        <v>102</v>
      </c>
      <c r="D45" s="93" t="s">
        <v>42</v>
      </c>
      <c r="E45" s="95">
        <v>2275.92</v>
      </c>
      <c r="F45" s="96">
        <f>SUM(E45*2/1000)</f>
        <v>4.5518400000000003</v>
      </c>
      <c r="G45" s="13">
        <v>606.77</v>
      </c>
      <c r="H45" s="97">
        <f t="shared" si="7"/>
        <v>2.7619199567999999</v>
      </c>
      <c r="I45" s="13">
        <f t="shared" si="8"/>
        <v>1380.9599784</v>
      </c>
      <c r="J45" s="25"/>
    </row>
    <row r="46" spans="1:13" ht="15.75" hidden="1" customHeight="1">
      <c r="A46" s="41">
        <v>15</v>
      </c>
      <c r="B46" s="93" t="s">
        <v>33</v>
      </c>
      <c r="C46" s="94" t="s">
        <v>34</v>
      </c>
      <c r="D46" s="93" t="s">
        <v>42</v>
      </c>
      <c r="E46" s="95">
        <v>81.709999999999994</v>
      </c>
      <c r="F46" s="96">
        <f>SUM(E46*2/100)</f>
        <v>1.6341999999999999</v>
      </c>
      <c r="G46" s="13">
        <v>68.56</v>
      </c>
      <c r="H46" s="97">
        <f t="shared" si="7"/>
        <v>0.11204075199999999</v>
      </c>
      <c r="I46" s="13">
        <f>F46/2*G46</f>
        <v>56.020375999999999</v>
      </c>
      <c r="J46" s="25"/>
    </row>
    <row r="47" spans="1:13" ht="15.75" hidden="1" customHeight="1">
      <c r="A47" s="41">
        <v>16</v>
      </c>
      <c r="B47" s="93" t="s">
        <v>56</v>
      </c>
      <c r="C47" s="94" t="s">
        <v>102</v>
      </c>
      <c r="D47" s="93" t="s">
        <v>137</v>
      </c>
      <c r="E47" s="95">
        <v>1711.8</v>
      </c>
      <c r="F47" s="96">
        <f>SUM(E47*5/1000)</f>
        <v>8.5589999999999993</v>
      </c>
      <c r="G47" s="13">
        <v>1213.55</v>
      </c>
      <c r="H47" s="97">
        <f t="shared" si="7"/>
        <v>10.386774449999999</v>
      </c>
      <c r="I47" s="13">
        <f>F47/5*G47</f>
        <v>2077.3548899999996</v>
      </c>
      <c r="J47" s="25"/>
    </row>
    <row r="48" spans="1:13" ht="13.5" hidden="1" customHeight="1">
      <c r="A48" s="41">
        <v>11</v>
      </c>
      <c r="B48" s="93" t="s">
        <v>109</v>
      </c>
      <c r="C48" s="94" t="s">
        <v>102</v>
      </c>
      <c r="D48" s="93" t="s">
        <v>42</v>
      </c>
      <c r="E48" s="95">
        <v>1711.8</v>
      </c>
      <c r="F48" s="96">
        <f>SUM(E48*2/1000)</f>
        <v>3.4236</v>
      </c>
      <c r="G48" s="13">
        <v>1213.55</v>
      </c>
      <c r="H48" s="97">
        <f t="shared" si="7"/>
        <v>4.1547097800000001</v>
      </c>
      <c r="I48" s="13">
        <f>F48/2*G48</f>
        <v>2077.3548900000001</v>
      </c>
      <c r="J48" s="25"/>
    </row>
    <row r="49" spans="1:14" ht="15" hidden="1" customHeight="1">
      <c r="A49" s="41">
        <v>12</v>
      </c>
      <c r="B49" s="93" t="s">
        <v>110</v>
      </c>
      <c r="C49" s="94" t="s">
        <v>38</v>
      </c>
      <c r="D49" s="93" t="s">
        <v>42</v>
      </c>
      <c r="E49" s="95">
        <v>15</v>
      </c>
      <c r="F49" s="96">
        <f>SUM(E49*2/100)</f>
        <v>0.3</v>
      </c>
      <c r="G49" s="13">
        <v>2730.49</v>
      </c>
      <c r="H49" s="97">
        <f t="shared" si="7"/>
        <v>0.81914699999999996</v>
      </c>
      <c r="I49" s="13">
        <f t="shared" ref="I49:I50" si="9">F49/2*G49</f>
        <v>409.57349999999997</v>
      </c>
      <c r="J49" s="25"/>
    </row>
    <row r="50" spans="1:14" ht="15.75" hidden="1" customHeight="1">
      <c r="A50" s="41">
        <v>13</v>
      </c>
      <c r="B50" s="93" t="s">
        <v>39</v>
      </c>
      <c r="C50" s="94" t="s">
        <v>40</v>
      </c>
      <c r="D50" s="93" t="s">
        <v>42</v>
      </c>
      <c r="E50" s="95">
        <v>1</v>
      </c>
      <c r="F50" s="96">
        <v>0.02</v>
      </c>
      <c r="G50" s="13">
        <v>5322.15</v>
      </c>
      <c r="H50" s="97">
        <f t="shared" si="7"/>
        <v>0.106443</v>
      </c>
      <c r="I50" s="13">
        <f t="shared" si="9"/>
        <v>53.221499999999999</v>
      </c>
      <c r="J50" s="25"/>
      <c r="L50" s="21"/>
      <c r="M50" s="22"/>
      <c r="N50" s="23"/>
    </row>
    <row r="51" spans="1:14" ht="15.75" hidden="1" customHeight="1">
      <c r="A51" s="41">
        <v>14</v>
      </c>
      <c r="B51" s="93" t="s">
        <v>41</v>
      </c>
      <c r="C51" s="94" t="s">
        <v>87</v>
      </c>
      <c r="D51" s="93" t="s">
        <v>71</v>
      </c>
      <c r="E51" s="95">
        <v>90</v>
      </c>
      <c r="F51" s="96">
        <f>SUM(E51)*3</f>
        <v>270</v>
      </c>
      <c r="G51" s="13">
        <v>65.67</v>
      </c>
      <c r="H51" s="97">
        <f t="shared" si="7"/>
        <v>17.730900000000002</v>
      </c>
      <c r="I51" s="13">
        <f>E51*G51</f>
        <v>5910.3</v>
      </c>
      <c r="J51" s="25"/>
      <c r="L51" s="21"/>
      <c r="M51" s="22"/>
      <c r="N51" s="23"/>
    </row>
    <row r="52" spans="1:14" ht="15.75" customHeight="1">
      <c r="A52" s="155" t="s">
        <v>144</v>
      </c>
      <c r="B52" s="156"/>
      <c r="C52" s="156"/>
      <c r="D52" s="156"/>
      <c r="E52" s="156"/>
      <c r="F52" s="156"/>
      <c r="G52" s="156"/>
      <c r="H52" s="156"/>
      <c r="I52" s="157"/>
      <c r="J52" s="25"/>
      <c r="L52" s="21"/>
      <c r="M52" s="22"/>
      <c r="N52" s="23"/>
    </row>
    <row r="53" spans="1:14" ht="15.75" hidden="1" customHeight="1">
      <c r="A53" s="92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3" t="s">
        <v>111</v>
      </c>
      <c r="C54" s="94" t="s">
        <v>90</v>
      </c>
      <c r="D54" s="93" t="s">
        <v>112</v>
      </c>
      <c r="E54" s="95">
        <v>96.58</v>
      </c>
      <c r="F54" s="96">
        <f>SUM(E54*6/100)</f>
        <v>5.7948000000000004</v>
      </c>
      <c r="G54" s="13">
        <v>1547.28</v>
      </c>
      <c r="H54" s="97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9" t="s">
        <v>44</v>
      </c>
      <c r="C55" s="40"/>
      <c r="D55" s="34"/>
      <c r="E55" s="19"/>
      <c r="F55" s="87"/>
      <c r="G55" s="37"/>
      <c r="H55" s="70"/>
      <c r="I55" s="20"/>
      <c r="J55" s="25"/>
      <c r="L55" s="21"/>
      <c r="M55" s="22"/>
      <c r="N55" s="23"/>
    </row>
    <row r="56" spans="1:14" ht="15.75" hidden="1" customHeight="1">
      <c r="A56" s="41"/>
      <c r="B56" s="93" t="s">
        <v>45</v>
      </c>
      <c r="C56" s="94" t="s">
        <v>90</v>
      </c>
      <c r="D56" s="93" t="s">
        <v>54</v>
      </c>
      <c r="E56" s="95">
        <v>855.9</v>
      </c>
      <c r="F56" s="97">
        <v>8.6</v>
      </c>
      <c r="G56" s="13">
        <v>747.3</v>
      </c>
      <c r="H56" s="101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9</v>
      </c>
      <c r="B57" s="93" t="s">
        <v>88</v>
      </c>
      <c r="C57" s="94" t="s">
        <v>25</v>
      </c>
      <c r="D57" s="93" t="s">
        <v>190</v>
      </c>
      <c r="E57" s="95">
        <v>256</v>
      </c>
      <c r="F57" s="97">
        <v>1560</v>
      </c>
      <c r="G57" s="13">
        <v>1.4</v>
      </c>
      <c r="H57" s="101">
        <f>F57*G57/1000</f>
        <v>2.1840000000000002</v>
      </c>
      <c r="I57" s="13">
        <f>F57/12*G57</f>
        <v>182</v>
      </c>
      <c r="J57" s="25"/>
      <c r="L57" s="21"/>
      <c r="M57" s="22"/>
      <c r="N57" s="23"/>
    </row>
    <row r="58" spans="1:14" ht="15.75" hidden="1" customHeight="1">
      <c r="A58" s="41"/>
      <c r="B58" s="69" t="s">
        <v>128</v>
      </c>
      <c r="C58" s="40"/>
      <c r="D58" s="34"/>
      <c r="E58" s="19"/>
      <c r="F58" s="87"/>
      <c r="G58" s="71"/>
      <c r="H58" s="70"/>
      <c r="I58" s="20"/>
      <c r="J58" s="25"/>
      <c r="L58" s="21"/>
      <c r="M58" s="22"/>
      <c r="N58" s="23"/>
    </row>
    <row r="59" spans="1:14" ht="15.75" hidden="1" customHeight="1">
      <c r="A59" s="41"/>
      <c r="B59" s="93" t="s">
        <v>129</v>
      </c>
      <c r="C59" s="94" t="s">
        <v>87</v>
      </c>
      <c r="D59" s="93" t="s">
        <v>65</v>
      </c>
      <c r="E59" s="95">
        <v>2</v>
      </c>
      <c r="F59" s="96">
        <f>SUM(E59)</f>
        <v>2</v>
      </c>
      <c r="G59" s="102">
        <v>237.75</v>
      </c>
      <c r="H59" s="97">
        <f t="shared" ref="H59" si="10">SUM(F59*G59/1000)</f>
        <v>0.47549999999999998</v>
      </c>
      <c r="I59" s="13">
        <v>0</v>
      </c>
      <c r="J59" s="25"/>
      <c r="L59" s="21"/>
      <c r="M59" s="22"/>
      <c r="N59" s="23"/>
    </row>
    <row r="60" spans="1:14" ht="15.75" customHeight="1">
      <c r="A60" s="41"/>
      <c r="B60" s="83" t="s">
        <v>46</v>
      </c>
      <c r="C60" s="17"/>
      <c r="D60" s="16"/>
      <c r="E60" s="16"/>
      <c r="F60" s="88"/>
      <c r="G60" s="65"/>
      <c r="H60" s="70"/>
      <c r="I60" s="19"/>
      <c r="J60" s="25"/>
      <c r="L60" s="21"/>
      <c r="M60" s="22"/>
      <c r="N60" s="23"/>
    </row>
    <row r="61" spans="1:14" ht="15.75" customHeight="1">
      <c r="A61" s="41">
        <v>10</v>
      </c>
      <c r="B61" s="15" t="s">
        <v>47</v>
      </c>
      <c r="C61" s="17" t="s">
        <v>87</v>
      </c>
      <c r="D61" s="93" t="s">
        <v>200</v>
      </c>
      <c r="E61" s="19">
        <v>10</v>
      </c>
      <c r="F61" s="96">
        <v>10</v>
      </c>
      <c r="G61" s="13">
        <v>222.4</v>
      </c>
      <c r="H61" s="103">
        <f t="shared" ref="H61:H68" si="11">SUM(F61*G61/1000)</f>
        <v>2.2240000000000002</v>
      </c>
      <c r="I61" s="13">
        <f>G61*3</f>
        <v>667.2</v>
      </c>
      <c r="J61" s="25"/>
      <c r="L61" s="21"/>
      <c r="M61" s="22"/>
      <c r="N61" s="23"/>
    </row>
    <row r="62" spans="1:14" ht="15.75" hidden="1" customHeight="1">
      <c r="A62" s="31">
        <v>29</v>
      </c>
      <c r="B62" s="15" t="s">
        <v>48</v>
      </c>
      <c r="C62" s="17" t="s">
        <v>87</v>
      </c>
      <c r="D62" s="93" t="s">
        <v>65</v>
      </c>
      <c r="E62" s="19">
        <v>5</v>
      </c>
      <c r="F62" s="96">
        <v>5</v>
      </c>
      <c r="G62" s="13">
        <v>75.25</v>
      </c>
      <c r="H62" s="103">
        <f t="shared" si="11"/>
        <v>0.37624999999999997</v>
      </c>
      <c r="I62" s="13">
        <v>0</v>
      </c>
      <c r="J62" s="25"/>
      <c r="L62" s="21"/>
      <c r="M62" s="22"/>
      <c r="N62" s="23"/>
    </row>
    <row r="63" spans="1:14" ht="15.75" hidden="1" customHeight="1">
      <c r="A63" s="31">
        <v>25</v>
      </c>
      <c r="B63" s="15" t="s">
        <v>49</v>
      </c>
      <c r="C63" s="17" t="s">
        <v>113</v>
      </c>
      <c r="D63" s="15" t="s">
        <v>54</v>
      </c>
      <c r="E63" s="95">
        <v>13018</v>
      </c>
      <c r="F63" s="13">
        <f>SUM(E63/100)</f>
        <v>130.18</v>
      </c>
      <c r="G63" s="13">
        <v>212.15</v>
      </c>
      <c r="H63" s="103">
        <f t="shared" si="11"/>
        <v>27.617687</v>
      </c>
      <c r="I63" s="13">
        <f>F63*G63</f>
        <v>27617.687000000002</v>
      </c>
      <c r="J63" s="25"/>
      <c r="L63" s="21"/>
      <c r="M63" s="22"/>
      <c r="N63" s="23"/>
    </row>
    <row r="64" spans="1:14" ht="15.75" hidden="1" customHeight="1">
      <c r="A64" s="31">
        <v>26</v>
      </c>
      <c r="B64" s="15" t="s">
        <v>50</v>
      </c>
      <c r="C64" s="17" t="s">
        <v>114</v>
      </c>
      <c r="D64" s="15"/>
      <c r="E64" s="95">
        <v>13018</v>
      </c>
      <c r="F64" s="13">
        <f>SUM(E64/1000)</f>
        <v>13.018000000000001</v>
      </c>
      <c r="G64" s="13">
        <v>165.21</v>
      </c>
      <c r="H64" s="103">
        <f t="shared" si="11"/>
        <v>2.1507037800000002</v>
      </c>
      <c r="I64" s="13">
        <f t="shared" ref="I64:I68" si="12">F64*G64</f>
        <v>2150.7037800000003</v>
      </c>
      <c r="J64" s="25"/>
      <c r="L64" s="21"/>
      <c r="M64" s="22"/>
      <c r="N64" s="23"/>
    </row>
    <row r="65" spans="1:14" ht="15.75" hidden="1" customHeight="1">
      <c r="A65" s="31">
        <v>27</v>
      </c>
      <c r="B65" s="15" t="s">
        <v>51</v>
      </c>
      <c r="C65" s="17" t="s">
        <v>76</v>
      </c>
      <c r="D65" s="15" t="s">
        <v>54</v>
      </c>
      <c r="E65" s="95">
        <v>1279</v>
      </c>
      <c r="F65" s="13">
        <f>SUM(E65/100)</f>
        <v>12.79</v>
      </c>
      <c r="G65" s="13">
        <v>2074.63</v>
      </c>
      <c r="H65" s="103">
        <f t="shared" si="11"/>
        <v>26.534517700000002</v>
      </c>
      <c r="I65" s="13">
        <f t="shared" si="12"/>
        <v>26534.5177</v>
      </c>
      <c r="J65" s="25"/>
      <c r="L65" s="21"/>
      <c r="M65" s="22"/>
      <c r="N65" s="23"/>
    </row>
    <row r="66" spans="1:14" ht="15.75" hidden="1" customHeight="1">
      <c r="A66" s="31">
        <v>28</v>
      </c>
      <c r="B66" s="104" t="s">
        <v>115</v>
      </c>
      <c r="C66" s="17" t="s">
        <v>32</v>
      </c>
      <c r="D66" s="15"/>
      <c r="E66" s="95">
        <v>12</v>
      </c>
      <c r="F66" s="13">
        <f>SUM(E66)</f>
        <v>12</v>
      </c>
      <c r="G66" s="13">
        <v>45.32</v>
      </c>
      <c r="H66" s="103">
        <f t="shared" si="11"/>
        <v>0.54383999999999999</v>
      </c>
      <c r="I66" s="13">
        <f t="shared" si="12"/>
        <v>543.84</v>
      </c>
      <c r="J66" s="25"/>
      <c r="L66" s="21"/>
      <c r="M66" s="22"/>
      <c r="N66" s="23"/>
    </row>
    <row r="67" spans="1:14" ht="15.75" hidden="1" customHeight="1">
      <c r="A67" s="31">
        <v>29</v>
      </c>
      <c r="B67" s="104" t="s">
        <v>116</v>
      </c>
      <c r="C67" s="17" t="s">
        <v>32</v>
      </c>
      <c r="D67" s="15"/>
      <c r="E67" s="95">
        <v>12</v>
      </c>
      <c r="F67" s="13">
        <f>SUM(E67)</f>
        <v>12</v>
      </c>
      <c r="G67" s="13">
        <v>42.28</v>
      </c>
      <c r="H67" s="103">
        <f t="shared" si="11"/>
        <v>0.50736000000000003</v>
      </c>
      <c r="I67" s="13">
        <f t="shared" si="12"/>
        <v>507.36</v>
      </c>
      <c r="J67" s="25"/>
      <c r="L67" s="21"/>
      <c r="M67" s="22"/>
      <c r="N67" s="23"/>
    </row>
    <row r="68" spans="1:14" ht="15.75" hidden="1" customHeight="1">
      <c r="A68" s="31">
        <v>22</v>
      </c>
      <c r="B68" s="15" t="s">
        <v>57</v>
      </c>
      <c r="C68" s="17" t="s">
        <v>58</v>
      </c>
      <c r="D68" s="15" t="s">
        <v>54</v>
      </c>
      <c r="E68" s="19">
        <v>1</v>
      </c>
      <c r="F68" s="96">
        <f>SUM(E68)</f>
        <v>1</v>
      </c>
      <c r="G68" s="13">
        <v>49.88</v>
      </c>
      <c r="H68" s="103">
        <f t="shared" si="11"/>
        <v>4.9880000000000001E-2</v>
      </c>
      <c r="I68" s="13">
        <f t="shared" si="12"/>
        <v>49.88</v>
      </c>
      <c r="J68" s="25"/>
      <c r="L68" s="21"/>
      <c r="M68" s="22"/>
      <c r="N68" s="23"/>
    </row>
    <row r="69" spans="1:14" ht="15.75" hidden="1" customHeight="1">
      <c r="A69" s="92"/>
      <c r="B69" s="83" t="s">
        <v>117</v>
      </c>
      <c r="C69" s="83"/>
      <c r="D69" s="83"/>
      <c r="E69" s="83"/>
      <c r="F69" s="83"/>
      <c r="G69" s="83"/>
      <c r="H69" s="83"/>
      <c r="I69" s="19"/>
      <c r="J69" s="25"/>
      <c r="L69" s="21"/>
      <c r="M69" s="22"/>
      <c r="N69" s="23"/>
    </row>
    <row r="70" spans="1:14" ht="15.75" hidden="1" customHeight="1">
      <c r="A70" s="31">
        <v>16</v>
      </c>
      <c r="B70" s="93" t="s">
        <v>118</v>
      </c>
      <c r="C70" s="17"/>
      <c r="D70" s="15"/>
      <c r="E70" s="87"/>
      <c r="F70" s="13">
        <v>1</v>
      </c>
      <c r="G70" s="13">
        <v>10041.700000000001</v>
      </c>
      <c r="H70" s="103">
        <f>G70*F70/1000</f>
        <v>10.041700000000001</v>
      </c>
      <c r="I70" s="13">
        <f>G70</f>
        <v>10041.700000000001</v>
      </c>
      <c r="J70" s="25"/>
      <c r="L70" s="21"/>
      <c r="M70" s="22"/>
      <c r="N70" s="23"/>
    </row>
    <row r="71" spans="1:14" ht="21.75" hidden="1" customHeight="1">
      <c r="A71" s="31"/>
      <c r="B71" s="49" t="s">
        <v>72</v>
      </c>
      <c r="C71" s="49"/>
      <c r="D71" s="49"/>
      <c r="E71" s="19"/>
      <c r="F71" s="19"/>
      <c r="G71" s="31"/>
      <c r="H71" s="31"/>
      <c r="I71" s="19"/>
      <c r="J71" s="25"/>
      <c r="L71" s="21"/>
      <c r="M71" s="22"/>
      <c r="N71" s="23"/>
    </row>
    <row r="72" spans="1:14" ht="15" hidden="1" customHeight="1">
      <c r="A72" s="31">
        <v>17</v>
      </c>
      <c r="B72" s="15" t="s">
        <v>73</v>
      </c>
      <c r="C72" s="17" t="s">
        <v>74</v>
      </c>
      <c r="D72" s="15" t="s">
        <v>65</v>
      </c>
      <c r="E72" s="19">
        <v>5</v>
      </c>
      <c r="F72" s="13">
        <v>0.5</v>
      </c>
      <c r="G72" s="13">
        <v>501.62</v>
      </c>
      <c r="H72" s="103">
        <f t="shared" ref="H72:H74" si="13">SUM(F72*G72/1000)</f>
        <v>0.25080999999999998</v>
      </c>
      <c r="I72" s="13">
        <f>G72*0.1</f>
        <v>50.162000000000006</v>
      </c>
      <c r="J72" s="25"/>
      <c r="L72" s="21"/>
      <c r="M72" s="22"/>
      <c r="N72" s="23"/>
    </row>
    <row r="73" spans="1:14" ht="24.75" hidden="1" customHeight="1">
      <c r="A73" s="31"/>
      <c r="B73" s="15" t="s">
        <v>130</v>
      </c>
      <c r="C73" s="17" t="s">
        <v>87</v>
      </c>
      <c r="D73" s="15"/>
      <c r="E73" s="19">
        <v>1</v>
      </c>
      <c r="F73" s="86">
        <f>E73</f>
        <v>1</v>
      </c>
      <c r="G73" s="13">
        <v>852.99</v>
      </c>
      <c r="H73" s="103">
        <f t="shared" si="13"/>
        <v>0.85299000000000003</v>
      </c>
      <c r="I73" s="13">
        <v>0</v>
      </c>
      <c r="J73" s="25"/>
      <c r="L73" s="21"/>
      <c r="M73" s="22"/>
      <c r="N73" s="23"/>
    </row>
    <row r="74" spans="1:14" ht="28.5" hidden="1" customHeight="1">
      <c r="A74" s="31"/>
      <c r="B74" s="15" t="s">
        <v>131</v>
      </c>
      <c r="C74" s="17" t="s">
        <v>87</v>
      </c>
      <c r="D74" s="15"/>
      <c r="E74" s="19">
        <v>1</v>
      </c>
      <c r="F74" s="96">
        <f>SUM(E74)</f>
        <v>1</v>
      </c>
      <c r="G74" s="13">
        <v>358.51</v>
      </c>
      <c r="H74" s="103">
        <f t="shared" si="13"/>
        <v>0.35851</v>
      </c>
      <c r="I74" s="13">
        <v>0</v>
      </c>
      <c r="J74" s="25"/>
      <c r="L74" s="21"/>
      <c r="M74" s="22"/>
      <c r="N74" s="23"/>
    </row>
    <row r="75" spans="1:14" ht="25.5" hidden="1" customHeight="1">
      <c r="A75" s="31"/>
      <c r="B75" s="50" t="s">
        <v>75</v>
      </c>
      <c r="C75" s="38"/>
      <c r="D75" s="31"/>
      <c r="E75" s="19"/>
      <c r="F75" s="19"/>
      <c r="G75" s="37" t="s">
        <v>119</v>
      </c>
      <c r="H75" s="37"/>
      <c r="I75" s="19"/>
      <c r="J75" s="25"/>
      <c r="L75" s="21"/>
      <c r="M75" s="22"/>
      <c r="N75" s="23"/>
    </row>
    <row r="76" spans="1:14" ht="25.5" hidden="1" customHeight="1">
      <c r="A76" s="31">
        <v>12</v>
      </c>
      <c r="B76" s="52" t="s">
        <v>120</v>
      </c>
      <c r="C76" s="17" t="s">
        <v>76</v>
      </c>
      <c r="D76" s="15"/>
      <c r="E76" s="19"/>
      <c r="F76" s="13">
        <v>0.3</v>
      </c>
      <c r="G76" s="13">
        <v>2759.44</v>
      </c>
      <c r="H76" s="103">
        <f t="shared" ref="H76" si="14">SUM(F76*G76/1000)</f>
        <v>0.82783200000000001</v>
      </c>
      <c r="I76" s="13">
        <v>0</v>
      </c>
      <c r="J76" s="25"/>
      <c r="L76" s="21"/>
      <c r="M76" s="22"/>
      <c r="N76" s="23"/>
    </row>
    <row r="77" spans="1:14" ht="15.75" customHeight="1">
      <c r="A77" s="31"/>
      <c r="B77" s="151" t="s">
        <v>215</v>
      </c>
      <c r="C77" s="38"/>
      <c r="D77" s="124"/>
      <c r="E77" s="18"/>
      <c r="F77" s="70"/>
      <c r="G77" s="37"/>
      <c r="H77" s="144"/>
      <c r="I77" s="145"/>
      <c r="J77" s="25"/>
      <c r="L77" s="21"/>
      <c r="M77" s="22"/>
      <c r="N77" s="23"/>
    </row>
    <row r="78" spans="1:14" ht="31.5" customHeight="1">
      <c r="A78" s="31">
        <v>11</v>
      </c>
      <c r="B78" s="124" t="s">
        <v>216</v>
      </c>
      <c r="C78" s="41" t="s">
        <v>217</v>
      </c>
      <c r="D78" s="124"/>
      <c r="E78" s="18">
        <v>2581.1999999999998</v>
      </c>
      <c r="F78" s="37">
        <f>E78*12</f>
        <v>30974.399999999998</v>
      </c>
      <c r="G78" s="37">
        <v>2.4900000000000002</v>
      </c>
      <c r="H78" s="144"/>
      <c r="I78" s="145">
        <f>G78*F78/12</f>
        <v>6427.1879999999992</v>
      </c>
      <c r="J78" s="25"/>
      <c r="L78" s="21"/>
      <c r="M78" s="22"/>
      <c r="N78" s="23"/>
    </row>
    <row r="79" spans="1:14" ht="15.75" customHeight="1">
      <c r="A79" s="159" t="s">
        <v>145</v>
      </c>
      <c r="B79" s="160"/>
      <c r="C79" s="160"/>
      <c r="D79" s="160"/>
      <c r="E79" s="160"/>
      <c r="F79" s="160"/>
      <c r="G79" s="160"/>
      <c r="H79" s="160"/>
      <c r="I79" s="161"/>
      <c r="J79" s="25"/>
      <c r="L79" s="21"/>
      <c r="M79" s="22"/>
      <c r="N79" s="23"/>
    </row>
    <row r="80" spans="1:14" ht="15.75" customHeight="1">
      <c r="A80" s="31">
        <v>12</v>
      </c>
      <c r="B80" s="93" t="s">
        <v>121</v>
      </c>
      <c r="C80" s="17" t="s">
        <v>55</v>
      </c>
      <c r="D80" s="106"/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13</v>
      </c>
      <c r="B81" s="15" t="s">
        <v>77</v>
      </c>
      <c r="C81" s="17"/>
      <c r="D81" s="106"/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92"/>
      <c r="B82" s="39" t="s">
        <v>79</v>
      </c>
      <c r="C82" s="41"/>
      <c r="D82" s="16"/>
      <c r="E82" s="16"/>
      <c r="F82" s="16"/>
      <c r="G82" s="19"/>
      <c r="H82" s="19"/>
      <c r="I82" s="33">
        <f>I81+I80+I61+I57+I31+I30+I27+I21+I20+I18+I17+I16+I78</f>
        <v>27774.499494166666</v>
      </c>
    </row>
    <row r="83" spans="1:22" ht="15.75" customHeight="1">
      <c r="A83" s="162" t="s">
        <v>60</v>
      </c>
      <c r="B83" s="163"/>
      <c r="C83" s="163"/>
      <c r="D83" s="163"/>
      <c r="E83" s="163"/>
      <c r="F83" s="163"/>
      <c r="G83" s="163"/>
      <c r="H83" s="163"/>
      <c r="I83" s="164"/>
    </row>
    <row r="84" spans="1:22" ht="15.75" customHeight="1">
      <c r="A84" s="31">
        <v>14</v>
      </c>
      <c r="B84" s="122" t="s">
        <v>95</v>
      </c>
      <c r="C84" s="123" t="s">
        <v>87</v>
      </c>
      <c r="D84" s="52"/>
      <c r="E84" s="13"/>
      <c r="F84" s="13"/>
      <c r="G84" s="37">
        <v>58.39</v>
      </c>
      <c r="H84" s="103"/>
      <c r="I84" s="13">
        <f>G84*1</f>
        <v>58.39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32.25" customHeight="1">
      <c r="A85" s="31">
        <v>15</v>
      </c>
      <c r="B85" s="122" t="s">
        <v>245</v>
      </c>
      <c r="C85" s="123" t="s">
        <v>181</v>
      </c>
      <c r="D85" s="124" t="s">
        <v>243</v>
      </c>
      <c r="E85" s="18"/>
      <c r="F85" s="37">
        <v>2</v>
      </c>
      <c r="G85" s="37">
        <v>1465</v>
      </c>
      <c r="H85" s="105">
        <f t="shared" ref="H85:H87" si="15">G85*F85/1000</f>
        <v>2.93</v>
      </c>
      <c r="I85" s="13">
        <f>G85*2</f>
        <v>2930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33" customHeight="1">
      <c r="A86" s="31">
        <v>16</v>
      </c>
      <c r="B86" s="122" t="s">
        <v>165</v>
      </c>
      <c r="C86" s="123" t="s">
        <v>83</v>
      </c>
      <c r="D86" s="41" t="s">
        <v>242</v>
      </c>
      <c r="E86" s="37"/>
      <c r="F86" s="37">
        <v>6</v>
      </c>
      <c r="G86" s="37">
        <v>214.07</v>
      </c>
      <c r="H86" s="105">
        <f t="shared" si="15"/>
        <v>1.2844200000000001</v>
      </c>
      <c r="I86" s="13">
        <f>G86*1</f>
        <v>214.07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5" customHeight="1">
      <c r="A87" s="31">
        <v>17</v>
      </c>
      <c r="B87" s="122" t="s">
        <v>208</v>
      </c>
      <c r="C87" s="123" t="s">
        <v>181</v>
      </c>
      <c r="D87" s="38"/>
      <c r="E87" s="37"/>
      <c r="F87" s="37">
        <v>0.05</v>
      </c>
      <c r="G87" s="37">
        <v>273</v>
      </c>
      <c r="H87" s="105">
        <f t="shared" si="15"/>
        <v>1.3650000000000001E-2</v>
      </c>
      <c r="I87" s="13">
        <f>G87*12</f>
        <v>3276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6.5" customHeight="1">
      <c r="A88" s="31">
        <v>18</v>
      </c>
      <c r="B88" s="125" t="s">
        <v>240</v>
      </c>
      <c r="C88" s="41" t="s">
        <v>124</v>
      </c>
      <c r="D88" s="38" t="s">
        <v>244</v>
      </c>
      <c r="E88" s="37"/>
      <c r="F88" s="37">
        <v>2</v>
      </c>
      <c r="G88" s="37">
        <v>45187.4</v>
      </c>
      <c r="H88" s="105">
        <f>G88*F88/1000</f>
        <v>90.374800000000008</v>
      </c>
      <c r="I88" s="13">
        <f>G88*0.01</f>
        <v>451.87400000000002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45" customHeight="1">
      <c r="A89" s="31">
        <v>19</v>
      </c>
      <c r="B89" s="122" t="s">
        <v>154</v>
      </c>
      <c r="C89" s="123" t="s">
        <v>155</v>
      </c>
      <c r="D89" s="17"/>
      <c r="E89" s="13"/>
      <c r="F89" s="13">
        <v>4</v>
      </c>
      <c r="G89" s="37">
        <v>11233.15</v>
      </c>
      <c r="H89" s="103">
        <f>G89*F89/1000</f>
        <v>44.932600000000001</v>
      </c>
      <c r="I89" s="13">
        <f>G89*0.01</f>
        <v>112.33150000000001</v>
      </c>
      <c r="J89" s="27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2" ht="34.5" customHeight="1">
      <c r="A90" s="31">
        <v>20</v>
      </c>
      <c r="B90" s="122" t="s">
        <v>204</v>
      </c>
      <c r="C90" s="123" t="s">
        <v>205</v>
      </c>
      <c r="D90" s="17" t="s">
        <v>241</v>
      </c>
      <c r="E90" s="13"/>
      <c r="F90" s="13"/>
      <c r="G90" s="37">
        <v>59.21</v>
      </c>
      <c r="H90" s="103"/>
      <c r="I90" s="13">
        <f>G90*1</f>
        <v>59.21</v>
      </c>
      <c r="J90" s="27"/>
      <c r="K90" s="27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2" ht="34.5" customHeight="1">
      <c r="A91" s="31">
        <v>21</v>
      </c>
      <c r="B91" s="125" t="s">
        <v>161</v>
      </c>
      <c r="C91" s="41" t="s">
        <v>29</v>
      </c>
      <c r="D91" s="17"/>
      <c r="E91" s="13"/>
      <c r="F91" s="13"/>
      <c r="G91" s="142">
        <v>19757.060000000001</v>
      </c>
      <c r="H91" s="103"/>
      <c r="I91" s="13">
        <f>G91*0.599*3/1000</f>
        <v>35.503436820000005</v>
      </c>
      <c r="J91" s="27"/>
      <c r="K91" s="27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2" ht="15.75" customHeight="1">
      <c r="A92" s="31"/>
      <c r="B92" s="46" t="s">
        <v>52</v>
      </c>
      <c r="C92" s="42"/>
      <c r="D92" s="54"/>
      <c r="E92" s="42">
        <v>1</v>
      </c>
      <c r="F92" s="42"/>
      <c r="G92" s="42"/>
      <c r="H92" s="42"/>
      <c r="I92" s="33">
        <f>SUM(I84:I91)</f>
        <v>7137.3789368200005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1:22" ht="15.75" customHeight="1">
      <c r="A93" s="31"/>
      <c r="B93" s="52" t="s">
        <v>78</v>
      </c>
      <c r="C93" s="16"/>
      <c r="D93" s="16"/>
      <c r="E93" s="43"/>
      <c r="F93" s="43"/>
      <c r="G93" s="44"/>
      <c r="H93" s="44"/>
      <c r="I93" s="18">
        <v>0</v>
      </c>
    </row>
    <row r="94" spans="1:22" ht="15.75" customHeight="1">
      <c r="A94" s="55"/>
      <c r="B94" s="47" t="s">
        <v>138</v>
      </c>
      <c r="C94" s="36"/>
      <c r="D94" s="36"/>
      <c r="E94" s="36"/>
      <c r="F94" s="36"/>
      <c r="G94" s="36"/>
      <c r="H94" s="36"/>
      <c r="I94" s="45">
        <f>I82+I92</f>
        <v>34911.878430986668</v>
      </c>
    </row>
    <row r="95" spans="1:22" ht="15.75" customHeight="1">
      <c r="A95" s="158" t="s">
        <v>246</v>
      </c>
      <c r="B95" s="158"/>
      <c r="C95" s="158"/>
      <c r="D95" s="158"/>
      <c r="E95" s="158"/>
      <c r="F95" s="158"/>
      <c r="G95" s="158"/>
      <c r="H95" s="158"/>
      <c r="I95" s="158"/>
    </row>
    <row r="96" spans="1:22" ht="15.75" customHeight="1">
      <c r="A96" s="79"/>
      <c r="B96" s="171" t="s">
        <v>247</v>
      </c>
      <c r="C96" s="171"/>
      <c r="D96" s="171"/>
      <c r="E96" s="171"/>
      <c r="F96" s="171"/>
      <c r="G96" s="171"/>
      <c r="H96" s="91"/>
      <c r="I96" s="3"/>
    </row>
    <row r="97" spans="1:9" ht="15.75" customHeight="1">
      <c r="A97" s="82"/>
      <c r="B97" s="172" t="s">
        <v>6</v>
      </c>
      <c r="C97" s="172"/>
      <c r="D97" s="172"/>
      <c r="E97" s="172"/>
      <c r="F97" s="172"/>
      <c r="G97" s="172"/>
      <c r="H97" s="26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73" t="s">
        <v>7</v>
      </c>
      <c r="B99" s="173"/>
      <c r="C99" s="173"/>
      <c r="D99" s="173"/>
      <c r="E99" s="173"/>
      <c r="F99" s="173"/>
      <c r="G99" s="173"/>
      <c r="H99" s="173"/>
      <c r="I99" s="173"/>
    </row>
    <row r="100" spans="1:9" ht="15.75" customHeight="1">
      <c r="A100" s="173" t="s">
        <v>8</v>
      </c>
      <c r="B100" s="173"/>
      <c r="C100" s="173"/>
      <c r="D100" s="173"/>
      <c r="E100" s="173"/>
      <c r="F100" s="173"/>
      <c r="G100" s="173"/>
      <c r="H100" s="173"/>
      <c r="I100" s="173"/>
    </row>
    <row r="101" spans="1:9" ht="15.75" customHeight="1">
      <c r="A101" s="176" t="s">
        <v>61</v>
      </c>
      <c r="B101" s="176"/>
      <c r="C101" s="176"/>
      <c r="D101" s="176"/>
      <c r="E101" s="176"/>
      <c r="F101" s="176"/>
      <c r="G101" s="176"/>
      <c r="H101" s="176"/>
      <c r="I101" s="176"/>
    </row>
    <row r="102" spans="1:9" ht="15.75" customHeight="1">
      <c r="A102" s="11"/>
    </row>
    <row r="103" spans="1:9" ht="15.75" customHeight="1">
      <c r="A103" s="177" t="s">
        <v>9</v>
      </c>
      <c r="B103" s="177"/>
      <c r="C103" s="177"/>
      <c r="D103" s="177"/>
      <c r="E103" s="177"/>
      <c r="F103" s="177"/>
      <c r="G103" s="177"/>
      <c r="H103" s="177"/>
      <c r="I103" s="177"/>
    </row>
    <row r="104" spans="1:9" ht="15.75" customHeight="1">
      <c r="A104" s="4"/>
    </row>
    <row r="105" spans="1:9" ht="15.75" customHeight="1">
      <c r="B105" s="85" t="s">
        <v>10</v>
      </c>
      <c r="C105" s="178" t="s">
        <v>86</v>
      </c>
      <c r="D105" s="178"/>
      <c r="E105" s="178"/>
      <c r="F105" s="89"/>
      <c r="I105" s="81"/>
    </row>
    <row r="106" spans="1:9" ht="15.75" customHeight="1">
      <c r="A106" s="82"/>
      <c r="C106" s="172" t="s">
        <v>11</v>
      </c>
      <c r="D106" s="172"/>
      <c r="E106" s="172"/>
      <c r="F106" s="26"/>
      <c r="I106" s="80" t="s">
        <v>12</v>
      </c>
    </row>
    <row r="107" spans="1:9" ht="15.75" customHeight="1">
      <c r="A107" s="27"/>
      <c r="C107" s="12"/>
      <c r="D107" s="12"/>
      <c r="G107" s="12"/>
      <c r="H107" s="12"/>
    </row>
    <row r="108" spans="1:9" ht="15.75" customHeight="1">
      <c r="B108" s="85" t="s">
        <v>13</v>
      </c>
      <c r="C108" s="179"/>
      <c r="D108" s="179"/>
      <c r="E108" s="179"/>
      <c r="F108" s="90"/>
      <c r="I108" s="81"/>
    </row>
    <row r="109" spans="1:9" ht="15.75" customHeight="1">
      <c r="A109" s="82"/>
      <c r="C109" s="175" t="s">
        <v>11</v>
      </c>
      <c r="D109" s="175"/>
      <c r="E109" s="175"/>
      <c r="F109" s="82"/>
      <c r="I109" s="80" t="s">
        <v>12</v>
      </c>
    </row>
    <row r="110" spans="1:9" ht="15.75" customHeight="1">
      <c r="A110" s="4" t="s">
        <v>14</v>
      </c>
    </row>
    <row r="111" spans="1:9">
      <c r="A111" s="174" t="s">
        <v>15</v>
      </c>
      <c r="B111" s="174"/>
      <c r="C111" s="174"/>
      <c r="D111" s="174"/>
      <c r="E111" s="174"/>
      <c r="F111" s="174"/>
      <c r="G111" s="174"/>
      <c r="H111" s="174"/>
      <c r="I111" s="174"/>
    </row>
    <row r="112" spans="1:9" ht="45" customHeight="1">
      <c r="A112" s="170" t="s">
        <v>16</v>
      </c>
      <c r="B112" s="170"/>
      <c r="C112" s="170"/>
      <c r="D112" s="170"/>
      <c r="E112" s="170"/>
      <c r="F112" s="170"/>
      <c r="G112" s="170"/>
      <c r="H112" s="170"/>
      <c r="I112" s="170"/>
    </row>
    <row r="113" spans="1:9" ht="30" customHeight="1">
      <c r="A113" s="170" t="s">
        <v>17</v>
      </c>
      <c r="B113" s="170"/>
      <c r="C113" s="170"/>
      <c r="D113" s="170"/>
      <c r="E113" s="170"/>
      <c r="F113" s="170"/>
      <c r="G113" s="170"/>
      <c r="H113" s="170"/>
      <c r="I113" s="170"/>
    </row>
    <row r="114" spans="1:9" ht="30" customHeight="1">
      <c r="A114" s="170" t="s">
        <v>21</v>
      </c>
      <c r="B114" s="170"/>
      <c r="C114" s="170"/>
      <c r="D114" s="170"/>
      <c r="E114" s="170"/>
      <c r="F114" s="170"/>
      <c r="G114" s="170"/>
      <c r="H114" s="170"/>
      <c r="I114" s="170"/>
    </row>
    <row r="115" spans="1:9" ht="15" customHeight="1">
      <c r="A115" s="170" t="s">
        <v>20</v>
      </c>
      <c r="B115" s="170"/>
      <c r="C115" s="170"/>
      <c r="D115" s="170"/>
      <c r="E115" s="170"/>
      <c r="F115" s="170"/>
      <c r="G115" s="170"/>
      <c r="H115" s="170"/>
      <c r="I115" s="170"/>
    </row>
  </sheetData>
  <autoFilter ref="I12:I82"/>
  <mergeCells count="28">
    <mergeCell ref="A14:I14"/>
    <mergeCell ref="A3:I3"/>
    <mergeCell ref="A4:I4"/>
    <mergeCell ref="A5:I5"/>
    <mergeCell ref="A8:I8"/>
    <mergeCell ref="A10:I10"/>
    <mergeCell ref="A101:I101"/>
    <mergeCell ref="A15:I15"/>
    <mergeCell ref="A28:I28"/>
    <mergeCell ref="A41:I41"/>
    <mergeCell ref="A52:I52"/>
    <mergeCell ref="A79:I79"/>
    <mergeCell ref="A83:I83"/>
    <mergeCell ref="A95:I95"/>
    <mergeCell ref="B96:G96"/>
    <mergeCell ref="B97:G97"/>
    <mergeCell ref="A99:I99"/>
    <mergeCell ref="A100:I100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6"/>
  <sheetViews>
    <sheetView view="pageBreakPreview" topLeftCell="A82" zoomScale="60" workbookViewId="0">
      <selection activeCell="B79" sqref="B79:I8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5" t="s">
        <v>153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122</v>
      </c>
      <c r="B4" s="166"/>
      <c r="C4" s="166"/>
      <c r="D4" s="166"/>
      <c r="E4" s="166"/>
      <c r="F4" s="166"/>
      <c r="G4" s="166"/>
      <c r="H4" s="166"/>
      <c r="I4" s="166"/>
    </row>
    <row r="5" spans="1:13" ht="15.75" customHeight="1">
      <c r="A5" s="165" t="s">
        <v>248</v>
      </c>
      <c r="B5" s="169"/>
      <c r="C5" s="169"/>
      <c r="D5" s="169"/>
      <c r="E5" s="169"/>
      <c r="F5" s="169"/>
      <c r="G5" s="169"/>
      <c r="H5" s="169"/>
      <c r="I5" s="169"/>
      <c r="J5" s="2"/>
      <c r="K5" s="2"/>
      <c r="L5" s="2"/>
      <c r="M5" s="2"/>
    </row>
    <row r="6" spans="1:13" ht="15.75" customHeight="1">
      <c r="A6" s="2"/>
      <c r="B6" s="110"/>
      <c r="C6" s="110"/>
      <c r="D6" s="110"/>
      <c r="E6" s="110"/>
      <c r="F6" s="110"/>
      <c r="G6" s="110"/>
      <c r="H6" s="110"/>
      <c r="I6" s="32">
        <v>43799</v>
      </c>
      <c r="J6" s="2"/>
      <c r="K6" s="2"/>
      <c r="L6" s="2"/>
      <c r="M6" s="2"/>
    </row>
    <row r="7" spans="1:13" ht="15.75" customHeight="1">
      <c r="B7" s="113"/>
      <c r="C7" s="113"/>
      <c r="D7" s="113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7" t="s">
        <v>160</v>
      </c>
      <c r="B8" s="167"/>
      <c r="C8" s="167"/>
      <c r="D8" s="167"/>
      <c r="E8" s="167"/>
      <c r="F8" s="167"/>
      <c r="G8" s="167"/>
      <c r="H8" s="167"/>
      <c r="I8" s="167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8" t="s">
        <v>152</v>
      </c>
      <c r="B10" s="168"/>
      <c r="C10" s="168"/>
      <c r="D10" s="168"/>
      <c r="E10" s="168"/>
      <c r="F10" s="168"/>
      <c r="G10" s="168"/>
      <c r="H10" s="168"/>
      <c r="I10" s="16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59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1">
        <v>1</v>
      </c>
      <c r="B16" s="93" t="s">
        <v>85</v>
      </c>
      <c r="C16" s="94" t="s">
        <v>90</v>
      </c>
      <c r="D16" s="93" t="s">
        <v>186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7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99</v>
      </c>
      <c r="C17" s="94" t="s">
        <v>90</v>
      </c>
      <c r="D17" s="93" t="s">
        <v>187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100</v>
      </c>
      <c r="C18" s="94" t="s">
        <v>90</v>
      </c>
      <c r="D18" s="93" t="s">
        <v>188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123</v>
      </c>
      <c r="C19" s="94" t="s">
        <v>124</v>
      </c>
      <c r="D19" s="93" t="s">
        <v>125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89</v>
      </c>
      <c r="C20" s="94" t="s">
        <v>90</v>
      </c>
      <c r="D20" s="93" t="s">
        <v>189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97</v>
      </c>
      <c r="C21" s="94" t="s">
        <v>90</v>
      </c>
      <c r="D21" s="93" t="s">
        <v>190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91</v>
      </c>
      <c r="C22" s="94" t="s">
        <v>53</v>
      </c>
      <c r="D22" s="93" t="s">
        <v>125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92</v>
      </c>
      <c r="C23" s="94" t="s">
        <v>53</v>
      </c>
      <c r="D23" s="93" t="s">
        <v>125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93</v>
      </c>
      <c r="C24" s="94" t="s">
        <v>53</v>
      </c>
      <c r="D24" s="93" t="s">
        <v>126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98</v>
      </c>
      <c r="C25" s="94" t="s">
        <v>90</v>
      </c>
      <c r="D25" s="93" t="s">
        <v>54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94</v>
      </c>
      <c r="C26" s="94" t="s">
        <v>53</v>
      </c>
      <c r="D26" s="93" t="s">
        <v>125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185</v>
      </c>
      <c r="C27" s="40" t="s">
        <v>25</v>
      </c>
      <c r="D27" s="34" t="s">
        <v>191</v>
      </c>
      <c r="E27" s="140">
        <v>4.83</v>
      </c>
      <c r="F27" s="127">
        <f>SUM(E27*258)</f>
        <v>1246.1400000000001</v>
      </c>
      <c r="G27" s="127">
        <v>10.39</v>
      </c>
      <c r="H27" s="97">
        <f t="shared" si="0"/>
        <v>12.947394600000001</v>
      </c>
      <c r="I27" s="13">
        <f>F27/12*G27</f>
        <v>1078.9495500000003</v>
      </c>
      <c r="J27" s="8"/>
      <c r="K27" s="8"/>
      <c r="L27" s="8"/>
      <c r="M27" s="8"/>
    </row>
    <row r="28" spans="1:13" ht="15.75" hidden="1" customHeight="1">
      <c r="A28" s="31">
        <v>7</v>
      </c>
      <c r="B28" s="99" t="s">
        <v>23</v>
      </c>
      <c r="C28" s="94" t="s">
        <v>24</v>
      </c>
      <c r="D28" s="34"/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ref="H28" si="1">SUM(F28*G28/1000)</f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54" t="s">
        <v>84</v>
      </c>
      <c r="B29" s="154"/>
      <c r="C29" s="154"/>
      <c r="D29" s="154"/>
      <c r="E29" s="154"/>
      <c r="F29" s="154"/>
      <c r="G29" s="154"/>
      <c r="H29" s="154"/>
      <c r="I29" s="154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8</v>
      </c>
      <c r="B31" s="93" t="s">
        <v>101</v>
      </c>
      <c r="C31" s="94" t="s">
        <v>102</v>
      </c>
      <c r="D31" s="93" t="s">
        <v>103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hidden="1" customHeight="1">
      <c r="A32" s="41">
        <v>9</v>
      </c>
      <c r="B32" s="93" t="s">
        <v>136</v>
      </c>
      <c r="C32" s="94" t="s">
        <v>102</v>
      </c>
      <c r="D32" s="93" t="s">
        <v>104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3" t="s">
        <v>27</v>
      </c>
      <c r="C33" s="94" t="s">
        <v>102</v>
      </c>
      <c r="D33" s="93" t="s">
        <v>54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hidden="1" customHeight="1">
      <c r="A34" s="41">
        <v>10</v>
      </c>
      <c r="B34" s="93" t="s">
        <v>105</v>
      </c>
      <c r="C34" s="94" t="s">
        <v>30</v>
      </c>
      <c r="D34" s="93" t="s">
        <v>63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64</v>
      </c>
      <c r="C35" s="94" t="s">
        <v>32</v>
      </c>
      <c r="D35" s="93" t="s">
        <v>65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7</v>
      </c>
      <c r="B37" s="93" t="s">
        <v>26</v>
      </c>
      <c r="C37" s="94" t="s">
        <v>31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>G37*0.7</f>
        <v>1069.04</v>
      </c>
      <c r="J37" s="24"/>
      <c r="K37" s="8"/>
      <c r="L37" s="8"/>
      <c r="M37" s="8"/>
    </row>
    <row r="38" spans="1:13" ht="15.75" customHeight="1">
      <c r="A38" s="35">
        <v>8</v>
      </c>
      <c r="B38" s="93" t="s">
        <v>66</v>
      </c>
      <c r="C38" s="94" t="s">
        <v>29</v>
      </c>
      <c r="D38" s="93" t="s">
        <v>192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ref="I38:I40" si="6">F38/6*G38</f>
        <v>11355.63135</v>
      </c>
      <c r="J38" s="24"/>
      <c r="K38" s="8"/>
      <c r="L38" s="8"/>
      <c r="M38" s="8"/>
    </row>
    <row r="39" spans="1:13" ht="15.75" customHeight="1">
      <c r="A39" s="35">
        <v>9</v>
      </c>
      <c r="B39" s="93" t="s">
        <v>67</v>
      </c>
      <c r="C39" s="94" t="s">
        <v>29</v>
      </c>
      <c r="D39" s="93" t="s">
        <v>193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customHeight="1">
      <c r="A40" s="35">
        <v>10</v>
      </c>
      <c r="B40" s="93" t="s">
        <v>82</v>
      </c>
      <c r="C40" s="94" t="s">
        <v>102</v>
      </c>
      <c r="D40" s="93" t="s">
        <v>194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customHeight="1">
      <c r="A41" s="35">
        <v>11</v>
      </c>
      <c r="B41" s="93" t="s">
        <v>107</v>
      </c>
      <c r="C41" s="94" t="s">
        <v>102</v>
      </c>
      <c r="D41" s="93" t="s">
        <v>195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>F41/7.5*G41</f>
        <v>115.74899999999998</v>
      </c>
      <c r="J41" s="24"/>
      <c r="K41" s="8"/>
      <c r="L41" s="8"/>
      <c r="M41" s="8"/>
    </row>
    <row r="42" spans="1:13" ht="15.75" customHeight="1">
      <c r="A42" s="35">
        <v>12</v>
      </c>
      <c r="B42" s="93" t="s">
        <v>70</v>
      </c>
      <c r="C42" s="94" t="s">
        <v>32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>F42/7.5*G42</f>
        <v>63.84</v>
      </c>
      <c r="J42" s="24"/>
      <c r="K42" s="8"/>
      <c r="L42" s="8"/>
      <c r="M42" s="8"/>
    </row>
    <row r="43" spans="1:13" ht="15.75" hidden="1" customHeight="1">
      <c r="A43" s="155" t="s">
        <v>133</v>
      </c>
      <c r="B43" s="156"/>
      <c r="C43" s="156"/>
      <c r="D43" s="156"/>
      <c r="E43" s="156"/>
      <c r="F43" s="156"/>
      <c r="G43" s="156"/>
      <c r="H43" s="156"/>
      <c r="I43" s="157"/>
      <c r="J43" s="24"/>
      <c r="K43" s="8"/>
      <c r="L43" s="8"/>
      <c r="M43" s="8"/>
    </row>
    <row r="44" spans="1:13" ht="15.75" hidden="1" customHeight="1">
      <c r="A44" s="41">
        <v>11</v>
      </c>
      <c r="B44" s="93" t="s">
        <v>108</v>
      </c>
      <c r="C44" s="94" t="s">
        <v>102</v>
      </c>
      <c r="D44" s="93" t="s">
        <v>42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hidden="1" customHeight="1">
      <c r="A45" s="41">
        <v>12</v>
      </c>
      <c r="B45" s="93" t="s">
        <v>35</v>
      </c>
      <c r="C45" s="94" t="s">
        <v>102</v>
      </c>
      <c r="D45" s="93" t="s">
        <v>42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hidden="1" customHeight="1">
      <c r="A46" s="41">
        <v>13</v>
      </c>
      <c r="B46" s="93" t="s">
        <v>36</v>
      </c>
      <c r="C46" s="94" t="s">
        <v>102</v>
      </c>
      <c r="D46" s="93" t="s">
        <v>42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hidden="1" customHeight="1">
      <c r="A47" s="41">
        <v>14</v>
      </c>
      <c r="B47" s="93" t="s">
        <v>37</v>
      </c>
      <c r="C47" s="94" t="s">
        <v>102</v>
      </c>
      <c r="D47" s="93" t="s">
        <v>42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hidden="1" customHeight="1">
      <c r="A48" s="41">
        <v>15</v>
      </c>
      <c r="B48" s="93" t="s">
        <v>33</v>
      </c>
      <c r="C48" s="94" t="s">
        <v>34</v>
      </c>
      <c r="D48" s="93" t="s">
        <v>42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hidden="1" customHeight="1">
      <c r="A49" s="41">
        <v>16</v>
      </c>
      <c r="B49" s="93" t="s">
        <v>56</v>
      </c>
      <c r="C49" s="94" t="s">
        <v>102</v>
      </c>
      <c r="D49" s="93" t="s">
        <v>137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17</v>
      </c>
      <c r="B50" s="93" t="s">
        <v>109</v>
      </c>
      <c r="C50" s="94" t="s">
        <v>102</v>
      </c>
      <c r="D50" s="93" t="s">
        <v>42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18</v>
      </c>
      <c r="B51" s="93" t="s">
        <v>110</v>
      </c>
      <c r="C51" s="94" t="s">
        <v>38</v>
      </c>
      <c r="D51" s="93" t="s">
        <v>42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hidden="1" customHeight="1">
      <c r="A52" s="41">
        <v>19</v>
      </c>
      <c r="B52" s="93" t="s">
        <v>39</v>
      </c>
      <c r="C52" s="94" t="s">
        <v>40</v>
      </c>
      <c r="D52" s="93" t="s">
        <v>42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hidden="1" customHeight="1">
      <c r="A53" s="41">
        <v>11</v>
      </c>
      <c r="B53" s="93" t="s">
        <v>41</v>
      </c>
      <c r="C53" s="94" t="s">
        <v>87</v>
      </c>
      <c r="D53" s="93" t="s">
        <v>71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55" t="s">
        <v>144</v>
      </c>
      <c r="B54" s="156"/>
      <c r="C54" s="156"/>
      <c r="D54" s="156"/>
      <c r="E54" s="156"/>
      <c r="F54" s="156"/>
      <c r="G54" s="156"/>
      <c r="H54" s="156"/>
      <c r="I54" s="157"/>
      <c r="J54" s="25"/>
      <c r="L54" s="21"/>
      <c r="M54" s="22"/>
      <c r="N54" s="23"/>
    </row>
    <row r="55" spans="1:14" ht="15.75" customHeight="1">
      <c r="A55" s="109"/>
      <c r="B55" s="48" t="s">
        <v>43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customHeight="1">
      <c r="A56" s="41">
        <v>13</v>
      </c>
      <c r="B56" s="93" t="s">
        <v>111</v>
      </c>
      <c r="C56" s="94" t="s">
        <v>90</v>
      </c>
      <c r="D56" s="93"/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G56*0.312</f>
        <v>482.75135999999998</v>
      </c>
      <c r="J56" s="25"/>
      <c r="L56" s="21"/>
      <c r="M56" s="22"/>
      <c r="N56" s="23"/>
    </row>
    <row r="57" spans="1:14" ht="15.75" customHeight="1">
      <c r="A57" s="41"/>
      <c r="B57" s="69" t="s">
        <v>44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45</v>
      </c>
      <c r="C58" s="94" t="s">
        <v>90</v>
      </c>
      <c r="D58" s="93" t="s">
        <v>54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14</v>
      </c>
      <c r="B59" s="93" t="s">
        <v>88</v>
      </c>
      <c r="C59" s="94" t="s">
        <v>25</v>
      </c>
      <c r="D59" s="93" t="s">
        <v>190</v>
      </c>
      <c r="E59" s="95">
        <v>256</v>
      </c>
      <c r="F59" s="97">
        <v>1560</v>
      </c>
      <c r="G59" s="13">
        <v>1.4</v>
      </c>
      <c r="H59" s="101">
        <f>F59*G59/1000</f>
        <v>2.1840000000000002</v>
      </c>
      <c r="I59" s="13">
        <f>F59/12*G59</f>
        <v>182</v>
      </c>
      <c r="J59" s="25"/>
      <c r="L59" s="21"/>
      <c r="M59" s="22"/>
      <c r="N59" s="23"/>
    </row>
    <row r="60" spans="1:14" ht="15.75" hidden="1" customHeight="1">
      <c r="A60" s="41"/>
      <c r="B60" s="69" t="s">
        <v>128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129</v>
      </c>
      <c r="C61" s="94" t="s">
        <v>87</v>
      </c>
      <c r="D61" s="93" t="s">
        <v>65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17.25" customHeight="1">
      <c r="A62" s="41"/>
      <c r="B62" s="108" t="s">
        <v>46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8" customHeight="1">
      <c r="A63" s="41">
        <v>15</v>
      </c>
      <c r="B63" s="15" t="s">
        <v>47</v>
      </c>
      <c r="C63" s="17" t="s">
        <v>87</v>
      </c>
      <c r="D63" s="93"/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f>G63*5</f>
        <v>1112</v>
      </c>
      <c r="J63" s="25"/>
      <c r="L63" s="21"/>
      <c r="M63" s="22"/>
      <c r="N63" s="23"/>
    </row>
    <row r="64" spans="1:14" ht="18" hidden="1" customHeight="1">
      <c r="A64" s="31">
        <v>29</v>
      </c>
      <c r="B64" s="15" t="s">
        <v>48</v>
      </c>
      <c r="C64" s="17" t="s">
        <v>87</v>
      </c>
      <c r="D64" s="93" t="s">
        <v>65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15" hidden="1" customHeight="1">
      <c r="A65" s="31">
        <v>25</v>
      </c>
      <c r="B65" s="15" t="s">
        <v>49</v>
      </c>
      <c r="C65" s="17" t="s">
        <v>113</v>
      </c>
      <c r="D65" s="15" t="s">
        <v>54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7.25" hidden="1" customHeight="1">
      <c r="A66" s="31">
        <v>26</v>
      </c>
      <c r="B66" s="15" t="s">
        <v>50</v>
      </c>
      <c r="C66" s="17" t="s">
        <v>114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8" hidden="1" customHeight="1">
      <c r="A67" s="31">
        <v>27</v>
      </c>
      <c r="B67" s="15" t="s">
        <v>51</v>
      </c>
      <c r="C67" s="17" t="s">
        <v>76</v>
      </c>
      <c r="D67" s="15" t="s">
        <v>54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7.25" hidden="1" customHeight="1">
      <c r="A68" s="31">
        <v>28</v>
      </c>
      <c r="B68" s="104" t="s">
        <v>115</v>
      </c>
      <c r="C68" s="17" t="s">
        <v>32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2.75" hidden="1" customHeight="1">
      <c r="A69" s="31">
        <v>29</v>
      </c>
      <c r="B69" s="104" t="s">
        <v>116</v>
      </c>
      <c r="C69" s="17" t="s">
        <v>32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7.25" hidden="1" customHeight="1">
      <c r="A70" s="31">
        <v>22</v>
      </c>
      <c r="B70" s="15" t="s">
        <v>57</v>
      </c>
      <c r="C70" s="17" t="s">
        <v>58</v>
      </c>
      <c r="D70" s="15" t="s">
        <v>54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7.25" hidden="1" customHeight="1">
      <c r="A71" s="109"/>
      <c r="B71" s="108" t="s">
        <v>117</v>
      </c>
      <c r="C71" s="108"/>
      <c r="D71" s="108"/>
      <c r="E71" s="108"/>
      <c r="F71" s="108"/>
      <c r="G71" s="108"/>
      <c r="H71" s="108"/>
      <c r="I71" s="19"/>
      <c r="J71" s="25"/>
      <c r="L71" s="21"/>
      <c r="M71" s="22"/>
      <c r="N71" s="23"/>
    </row>
    <row r="72" spans="1:14" ht="18.75" hidden="1" customHeight="1">
      <c r="A72" s="31">
        <v>16</v>
      </c>
      <c r="B72" s="93" t="s">
        <v>118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6.5" hidden="1" customHeight="1">
      <c r="A73" s="31"/>
      <c r="B73" s="49" t="s">
        <v>72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7.25" hidden="1" customHeight="1">
      <c r="A74" s="31">
        <v>23</v>
      </c>
      <c r="B74" s="15" t="s">
        <v>73</v>
      </c>
      <c r="C74" s="17" t="s">
        <v>74</v>
      </c>
      <c r="D74" s="15" t="s">
        <v>65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G74*0.2</f>
        <v>100.32400000000001</v>
      </c>
      <c r="J74" s="25"/>
      <c r="L74" s="21"/>
      <c r="M74" s="22"/>
      <c r="N74" s="23"/>
    </row>
    <row r="75" spans="1:14" ht="16.5" hidden="1" customHeight="1">
      <c r="A75" s="31"/>
      <c r="B75" s="15" t="s">
        <v>130</v>
      </c>
      <c r="C75" s="17" t="s">
        <v>87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14.25" hidden="1" customHeight="1">
      <c r="A76" s="31"/>
      <c r="B76" s="15" t="s">
        <v>131</v>
      </c>
      <c r="C76" s="17" t="s">
        <v>87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75</v>
      </c>
      <c r="C77" s="38"/>
      <c r="D77" s="31"/>
      <c r="E77" s="19"/>
      <c r="F77" s="19"/>
      <c r="G77" s="37" t="s">
        <v>119</v>
      </c>
      <c r="H77" s="37"/>
      <c r="I77" s="19"/>
      <c r="J77" s="25"/>
      <c r="L77" s="21"/>
      <c r="M77" s="22"/>
      <c r="N77" s="23"/>
    </row>
    <row r="78" spans="1:14" ht="18" hidden="1" customHeight="1">
      <c r="A78" s="31">
        <v>12</v>
      </c>
      <c r="B78" s="52" t="s">
        <v>120</v>
      </c>
      <c r="C78" s="17" t="s">
        <v>76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8" customHeight="1">
      <c r="A79" s="143"/>
      <c r="B79" s="151" t="s">
        <v>215</v>
      </c>
      <c r="C79" s="38"/>
      <c r="D79" s="124"/>
      <c r="E79" s="18"/>
      <c r="F79" s="70"/>
      <c r="G79" s="37"/>
      <c r="H79" s="144"/>
      <c r="I79" s="145"/>
      <c r="J79" s="25"/>
      <c r="L79" s="21"/>
      <c r="M79" s="22"/>
      <c r="N79" s="23"/>
    </row>
    <row r="80" spans="1:14" ht="18" customHeight="1">
      <c r="A80" s="143">
        <v>16</v>
      </c>
      <c r="B80" s="124" t="s">
        <v>216</v>
      </c>
      <c r="C80" s="41" t="s">
        <v>217</v>
      </c>
      <c r="D80" s="124"/>
      <c r="E80" s="18">
        <v>2581.1999999999998</v>
      </c>
      <c r="F80" s="37">
        <f>E80*12</f>
        <v>30974.399999999998</v>
      </c>
      <c r="G80" s="37">
        <v>2.4900000000000002</v>
      </c>
      <c r="H80" s="144"/>
      <c r="I80" s="145">
        <f>G80*F80/12</f>
        <v>6427.1879999999992</v>
      </c>
      <c r="J80" s="25"/>
      <c r="L80" s="21"/>
      <c r="M80" s="22"/>
      <c r="N80" s="23"/>
    </row>
    <row r="81" spans="1:22" ht="15.75" customHeight="1">
      <c r="A81" s="159" t="s">
        <v>145</v>
      </c>
      <c r="B81" s="160"/>
      <c r="C81" s="160"/>
      <c r="D81" s="160"/>
      <c r="E81" s="160"/>
      <c r="F81" s="160"/>
      <c r="G81" s="160"/>
      <c r="H81" s="160"/>
      <c r="I81" s="161"/>
      <c r="J81" s="25"/>
      <c r="L81" s="21"/>
      <c r="M81" s="22"/>
      <c r="N81" s="23"/>
    </row>
    <row r="82" spans="1:22" ht="15.75" customHeight="1">
      <c r="A82" s="31">
        <v>17</v>
      </c>
      <c r="B82" s="93" t="s">
        <v>121</v>
      </c>
      <c r="C82" s="17" t="s">
        <v>55</v>
      </c>
      <c r="D82" s="106"/>
      <c r="E82" s="13">
        <v>2581.1999999999998</v>
      </c>
      <c r="F82" s="13">
        <f>SUM(E82*12)</f>
        <v>30974.399999999998</v>
      </c>
      <c r="G82" s="13">
        <v>2.1</v>
      </c>
      <c r="H82" s="103">
        <f>SUM(F82*G82/1000)</f>
        <v>65.046239999999997</v>
      </c>
      <c r="I82" s="13">
        <f>F82/12*G82</f>
        <v>5420.5199999999995</v>
      </c>
      <c r="J82" s="25"/>
      <c r="L82" s="21"/>
    </row>
    <row r="83" spans="1:22" ht="31.5" customHeight="1">
      <c r="A83" s="31">
        <v>18</v>
      </c>
      <c r="B83" s="15" t="s">
        <v>77</v>
      </c>
      <c r="C83" s="17"/>
      <c r="D83" s="106"/>
      <c r="E83" s="95">
        <v>2581.1999999999998</v>
      </c>
      <c r="F83" s="13">
        <f>E83*12</f>
        <v>30974.399999999998</v>
      </c>
      <c r="G83" s="13">
        <v>1.63</v>
      </c>
      <c r="H83" s="103">
        <f>F83*G83/1000</f>
        <v>50.488271999999988</v>
      </c>
      <c r="I83" s="13">
        <f>F83/12*G83</f>
        <v>4207.3559999999998</v>
      </c>
    </row>
    <row r="84" spans="1:22" ht="15.75" customHeight="1">
      <c r="A84" s="109"/>
      <c r="B84" s="39" t="s">
        <v>79</v>
      </c>
      <c r="C84" s="41"/>
      <c r="D84" s="16"/>
      <c r="E84" s="16"/>
      <c r="F84" s="16"/>
      <c r="G84" s="19"/>
      <c r="H84" s="19"/>
      <c r="I84" s="33">
        <f>I83+I82+I63+I59+I56+I42+I41+I40+I39+I38+I37+I27+I21+I20+I18+I17+I16+I80</f>
        <v>41367.817491000009</v>
      </c>
    </row>
    <row r="85" spans="1:22" ht="15.75" customHeight="1">
      <c r="A85" s="162" t="s">
        <v>60</v>
      </c>
      <c r="B85" s="163"/>
      <c r="C85" s="163"/>
      <c r="D85" s="163"/>
      <c r="E85" s="163"/>
      <c r="F85" s="163"/>
      <c r="G85" s="163"/>
      <c r="H85" s="163"/>
      <c r="I85" s="164"/>
    </row>
    <row r="86" spans="1:22" ht="15.75" customHeight="1">
      <c r="A86" s="31">
        <v>19</v>
      </c>
      <c r="B86" s="122" t="s">
        <v>95</v>
      </c>
      <c r="C86" s="123" t="s">
        <v>87</v>
      </c>
      <c r="D86" s="52"/>
      <c r="E86" s="13"/>
      <c r="F86" s="13"/>
      <c r="G86" s="37">
        <v>58.39</v>
      </c>
      <c r="H86" s="103"/>
      <c r="I86" s="13">
        <f>G86*1</f>
        <v>58.39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14.25" customHeight="1">
      <c r="A87" s="31">
        <v>20</v>
      </c>
      <c r="B87" s="125" t="s">
        <v>141</v>
      </c>
      <c r="C87" s="41" t="s">
        <v>142</v>
      </c>
      <c r="D87" s="66"/>
      <c r="E87" s="37"/>
      <c r="F87" s="37">
        <v>6</v>
      </c>
      <c r="G87" s="37">
        <v>1730</v>
      </c>
      <c r="H87" s="105">
        <f t="shared" ref="H87:H88" si="15">G87*F87/1000</f>
        <v>10.38</v>
      </c>
      <c r="I87" s="13">
        <f>G87*2</f>
        <v>3460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4.25" customHeight="1">
      <c r="A88" s="31">
        <v>21</v>
      </c>
      <c r="B88" s="122" t="s">
        <v>249</v>
      </c>
      <c r="C88" s="123" t="s">
        <v>87</v>
      </c>
      <c r="D88" s="66" t="s">
        <v>250</v>
      </c>
      <c r="E88" s="37"/>
      <c r="F88" s="37">
        <v>0.05</v>
      </c>
      <c r="G88" s="37">
        <v>87.32</v>
      </c>
      <c r="H88" s="105">
        <f t="shared" si="15"/>
        <v>4.3660000000000001E-3</v>
      </c>
      <c r="I88" s="13">
        <f>G88*1</f>
        <v>87.32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28.5" customHeight="1">
      <c r="A89" s="31">
        <v>22</v>
      </c>
      <c r="B89" s="125" t="s">
        <v>161</v>
      </c>
      <c r="C89" s="41"/>
      <c r="D89" s="52"/>
      <c r="E89" s="13"/>
      <c r="F89" s="13">
        <v>8.5</v>
      </c>
      <c r="G89" s="37">
        <v>19757.060000000001</v>
      </c>
      <c r="H89" s="103">
        <f>G89*F89/1000</f>
        <v>167.93501000000001</v>
      </c>
      <c r="I89" s="13">
        <f>G89*0.599*6/1000</f>
        <v>71.006873640000009</v>
      </c>
      <c r="J89" s="27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2" ht="28.5" customHeight="1">
      <c r="A90" s="31">
        <v>23</v>
      </c>
      <c r="B90" s="122" t="s">
        <v>180</v>
      </c>
      <c r="C90" s="123" t="s">
        <v>181</v>
      </c>
      <c r="D90" s="15" t="s">
        <v>252</v>
      </c>
      <c r="E90" s="13"/>
      <c r="F90" s="13"/>
      <c r="G90" s="37">
        <v>1367</v>
      </c>
      <c r="H90" s="103"/>
      <c r="I90" s="13">
        <f>G90*10</f>
        <v>13670</v>
      </c>
      <c r="J90" s="27"/>
      <c r="K90" s="27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2" ht="28.5" customHeight="1">
      <c r="A91" s="31">
        <v>24</v>
      </c>
      <c r="B91" s="122" t="s">
        <v>245</v>
      </c>
      <c r="C91" s="123" t="s">
        <v>181</v>
      </c>
      <c r="D91" s="15" t="s">
        <v>251</v>
      </c>
      <c r="E91" s="13"/>
      <c r="F91" s="13"/>
      <c r="G91" s="37">
        <v>1465</v>
      </c>
      <c r="H91" s="103"/>
      <c r="I91" s="13">
        <f>G91*8</f>
        <v>11720</v>
      </c>
      <c r="J91" s="27"/>
      <c r="K91" s="27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2" ht="32.25" customHeight="1">
      <c r="A92" s="31">
        <v>25</v>
      </c>
      <c r="B92" s="122" t="s">
        <v>165</v>
      </c>
      <c r="C92" s="123" t="s">
        <v>83</v>
      </c>
      <c r="D92" s="15" t="s">
        <v>253</v>
      </c>
      <c r="E92" s="13"/>
      <c r="F92" s="13"/>
      <c r="G92" s="37">
        <v>214.07</v>
      </c>
      <c r="H92" s="103"/>
      <c r="I92" s="13">
        <f>G92*2</f>
        <v>428.14</v>
      </c>
      <c r="J92" s="27"/>
      <c r="K92" s="27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2" ht="15.75" customHeight="1">
      <c r="A93" s="31"/>
      <c r="B93" s="46" t="s">
        <v>52</v>
      </c>
      <c r="C93" s="42"/>
      <c r="D93" s="54"/>
      <c r="E93" s="42">
        <v>1</v>
      </c>
      <c r="F93" s="42"/>
      <c r="G93" s="42"/>
      <c r="H93" s="42"/>
      <c r="I93" s="33">
        <f>SUM(I86:I92)</f>
        <v>29494.856873639998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1:22" ht="15.75" customHeight="1">
      <c r="A94" s="31"/>
      <c r="B94" s="52" t="s">
        <v>78</v>
      </c>
      <c r="C94" s="16"/>
      <c r="D94" s="16"/>
      <c r="E94" s="43"/>
      <c r="F94" s="43"/>
      <c r="G94" s="44"/>
      <c r="H94" s="44"/>
      <c r="I94" s="18">
        <v>0</v>
      </c>
    </row>
    <row r="95" spans="1:22" ht="15.75" customHeight="1">
      <c r="A95" s="55"/>
      <c r="B95" s="47" t="s">
        <v>138</v>
      </c>
      <c r="C95" s="36"/>
      <c r="D95" s="36"/>
      <c r="E95" s="36"/>
      <c r="F95" s="36"/>
      <c r="G95" s="36"/>
      <c r="H95" s="36"/>
      <c r="I95" s="45">
        <f>I84+I93</f>
        <v>70862.674364639999</v>
      </c>
    </row>
    <row r="96" spans="1:22" ht="15.75" customHeight="1">
      <c r="A96" s="158" t="s">
        <v>254</v>
      </c>
      <c r="B96" s="158"/>
      <c r="C96" s="158"/>
      <c r="D96" s="158"/>
      <c r="E96" s="158"/>
      <c r="F96" s="158"/>
      <c r="G96" s="158"/>
      <c r="H96" s="158"/>
      <c r="I96" s="158"/>
    </row>
    <row r="97" spans="1:9" ht="15.75" customHeight="1">
      <c r="A97" s="79"/>
      <c r="B97" s="171" t="s">
        <v>255</v>
      </c>
      <c r="C97" s="171"/>
      <c r="D97" s="171"/>
      <c r="E97" s="171"/>
      <c r="F97" s="171"/>
      <c r="G97" s="171"/>
      <c r="H97" s="91"/>
      <c r="I97" s="3"/>
    </row>
    <row r="98" spans="1:9" ht="15.75" customHeight="1">
      <c r="A98" s="112"/>
      <c r="B98" s="172" t="s">
        <v>6</v>
      </c>
      <c r="C98" s="172"/>
      <c r="D98" s="172"/>
      <c r="E98" s="172"/>
      <c r="F98" s="172"/>
      <c r="G98" s="172"/>
      <c r="H98" s="26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73" t="s">
        <v>7</v>
      </c>
      <c r="B100" s="173"/>
      <c r="C100" s="173"/>
      <c r="D100" s="173"/>
      <c r="E100" s="173"/>
      <c r="F100" s="173"/>
      <c r="G100" s="173"/>
      <c r="H100" s="173"/>
      <c r="I100" s="173"/>
    </row>
    <row r="101" spans="1:9" ht="15.75" customHeight="1">
      <c r="A101" s="173" t="s">
        <v>8</v>
      </c>
      <c r="B101" s="173"/>
      <c r="C101" s="173"/>
      <c r="D101" s="173"/>
      <c r="E101" s="173"/>
      <c r="F101" s="173"/>
      <c r="G101" s="173"/>
      <c r="H101" s="173"/>
      <c r="I101" s="173"/>
    </row>
    <row r="102" spans="1:9" ht="15.75" customHeight="1">
      <c r="A102" s="176" t="s">
        <v>61</v>
      </c>
      <c r="B102" s="176"/>
      <c r="C102" s="176"/>
      <c r="D102" s="176"/>
      <c r="E102" s="176"/>
      <c r="F102" s="176"/>
      <c r="G102" s="176"/>
      <c r="H102" s="176"/>
      <c r="I102" s="176"/>
    </row>
    <row r="103" spans="1:9" ht="15.75" customHeight="1">
      <c r="A103" s="11"/>
    </row>
    <row r="104" spans="1:9" ht="15.75" customHeight="1">
      <c r="A104" s="177" t="s">
        <v>9</v>
      </c>
      <c r="B104" s="177"/>
      <c r="C104" s="177"/>
      <c r="D104" s="177"/>
      <c r="E104" s="177"/>
      <c r="F104" s="177"/>
      <c r="G104" s="177"/>
      <c r="H104" s="177"/>
      <c r="I104" s="177"/>
    </row>
    <row r="105" spans="1:9" ht="15.75" customHeight="1">
      <c r="A105" s="4"/>
    </row>
    <row r="106" spans="1:9" ht="15.75" customHeight="1">
      <c r="B106" s="113" t="s">
        <v>10</v>
      </c>
      <c r="C106" s="178" t="s">
        <v>86</v>
      </c>
      <c r="D106" s="178"/>
      <c r="E106" s="178"/>
      <c r="F106" s="89"/>
      <c r="I106" s="114"/>
    </row>
    <row r="107" spans="1:9" ht="15.75" customHeight="1">
      <c r="A107" s="112"/>
      <c r="C107" s="172" t="s">
        <v>11</v>
      </c>
      <c r="D107" s="172"/>
      <c r="E107" s="172"/>
      <c r="F107" s="26"/>
      <c r="I107" s="111" t="s">
        <v>12</v>
      </c>
    </row>
    <row r="108" spans="1:9" ht="15.75" customHeight="1">
      <c r="A108" s="27"/>
      <c r="C108" s="12"/>
      <c r="D108" s="12"/>
      <c r="G108" s="12"/>
      <c r="H108" s="12"/>
    </row>
    <row r="109" spans="1:9" ht="15.75" customHeight="1">
      <c r="B109" s="113" t="s">
        <v>13</v>
      </c>
      <c r="C109" s="179"/>
      <c r="D109" s="179"/>
      <c r="E109" s="179"/>
      <c r="F109" s="90"/>
      <c r="I109" s="114"/>
    </row>
    <row r="110" spans="1:9" ht="15.75" customHeight="1">
      <c r="A110" s="112"/>
      <c r="C110" s="175" t="s">
        <v>11</v>
      </c>
      <c r="D110" s="175"/>
      <c r="E110" s="175"/>
      <c r="F110" s="112"/>
      <c r="I110" s="111" t="s">
        <v>12</v>
      </c>
    </row>
    <row r="111" spans="1:9" ht="15.75" customHeight="1">
      <c r="A111" s="4" t="s">
        <v>14</v>
      </c>
    </row>
    <row r="112" spans="1:9">
      <c r="A112" s="174" t="s">
        <v>15</v>
      </c>
      <c r="B112" s="174"/>
      <c r="C112" s="174"/>
      <c r="D112" s="174"/>
      <c r="E112" s="174"/>
      <c r="F112" s="174"/>
      <c r="G112" s="174"/>
      <c r="H112" s="174"/>
      <c r="I112" s="174"/>
    </row>
    <row r="113" spans="1:9" ht="45" customHeight="1">
      <c r="A113" s="170" t="s">
        <v>16</v>
      </c>
      <c r="B113" s="170"/>
      <c r="C113" s="170"/>
      <c r="D113" s="170"/>
      <c r="E113" s="170"/>
      <c r="F113" s="170"/>
      <c r="G113" s="170"/>
      <c r="H113" s="170"/>
      <c r="I113" s="170"/>
    </row>
    <row r="114" spans="1:9" ht="30" customHeight="1">
      <c r="A114" s="170" t="s">
        <v>17</v>
      </c>
      <c r="B114" s="170"/>
      <c r="C114" s="170"/>
      <c r="D114" s="170"/>
      <c r="E114" s="170"/>
      <c r="F114" s="170"/>
      <c r="G114" s="170"/>
      <c r="H114" s="170"/>
      <c r="I114" s="170"/>
    </row>
    <row r="115" spans="1:9" ht="30" customHeight="1">
      <c r="A115" s="170" t="s">
        <v>21</v>
      </c>
      <c r="B115" s="170"/>
      <c r="C115" s="170"/>
      <c r="D115" s="170"/>
      <c r="E115" s="170"/>
      <c r="F115" s="170"/>
      <c r="G115" s="170"/>
      <c r="H115" s="170"/>
      <c r="I115" s="170"/>
    </row>
    <row r="116" spans="1:9" ht="15" customHeight="1">
      <c r="A116" s="170" t="s">
        <v>20</v>
      </c>
      <c r="B116" s="170"/>
      <c r="C116" s="170"/>
      <c r="D116" s="170"/>
      <c r="E116" s="170"/>
      <c r="F116" s="170"/>
      <c r="G116" s="170"/>
      <c r="H116" s="170"/>
      <c r="I116" s="170"/>
    </row>
  </sheetData>
  <autoFilter ref="I12:I84"/>
  <mergeCells count="28">
    <mergeCell ref="A14:I14"/>
    <mergeCell ref="A3:I3"/>
    <mergeCell ref="A4:I4"/>
    <mergeCell ref="A5:I5"/>
    <mergeCell ref="A8:I8"/>
    <mergeCell ref="A10:I10"/>
    <mergeCell ref="A102:I102"/>
    <mergeCell ref="A15:I15"/>
    <mergeCell ref="A29:I29"/>
    <mergeCell ref="A43:I43"/>
    <mergeCell ref="A54:I54"/>
    <mergeCell ref="A81:I81"/>
    <mergeCell ref="A85:I85"/>
    <mergeCell ref="A96:I96"/>
    <mergeCell ref="B97:G97"/>
    <mergeCell ref="B98:G98"/>
    <mergeCell ref="A100:I100"/>
    <mergeCell ref="A101:I101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3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8"/>
  <sheetViews>
    <sheetView tabSelected="1" workbookViewId="0">
      <selection activeCell="I100" sqref="I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5" t="s">
        <v>156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122</v>
      </c>
      <c r="B4" s="166"/>
      <c r="C4" s="166"/>
      <c r="D4" s="166"/>
      <c r="E4" s="166"/>
      <c r="F4" s="166"/>
      <c r="G4" s="166"/>
      <c r="H4" s="166"/>
      <c r="I4" s="166"/>
    </row>
    <row r="5" spans="1:13" ht="15.75" customHeight="1">
      <c r="A5" s="165" t="s">
        <v>256</v>
      </c>
      <c r="B5" s="169"/>
      <c r="C5" s="169"/>
      <c r="D5" s="169"/>
      <c r="E5" s="169"/>
      <c r="F5" s="169"/>
      <c r="G5" s="169"/>
      <c r="H5" s="169"/>
      <c r="I5" s="169"/>
      <c r="J5" s="2"/>
      <c r="K5" s="2"/>
      <c r="L5" s="2"/>
      <c r="M5" s="2"/>
    </row>
    <row r="6" spans="1:13" ht="15.75" customHeight="1">
      <c r="A6" s="2"/>
      <c r="B6" s="119"/>
      <c r="C6" s="119"/>
      <c r="D6" s="119"/>
      <c r="E6" s="119"/>
      <c r="F6" s="119"/>
      <c r="G6" s="119"/>
      <c r="H6" s="119"/>
      <c r="I6" s="32">
        <v>43830</v>
      </c>
      <c r="J6" s="2"/>
      <c r="K6" s="2"/>
      <c r="L6" s="2"/>
      <c r="M6" s="2"/>
    </row>
    <row r="7" spans="1:13" ht="15.75" customHeight="1">
      <c r="B7" s="117"/>
      <c r="C7" s="117"/>
      <c r="D7" s="117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7" t="s">
        <v>160</v>
      </c>
      <c r="B8" s="167"/>
      <c r="C8" s="167"/>
      <c r="D8" s="167"/>
      <c r="E8" s="167"/>
      <c r="F8" s="167"/>
      <c r="G8" s="167"/>
      <c r="H8" s="167"/>
      <c r="I8" s="167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8" t="s">
        <v>152</v>
      </c>
      <c r="B10" s="168"/>
      <c r="C10" s="168"/>
      <c r="D10" s="168"/>
      <c r="E10" s="168"/>
      <c r="F10" s="168"/>
      <c r="G10" s="168"/>
      <c r="H10" s="168"/>
      <c r="I10" s="16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59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1">
        <v>1</v>
      </c>
      <c r="B16" s="93" t="s">
        <v>85</v>
      </c>
      <c r="C16" s="94" t="s">
        <v>90</v>
      </c>
      <c r="D16" s="93" t="s">
        <v>186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7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99</v>
      </c>
      <c r="C17" s="94" t="s">
        <v>90</v>
      </c>
      <c r="D17" s="93" t="s">
        <v>187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100</v>
      </c>
      <c r="C18" s="94" t="s">
        <v>90</v>
      </c>
      <c r="D18" s="93" t="s">
        <v>188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123</v>
      </c>
      <c r="C19" s="94" t="s">
        <v>124</v>
      </c>
      <c r="D19" s="93" t="s">
        <v>125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89</v>
      </c>
      <c r="C20" s="94" t="s">
        <v>90</v>
      </c>
      <c r="D20" s="93" t="s">
        <v>189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97</v>
      </c>
      <c r="C21" s="94" t="s">
        <v>90</v>
      </c>
      <c r="D21" s="93" t="s">
        <v>190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91</v>
      </c>
      <c r="C22" s="94" t="s">
        <v>53</v>
      </c>
      <c r="D22" s="93" t="s">
        <v>125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92</v>
      </c>
      <c r="C23" s="94" t="s">
        <v>53</v>
      </c>
      <c r="D23" s="93" t="s">
        <v>125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93</v>
      </c>
      <c r="C24" s="94" t="s">
        <v>53</v>
      </c>
      <c r="D24" s="93" t="s">
        <v>126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98</v>
      </c>
      <c r="C25" s="94" t="s">
        <v>90</v>
      </c>
      <c r="D25" s="93" t="s">
        <v>54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94</v>
      </c>
      <c r="C26" s="94" t="s">
        <v>53</v>
      </c>
      <c r="D26" s="93" t="s">
        <v>125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185</v>
      </c>
      <c r="C27" s="40" t="s">
        <v>25</v>
      </c>
      <c r="D27" s="34" t="s">
        <v>191</v>
      </c>
      <c r="E27" s="140">
        <v>4.83</v>
      </c>
      <c r="F27" s="127">
        <f>SUM(E27*258)</f>
        <v>1246.1400000000001</v>
      </c>
      <c r="G27" s="127">
        <v>10.39</v>
      </c>
      <c r="H27" s="97">
        <f t="shared" si="0"/>
        <v>12.947394600000001</v>
      </c>
      <c r="I27" s="13">
        <f>F27/12*G27</f>
        <v>1078.9495500000003</v>
      </c>
      <c r="J27" s="8"/>
      <c r="K27" s="8"/>
      <c r="L27" s="8"/>
      <c r="M27" s="8"/>
    </row>
    <row r="28" spans="1:13" ht="15.75" hidden="1" customHeight="1">
      <c r="A28" s="31">
        <v>7</v>
      </c>
      <c r="B28" s="99" t="s">
        <v>23</v>
      </c>
      <c r="C28" s="94" t="s">
        <v>24</v>
      </c>
      <c r="D28" s="34"/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ref="H28" si="1">SUM(F28*G28/1000)</f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54" t="s">
        <v>84</v>
      </c>
      <c r="B29" s="154"/>
      <c r="C29" s="154"/>
      <c r="D29" s="154"/>
      <c r="E29" s="154"/>
      <c r="F29" s="154"/>
      <c r="G29" s="154"/>
      <c r="H29" s="154"/>
      <c r="I29" s="154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8</v>
      </c>
      <c r="B31" s="93" t="s">
        <v>101</v>
      </c>
      <c r="C31" s="94" t="s">
        <v>102</v>
      </c>
      <c r="D31" s="93" t="s">
        <v>103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hidden="1" customHeight="1">
      <c r="A32" s="41">
        <v>9</v>
      </c>
      <c r="B32" s="93" t="s">
        <v>136</v>
      </c>
      <c r="C32" s="94" t="s">
        <v>102</v>
      </c>
      <c r="D32" s="93" t="s">
        <v>104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3" t="s">
        <v>27</v>
      </c>
      <c r="C33" s="94" t="s">
        <v>102</v>
      </c>
      <c r="D33" s="93" t="s">
        <v>54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hidden="1" customHeight="1">
      <c r="A34" s="41">
        <v>10</v>
      </c>
      <c r="B34" s="93" t="s">
        <v>105</v>
      </c>
      <c r="C34" s="94" t="s">
        <v>30</v>
      </c>
      <c r="D34" s="93" t="s">
        <v>63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64</v>
      </c>
      <c r="C35" s="94" t="s">
        <v>32</v>
      </c>
      <c r="D35" s="93" t="s">
        <v>65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7</v>
      </c>
      <c r="B37" s="93" t="s">
        <v>26</v>
      </c>
      <c r="C37" s="94" t="s">
        <v>31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>G37*1.1</f>
        <v>1679.92</v>
      </c>
      <c r="J37" s="24"/>
      <c r="K37" s="8"/>
      <c r="L37" s="8"/>
      <c r="M37" s="8"/>
    </row>
    <row r="38" spans="1:13" ht="15.75" customHeight="1">
      <c r="A38" s="35">
        <v>8</v>
      </c>
      <c r="B38" s="93" t="s">
        <v>66</v>
      </c>
      <c r="C38" s="94" t="s">
        <v>29</v>
      </c>
      <c r="D38" s="93" t="s">
        <v>192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ref="I38:I40" si="6">F38/6*G38</f>
        <v>11355.63135</v>
      </c>
      <c r="J38" s="24"/>
      <c r="K38" s="8"/>
      <c r="L38" s="8"/>
      <c r="M38" s="8"/>
    </row>
    <row r="39" spans="1:13" ht="15.75" customHeight="1">
      <c r="A39" s="35">
        <v>9</v>
      </c>
      <c r="B39" s="93" t="s">
        <v>67</v>
      </c>
      <c r="C39" s="94" t="s">
        <v>29</v>
      </c>
      <c r="D39" s="93" t="s">
        <v>193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customHeight="1">
      <c r="A40" s="35">
        <v>10</v>
      </c>
      <c r="B40" s="93" t="s">
        <v>82</v>
      </c>
      <c r="C40" s="94" t="s">
        <v>102</v>
      </c>
      <c r="D40" s="93" t="s">
        <v>194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customHeight="1">
      <c r="A41" s="35">
        <v>11</v>
      </c>
      <c r="B41" s="93" t="s">
        <v>107</v>
      </c>
      <c r="C41" s="94" t="s">
        <v>102</v>
      </c>
      <c r="D41" s="93" t="s">
        <v>195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>F41/7.5*G41</f>
        <v>115.74899999999998</v>
      </c>
      <c r="J41" s="24"/>
      <c r="K41" s="8"/>
      <c r="L41" s="8"/>
      <c r="M41" s="8"/>
    </row>
    <row r="42" spans="1:13" ht="15.75" customHeight="1">
      <c r="A42" s="35">
        <v>12</v>
      </c>
      <c r="B42" s="93" t="s">
        <v>70</v>
      </c>
      <c r="C42" s="94" t="s">
        <v>32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>F42/7.5*G42</f>
        <v>63.84</v>
      </c>
      <c r="J42" s="24"/>
      <c r="K42" s="8"/>
      <c r="L42" s="8"/>
      <c r="M42" s="8"/>
    </row>
    <row r="43" spans="1:13" ht="15.75" customHeight="1">
      <c r="A43" s="155" t="s">
        <v>133</v>
      </c>
      <c r="B43" s="156"/>
      <c r="C43" s="156"/>
      <c r="D43" s="156"/>
      <c r="E43" s="156"/>
      <c r="F43" s="156"/>
      <c r="G43" s="156"/>
      <c r="H43" s="156"/>
      <c r="I43" s="157"/>
      <c r="J43" s="24"/>
      <c r="K43" s="8"/>
      <c r="L43" s="8"/>
      <c r="M43" s="8"/>
    </row>
    <row r="44" spans="1:13" ht="15.75" hidden="1" customHeight="1">
      <c r="A44" s="41">
        <v>11</v>
      </c>
      <c r="B44" s="93" t="s">
        <v>108</v>
      </c>
      <c r="C44" s="94" t="s">
        <v>102</v>
      </c>
      <c r="D44" s="93" t="s">
        <v>42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hidden="1" customHeight="1">
      <c r="A45" s="41">
        <v>12</v>
      </c>
      <c r="B45" s="93" t="s">
        <v>35</v>
      </c>
      <c r="C45" s="94" t="s">
        <v>102</v>
      </c>
      <c r="D45" s="93" t="s">
        <v>42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hidden="1" customHeight="1">
      <c r="A46" s="41">
        <v>13</v>
      </c>
      <c r="B46" s="93" t="s">
        <v>36</v>
      </c>
      <c r="C46" s="94" t="s">
        <v>102</v>
      </c>
      <c r="D46" s="93" t="s">
        <v>42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hidden="1" customHeight="1">
      <c r="A47" s="41">
        <v>14</v>
      </c>
      <c r="B47" s="93" t="s">
        <v>37</v>
      </c>
      <c r="C47" s="94" t="s">
        <v>102</v>
      </c>
      <c r="D47" s="93" t="s">
        <v>42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hidden="1" customHeight="1">
      <c r="A48" s="41">
        <v>15</v>
      </c>
      <c r="B48" s="93" t="s">
        <v>33</v>
      </c>
      <c r="C48" s="94" t="s">
        <v>34</v>
      </c>
      <c r="D48" s="93" t="s">
        <v>42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customHeight="1">
      <c r="A49" s="41">
        <v>13</v>
      </c>
      <c r="B49" s="93" t="s">
        <v>56</v>
      </c>
      <c r="C49" s="94" t="s">
        <v>102</v>
      </c>
      <c r="D49" s="93" t="s">
        <v>190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17</v>
      </c>
      <c r="B50" s="93" t="s">
        <v>109</v>
      </c>
      <c r="C50" s="94" t="s">
        <v>102</v>
      </c>
      <c r="D50" s="93" t="s">
        <v>42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18</v>
      </c>
      <c r="B51" s="93" t="s">
        <v>110</v>
      </c>
      <c r="C51" s="94" t="s">
        <v>38</v>
      </c>
      <c r="D51" s="93" t="s">
        <v>42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hidden="1" customHeight="1">
      <c r="A52" s="41">
        <v>19</v>
      </c>
      <c r="B52" s="93" t="s">
        <v>39</v>
      </c>
      <c r="C52" s="94" t="s">
        <v>40</v>
      </c>
      <c r="D52" s="93" t="s">
        <v>42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hidden="1" customHeight="1">
      <c r="A53" s="41">
        <v>11</v>
      </c>
      <c r="B53" s="93" t="s">
        <v>41</v>
      </c>
      <c r="C53" s="94" t="s">
        <v>87</v>
      </c>
      <c r="D53" s="93" t="s">
        <v>71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55" t="s">
        <v>134</v>
      </c>
      <c r="B54" s="156"/>
      <c r="C54" s="156"/>
      <c r="D54" s="156"/>
      <c r="E54" s="156"/>
      <c r="F54" s="156"/>
      <c r="G54" s="156"/>
      <c r="H54" s="156"/>
      <c r="I54" s="157"/>
      <c r="J54" s="25"/>
      <c r="L54" s="21"/>
      <c r="M54" s="22"/>
      <c r="N54" s="23"/>
    </row>
    <row r="55" spans="1:14" ht="15.75" customHeight="1">
      <c r="A55" s="121"/>
      <c r="B55" s="48" t="s">
        <v>43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customHeight="1">
      <c r="A56" s="41">
        <v>14</v>
      </c>
      <c r="B56" s="93" t="s">
        <v>111</v>
      </c>
      <c r="C56" s="94" t="s">
        <v>90</v>
      </c>
      <c r="D56" s="93"/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G56*0.312</f>
        <v>482.75135999999998</v>
      </c>
      <c r="J56" s="25"/>
      <c r="L56" s="21"/>
      <c r="M56" s="22"/>
      <c r="N56" s="23"/>
    </row>
    <row r="57" spans="1:14" ht="15.75" customHeight="1">
      <c r="A57" s="41"/>
      <c r="B57" s="69" t="s">
        <v>44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45</v>
      </c>
      <c r="C58" s="94" t="s">
        <v>90</v>
      </c>
      <c r="D58" s="93" t="s">
        <v>54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15</v>
      </c>
      <c r="B59" s="93" t="s">
        <v>88</v>
      </c>
      <c r="C59" s="94" t="s">
        <v>25</v>
      </c>
      <c r="D59" s="93" t="s">
        <v>190</v>
      </c>
      <c r="E59" s="95">
        <v>256</v>
      </c>
      <c r="F59" s="97">
        <v>1560</v>
      </c>
      <c r="G59" s="13">
        <v>1.4</v>
      </c>
      <c r="H59" s="101">
        <f>F59*G59/1000</f>
        <v>2.1840000000000002</v>
      </c>
      <c r="I59" s="13">
        <f>F59/12*G59</f>
        <v>182</v>
      </c>
      <c r="J59" s="25"/>
      <c r="L59" s="21"/>
      <c r="M59" s="22"/>
      <c r="N59" s="23"/>
    </row>
    <row r="60" spans="1:14" ht="15.75" hidden="1" customHeight="1">
      <c r="A60" s="41"/>
      <c r="B60" s="69" t="s">
        <v>128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129</v>
      </c>
      <c r="C61" s="94" t="s">
        <v>87</v>
      </c>
      <c r="D61" s="93" t="s">
        <v>65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22.5" customHeight="1">
      <c r="A62" s="41"/>
      <c r="B62" s="120" t="s">
        <v>46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9.5" customHeight="1">
      <c r="A63" s="41">
        <v>16</v>
      </c>
      <c r="B63" s="15" t="s">
        <v>47</v>
      </c>
      <c r="C63" s="17" t="s">
        <v>87</v>
      </c>
      <c r="D63" s="93" t="s">
        <v>190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f>G63</f>
        <v>222.4</v>
      </c>
      <c r="J63" s="25"/>
      <c r="L63" s="21"/>
      <c r="M63" s="22"/>
      <c r="N63" s="23"/>
    </row>
    <row r="64" spans="1:14" ht="16.5" hidden="1" customHeight="1">
      <c r="A64" s="31">
        <v>29</v>
      </c>
      <c r="B64" s="15" t="s">
        <v>48</v>
      </c>
      <c r="C64" s="17" t="s">
        <v>87</v>
      </c>
      <c r="D64" s="93" t="s">
        <v>65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20.25" hidden="1" customHeight="1">
      <c r="A65" s="31">
        <v>25</v>
      </c>
      <c r="B65" s="15" t="s">
        <v>49</v>
      </c>
      <c r="C65" s="17" t="s">
        <v>113</v>
      </c>
      <c r="D65" s="15" t="s">
        <v>54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8.75" hidden="1" customHeight="1">
      <c r="A66" s="31">
        <v>26</v>
      </c>
      <c r="B66" s="15" t="s">
        <v>50</v>
      </c>
      <c r="C66" s="17" t="s">
        <v>114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6.5" hidden="1" customHeight="1">
      <c r="A67" s="31">
        <v>27</v>
      </c>
      <c r="B67" s="15" t="s">
        <v>51</v>
      </c>
      <c r="C67" s="17" t="s">
        <v>76</v>
      </c>
      <c r="D67" s="15" t="s">
        <v>54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8" hidden="1" customHeight="1">
      <c r="A68" s="31">
        <v>28</v>
      </c>
      <c r="B68" s="104" t="s">
        <v>115</v>
      </c>
      <c r="C68" s="17" t="s">
        <v>32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8" hidden="1" customHeight="1">
      <c r="A69" s="31">
        <v>29</v>
      </c>
      <c r="B69" s="104" t="s">
        <v>116</v>
      </c>
      <c r="C69" s="17" t="s">
        <v>32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8" hidden="1" customHeight="1">
      <c r="A70" s="31">
        <v>22</v>
      </c>
      <c r="B70" s="15" t="s">
        <v>57</v>
      </c>
      <c r="C70" s="17" t="s">
        <v>58</v>
      </c>
      <c r="D70" s="15" t="s">
        <v>54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8" customHeight="1">
      <c r="A71" s="31"/>
      <c r="B71" s="151" t="s">
        <v>215</v>
      </c>
      <c r="C71" s="38"/>
      <c r="D71" s="124"/>
      <c r="E71" s="18"/>
      <c r="F71" s="70"/>
      <c r="G71" s="37"/>
      <c r="H71" s="144"/>
      <c r="I71" s="145"/>
      <c r="J71" s="25"/>
      <c r="L71" s="21"/>
      <c r="M71" s="22"/>
      <c r="N71" s="23"/>
    </row>
    <row r="72" spans="1:14" ht="33" customHeight="1">
      <c r="A72" s="31">
        <v>17</v>
      </c>
      <c r="B72" s="124" t="s">
        <v>216</v>
      </c>
      <c r="C72" s="41" t="s">
        <v>217</v>
      </c>
      <c r="D72" s="124"/>
      <c r="E72" s="18">
        <v>2581.1999999999998</v>
      </c>
      <c r="F72" s="37">
        <f>E72*12</f>
        <v>30974.399999999998</v>
      </c>
      <c r="G72" s="37">
        <v>2.4900000000000002</v>
      </c>
      <c r="H72" s="144"/>
      <c r="I72" s="145">
        <f>G72*F72/12</f>
        <v>6427.1879999999992</v>
      </c>
      <c r="J72" s="25"/>
      <c r="L72" s="21"/>
      <c r="M72" s="22"/>
      <c r="N72" s="23"/>
    </row>
    <row r="73" spans="1:14" ht="16.5" hidden="1" customHeight="1">
      <c r="A73" s="121"/>
      <c r="B73" s="120" t="s">
        <v>117</v>
      </c>
      <c r="C73" s="120"/>
      <c r="D73" s="120"/>
      <c r="E73" s="120"/>
      <c r="F73" s="120"/>
      <c r="G73" s="120"/>
      <c r="H73" s="120"/>
      <c r="I73" s="19"/>
      <c r="J73" s="25"/>
      <c r="L73" s="21"/>
      <c r="M73" s="22"/>
      <c r="N73" s="23"/>
    </row>
    <row r="74" spans="1:14" ht="15.75" hidden="1" customHeight="1">
      <c r="A74" s="31">
        <v>17</v>
      </c>
      <c r="B74" s="93" t="s">
        <v>118</v>
      </c>
      <c r="C74" s="17"/>
      <c r="D74" s="15"/>
      <c r="E74" s="87"/>
      <c r="F74" s="13">
        <v>1</v>
      </c>
      <c r="G74" s="13">
        <v>1224.4000000000001</v>
      </c>
      <c r="H74" s="103">
        <f>G74*F74/1000</f>
        <v>1.2244000000000002</v>
      </c>
      <c r="I74" s="13">
        <f>G74</f>
        <v>1224.4000000000001</v>
      </c>
      <c r="J74" s="25"/>
      <c r="L74" s="21"/>
      <c r="M74" s="22"/>
      <c r="N74" s="23"/>
    </row>
    <row r="75" spans="1:14" ht="20.25" hidden="1" customHeight="1">
      <c r="A75" s="31"/>
      <c r="B75" s="49" t="s">
        <v>72</v>
      </c>
      <c r="C75" s="49"/>
      <c r="D75" s="49"/>
      <c r="E75" s="19"/>
      <c r="F75" s="19"/>
      <c r="G75" s="31"/>
      <c r="H75" s="31"/>
      <c r="I75" s="19"/>
      <c r="J75" s="25"/>
      <c r="L75" s="21"/>
      <c r="M75" s="22"/>
      <c r="N75" s="23"/>
    </row>
    <row r="76" spans="1:14" ht="19.5" hidden="1" customHeight="1">
      <c r="A76" s="31">
        <v>23</v>
      </c>
      <c r="B76" s="15" t="s">
        <v>73</v>
      </c>
      <c r="C76" s="17" t="s">
        <v>74</v>
      </c>
      <c r="D76" s="15" t="s">
        <v>65</v>
      </c>
      <c r="E76" s="19">
        <v>5</v>
      </c>
      <c r="F76" s="13">
        <v>0.5</v>
      </c>
      <c r="G76" s="13">
        <v>501.62</v>
      </c>
      <c r="H76" s="103">
        <f t="shared" ref="H76:H78" si="13">SUM(F76*G76/1000)</f>
        <v>0.25080999999999998</v>
      </c>
      <c r="I76" s="13">
        <f>G76*0.2</f>
        <v>100.32400000000001</v>
      </c>
      <c r="J76" s="25"/>
      <c r="L76" s="21"/>
      <c r="M76" s="22"/>
      <c r="N76" s="23"/>
    </row>
    <row r="77" spans="1:14" ht="15.75" hidden="1" customHeight="1">
      <c r="A77" s="31"/>
      <c r="B77" s="15" t="s">
        <v>130</v>
      </c>
      <c r="C77" s="17" t="s">
        <v>87</v>
      </c>
      <c r="D77" s="15"/>
      <c r="E77" s="19">
        <v>1</v>
      </c>
      <c r="F77" s="86">
        <f>E77</f>
        <v>1</v>
      </c>
      <c r="G77" s="13">
        <v>852.99</v>
      </c>
      <c r="H77" s="103">
        <f t="shared" si="13"/>
        <v>0.85299000000000003</v>
      </c>
      <c r="I77" s="13">
        <v>0</v>
      </c>
      <c r="J77" s="25"/>
      <c r="L77" s="21"/>
      <c r="M77" s="22"/>
      <c r="N77" s="23"/>
    </row>
    <row r="78" spans="1:14" ht="20.25" hidden="1" customHeight="1">
      <c r="A78" s="31"/>
      <c r="B78" s="15" t="s">
        <v>131</v>
      </c>
      <c r="C78" s="17" t="s">
        <v>87</v>
      </c>
      <c r="D78" s="15"/>
      <c r="E78" s="19">
        <v>1</v>
      </c>
      <c r="F78" s="96">
        <f>SUM(E78)</f>
        <v>1</v>
      </c>
      <c r="G78" s="13">
        <v>358.51</v>
      </c>
      <c r="H78" s="103">
        <f t="shared" si="13"/>
        <v>0.35851</v>
      </c>
      <c r="I78" s="13">
        <v>0</v>
      </c>
      <c r="J78" s="25"/>
      <c r="L78" s="21"/>
      <c r="M78" s="22"/>
      <c r="N78" s="23"/>
    </row>
    <row r="79" spans="1:14" ht="14.25" hidden="1" customHeight="1">
      <c r="A79" s="31"/>
      <c r="B79" s="50" t="s">
        <v>75</v>
      </c>
      <c r="C79" s="38"/>
      <c r="D79" s="31"/>
      <c r="E79" s="19"/>
      <c r="F79" s="19"/>
      <c r="G79" s="37" t="s">
        <v>119</v>
      </c>
      <c r="H79" s="37"/>
      <c r="I79" s="19"/>
      <c r="J79" s="25"/>
      <c r="L79" s="21"/>
      <c r="M79" s="22"/>
      <c r="N79" s="23"/>
    </row>
    <row r="80" spans="1:14" ht="18" hidden="1" customHeight="1">
      <c r="A80" s="31">
        <v>12</v>
      </c>
      <c r="B80" s="52" t="s">
        <v>120</v>
      </c>
      <c r="C80" s="17" t="s">
        <v>76</v>
      </c>
      <c r="D80" s="15"/>
      <c r="E80" s="19"/>
      <c r="F80" s="13">
        <v>0.3</v>
      </c>
      <c r="G80" s="13">
        <v>2759.44</v>
      </c>
      <c r="H80" s="103">
        <f t="shared" ref="H80" si="14">SUM(F80*G80/1000)</f>
        <v>0.82783200000000001</v>
      </c>
      <c r="I80" s="13">
        <v>0</v>
      </c>
      <c r="J80" s="25"/>
      <c r="L80" s="21"/>
      <c r="M80" s="22"/>
      <c r="N80" s="23"/>
    </row>
    <row r="81" spans="1:22" ht="15.75" customHeight="1">
      <c r="A81" s="159" t="s">
        <v>135</v>
      </c>
      <c r="B81" s="160"/>
      <c r="C81" s="160"/>
      <c r="D81" s="160"/>
      <c r="E81" s="160"/>
      <c r="F81" s="160"/>
      <c r="G81" s="160"/>
      <c r="H81" s="160"/>
      <c r="I81" s="161"/>
      <c r="J81" s="25"/>
      <c r="L81" s="21"/>
      <c r="M81" s="22"/>
      <c r="N81" s="23"/>
    </row>
    <row r="82" spans="1:22" ht="15.75" customHeight="1">
      <c r="A82" s="31">
        <v>18</v>
      </c>
      <c r="B82" s="93" t="s">
        <v>121</v>
      </c>
      <c r="C82" s="17" t="s">
        <v>55</v>
      </c>
      <c r="D82" s="106"/>
      <c r="E82" s="13">
        <v>2581.1999999999998</v>
      </c>
      <c r="F82" s="13">
        <f>SUM(E82*12)</f>
        <v>30974.399999999998</v>
      </c>
      <c r="G82" s="13">
        <v>2.1</v>
      </c>
      <c r="H82" s="103">
        <f>SUM(F82*G82/1000)</f>
        <v>65.046239999999997</v>
      </c>
      <c r="I82" s="13">
        <f>F82/12*G82</f>
        <v>5420.5199999999995</v>
      </c>
      <c r="J82" s="25"/>
      <c r="L82" s="21"/>
    </row>
    <row r="83" spans="1:22" ht="31.5" customHeight="1">
      <c r="A83" s="31">
        <v>19</v>
      </c>
      <c r="B83" s="15" t="s">
        <v>77</v>
      </c>
      <c r="C83" s="17"/>
      <c r="D83" s="106"/>
      <c r="E83" s="95">
        <v>2581.1999999999998</v>
      </c>
      <c r="F83" s="13">
        <f>E83*12</f>
        <v>30974.399999999998</v>
      </c>
      <c r="G83" s="13">
        <v>1.63</v>
      </c>
      <c r="H83" s="103">
        <f>F83*G83/1000</f>
        <v>50.488271999999988</v>
      </c>
      <c r="I83" s="13">
        <f>F83/12*G83</f>
        <v>4207.3559999999998</v>
      </c>
    </row>
    <row r="84" spans="1:22" ht="15.75" customHeight="1">
      <c r="A84" s="121"/>
      <c r="B84" s="39" t="s">
        <v>79</v>
      </c>
      <c r="C84" s="41"/>
      <c r="D84" s="16"/>
      <c r="E84" s="16"/>
      <c r="F84" s="16"/>
      <c r="G84" s="19"/>
      <c r="H84" s="19"/>
      <c r="I84" s="33">
        <f>I83+I82+I63+I59+I56+I49+I42+I41+I40+I39+I38+I37+I27+I21+I20+I18+I17+I16+I72</f>
        <v>43166.452381000003</v>
      </c>
    </row>
    <row r="85" spans="1:22" ht="15.75" customHeight="1">
      <c r="A85" s="162" t="s">
        <v>60</v>
      </c>
      <c r="B85" s="163"/>
      <c r="C85" s="163"/>
      <c r="D85" s="163"/>
      <c r="E85" s="163"/>
      <c r="F85" s="163"/>
      <c r="G85" s="163"/>
      <c r="H85" s="163"/>
      <c r="I85" s="164"/>
    </row>
    <row r="86" spans="1:22" ht="30.75" customHeight="1">
      <c r="A86" s="31">
        <v>20</v>
      </c>
      <c r="B86" s="125" t="s">
        <v>161</v>
      </c>
      <c r="C86" s="41" t="s">
        <v>29</v>
      </c>
      <c r="D86" s="52"/>
      <c r="E86" s="13"/>
      <c r="F86" s="13">
        <v>368</v>
      </c>
      <c r="G86" s="37">
        <v>19757.060000000001</v>
      </c>
      <c r="H86" s="103" t="e">
        <f>#REF!*#REF!/1000</f>
        <v>#REF!</v>
      </c>
      <c r="I86" s="13">
        <f>G86*0.599*6/1000</f>
        <v>71.006873640000009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15" customHeight="1">
      <c r="A87" s="31">
        <v>21</v>
      </c>
      <c r="B87" s="125" t="s">
        <v>141</v>
      </c>
      <c r="C87" s="41" t="s">
        <v>142</v>
      </c>
      <c r="D87" s="17" t="s">
        <v>262</v>
      </c>
      <c r="E87" s="13"/>
      <c r="F87" s="13">
        <v>8.5</v>
      </c>
      <c r="G87" s="37">
        <v>1730</v>
      </c>
      <c r="H87" s="103">
        <f>G87*F87/1000</f>
        <v>14.705</v>
      </c>
      <c r="I87" s="13">
        <f>G87*2</f>
        <v>3460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7.25" customHeight="1">
      <c r="A88" s="31">
        <v>22</v>
      </c>
      <c r="B88" s="122" t="s">
        <v>257</v>
      </c>
      <c r="C88" s="123" t="s">
        <v>258</v>
      </c>
      <c r="D88" s="17" t="s">
        <v>263</v>
      </c>
      <c r="E88" s="13"/>
      <c r="F88" s="13">
        <v>4</v>
      </c>
      <c r="G88" s="37">
        <v>5019.4399999999996</v>
      </c>
      <c r="H88" s="103">
        <f>G88*F88/1000</f>
        <v>20.077759999999998</v>
      </c>
      <c r="I88" s="13">
        <f>G88*0.25</f>
        <v>1254.8599999999999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15.75" customHeight="1">
      <c r="A89" s="31">
        <v>23</v>
      </c>
      <c r="B89" s="122" t="s">
        <v>259</v>
      </c>
      <c r="C89" s="123" t="s">
        <v>25</v>
      </c>
      <c r="D89" s="38" t="s">
        <v>264</v>
      </c>
      <c r="E89" s="37"/>
      <c r="F89" s="37">
        <v>4</v>
      </c>
      <c r="G89" s="37">
        <v>401</v>
      </c>
      <c r="H89" s="105">
        <f>G89*F89/1000</f>
        <v>1.6040000000000001</v>
      </c>
      <c r="I89" s="13">
        <f>G89*1.5</f>
        <v>601.5</v>
      </c>
      <c r="J89" s="27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2" ht="30.75" customHeight="1">
      <c r="A90" s="31">
        <v>24</v>
      </c>
      <c r="B90" s="122" t="s">
        <v>260</v>
      </c>
      <c r="C90" s="123" t="s">
        <v>261</v>
      </c>
      <c r="D90" s="38"/>
      <c r="E90" s="37"/>
      <c r="F90" s="37"/>
      <c r="G90" s="37">
        <v>10199.69</v>
      </c>
      <c r="H90" s="105"/>
      <c r="I90" s="13">
        <f>G90*1</f>
        <v>10199.69</v>
      </c>
      <c r="J90" s="27"/>
      <c r="K90" s="27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2" ht="15.75" customHeight="1">
      <c r="A91" s="31">
        <v>25</v>
      </c>
      <c r="B91" s="122" t="s">
        <v>178</v>
      </c>
      <c r="C91" s="123" t="s">
        <v>157</v>
      </c>
      <c r="D91" s="38" t="s">
        <v>267</v>
      </c>
      <c r="E91" s="37"/>
      <c r="F91" s="37"/>
      <c r="G91" s="37">
        <v>26095.37</v>
      </c>
      <c r="H91" s="105"/>
      <c r="I91" s="13">
        <f>G91*0.01</f>
        <v>260.95369999999997</v>
      </c>
      <c r="J91" s="27"/>
      <c r="K91" s="27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2" ht="15.75" customHeight="1">
      <c r="A92" s="31">
        <v>26</v>
      </c>
      <c r="B92" s="122" t="s">
        <v>81</v>
      </c>
      <c r="C92" s="123" t="s">
        <v>87</v>
      </c>
      <c r="D92" s="38"/>
      <c r="E92" s="37"/>
      <c r="F92" s="37"/>
      <c r="G92" s="37">
        <v>207.55</v>
      </c>
      <c r="H92" s="105"/>
      <c r="I92" s="13">
        <f>G92*1</f>
        <v>207.55</v>
      </c>
      <c r="J92" s="27"/>
      <c r="K92" s="27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2" ht="30.75" customHeight="1">
      <c r="A93" s="31">
        <v>27</v>
      </c>
      <c r="B93" s="122" t="s">
        <v>265</v>
      </c>
      <c r="C93" s="123" t="s">
        <v>96</v>
      </c>
      <c r="D93" s="38" t="s">
        <v>267</v>
      </c>
      <c r="E93" s="37"/>
      <c r="F93" s="37"/>
      <c r="G93" s="37">
        <v>644.72</v>
      </c>
      <c r="H93" s="105"/>
      <c r="I93" s="13">
        <f>G93*1</f>
        <v>644.72</v>
      </c>
      <c r="J93" s="27"/>
      <c r="K93" s="27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2" ht="17.25" customHeight="1">
      <c r="A94" s="31">
        <v>28</v>
      </c>
      <c r="B94" s="122" t="s">
        <v>165</v>
      </c>
      <c r="C94" s="123" t="s">
        <v>83</v>
      </c>
      <c r="D94" s="38" t="s">
        <v>266</v>
      </c>
      <c r="E94" s="37"/>
      <c r="F94" s="37"/>
      <c r="G94" s="37">
        <v>214.07</v>
      </c>
      <c r="H94" s="105"/>
      <c r="I94" s="13">
        <f>G94*1</f>
        <v>214.07</v>
      </c>
      <c r="J94" s="27"/>
      <c r="K94" s="27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2" ht="15.75" customHeight="1">
      <c r="A95" s="31"/>
      <c r="B95" s="46" t="s">
        <v>52</v>
      </c>
      <c r="C95" s="42"/>
      <c r="D95" s="54"/>
      <c r="E95" s="42">
        <v>1</v>
      </c>
      <c r="F95" s="42"/>
      <c r="G95" s="42"/>
      <c r="H95" s="42"/>
      <c r="I95" s="33">
        <f>SUM(I86:I94)</f>
        <v>16914.35057364</v>
      </c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1:22" ht="15.75" customHeight="1">
      <c r="A96" s="31"/>
      <c r="B96" s="52" t="s">
        <v>78</v>
      </c>
      <c r="C96" s="16"/>
      <c r="D96" s="16"/>
      <c r="E96" s="43"/>
      <c r="F96" s="43"/>
      <c r="G96" s="44"/>
      <c r="H96" s="44"/>
      <c r="I96" s="18">
        <v>0</v>
      </c>
    </row>
    <row r="97" spans="1:9" ht="15.75" customHeight="1">
      <c r="A97" s="55"/>
      <c r="B97" s="47" t="s">
        <v>138</v>
      </c>
      <c r="C97" s="36"/>
      <c r="D97" s="36"/>
      <c r="E97" s="36"/>
      <c r="F97" s="36"/>
      <c r="G97" s="36"/>
      <c r="H97" s="36"/>
      <c r="I97" s="45">
        <f>I84+I95</f>
        <v>60080.802954640007</v>
      </c>
    </row>
    <row r="98" spans="1:9" ht="15.75" customHeight="1">
      <c r="A98" s="158" t="s">
        <v>268</v>
      </c>
      <c r="B98" s="158"/>
      <c r="C98" s="158"/>
      <c r="D98" s="158"/>
      <c r="E98" s="158"/>
      <c r="F98" s="158"/>
      <c r="G98" s="158"/>
      <c r="H98" s="158"/>
      <c r="I98" s="158"/>
    </row>
    <row r="99" spans="1:9" ht="15.75" customHeight="1">
      <c r="A99" s="79"/>
      <c r="B99" s="171" t="s">
        <v>269</v>
      </c>
      <c r="C99" s="171"/>
      <c r="D99" s="171"/>
      <c r="E99" s="171"/>
      <c r="F99" s="171"/>
      <c r="G99" s="171"/>
      <c r="H99" s="91"/>
      <c r="I99" s="3"/>
    </row>
    <row r="100" spans="1:9" ht="15.75" customHeight="1">
      <c r="A100" s="116"/>
      <c r="B100" s="172" t="s">
        <v>6</v>
      </c>
      <c r="C100" s="172"/>
      <c r="D100" s="172"/>
      <c r="E100" s="172"/>
      <c r="F100" s="172"/>
      <c r="G100" s="172"/>
      <c r="H100" s="26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173" t="s">
        <v>7</v>
      </c>
      <c r="B102" s="173"/>
      <c r="C102" s="173"/>
      <c r="D102" s="173"/>
      <c r="E102" s="173"/>
      <c r="F102" s="173"/>
      <c r="G102" s="173"/>
      <c r="H102" s="173"/>
      <c r="I102" s="173"/>
    </row>
    <row r="103" spans="1:9" ht="15.75" customHeight="1">
      <c r="A103" s="173" t="s">
        <v>8</v>
      </c>
      <c r="B103" s="173"/>
      <c r="C103" s="173"/>
      <c r="D103" s="173"/>
      <c r="E103" s="173"/>
      <c r="F103" s="173"/>
      <c r="G103" s="173"/>
      <c r="H103" s="173"/>
      <c r="I103" s="173"/>
    </row>
    <row r="104" spans="1:9" ht="15.75" customHeight="1">
      <c r="A104" s="176" t="s">
        <v>61</v>
      </c>
      <c r="B104" s="176"/>
      <c r="C104" s="176"/>
      <c r="D104" s="176"/>
      <c r="E104" s="176"/>
      <c r="F104" s="176"/>
      <c r="G104" s="176"/>
      <c r="H104" s="176"/>
      <c r="I104" s="176"/>
    </row>
    <row r="105" spans="1:9" ht="15.75" customHeight="1">
      <c r="A105" s="11"/>
    </row>
    <row r="106" spans="1:9" ht="15.75" customHeight="1">
      <c r="A106" s="177" t="s">
        <v>9</v>
      </c>
      <c r="B106" s="177"/>
      <c r="C106" s="177"/>
      <c r="D106" s="177"/>
      <c r="E106" s="177"/>
      <c r="F106" s="177"/>
      <c r="G106" s="177"/>
      <c r="H106" s="177"/>
      <c r="I106" s="177"/>
    </row>
    <row r="107" spans="1:9" ht="15.75" customHeight="1">
      <c r="A107" s="4"/>
    </row>
    <row r="108" spans="1:9" ht="15.75" customHeight="1">
      <c r="B108" s="117" t="s">
        <v>10</v>
      </c>
      <c r="C108" s="178" t="s">
        <v>86</v>
      </c>
      <c r="D108" s="178"/>
      <c r="E108" s="178"/>
      <c r="F108" s="89"/>
      <c r="I108" s="118"/>
    </row>
    <row r="109" spans="1:9" ht="15.75" customHeight="1">
      <c r="A109" s="116"/>
      <c r="C109" s="172" t="s">
        <v>11</v>
      </c>
      <c r="D109" s="172"/>
      <c r="E109" s="172"/>
      <c r="F109" s="26"/>
      <c r="I109" s="115" t="s">
        <v>12</v>
      </c>
    </row>
    <row r="110" spans="1:9" ht="15.75" customHeight="1">
      <c r="A110" s="27"/>
      <c r="C110" s="12"/>
      <c r="D110" s="12"/>
      <c r="G110" s="12"/>
      <c r="H110" s="12"/>
    </row>
    <row r="111" spans="1:9" ht="15.75" customHeight="1">
      <c r="B111" s="117" t="s">
        <v>13</v>
      </c>
      <c r="C111" s="179"/>
      <c r="D111" s="179"/>
      <c r="E111" s="179"/>
      <c r="F111" s="90"/>
      <c r="I111" s="118"/>
    </row>
    <row r="112" spans="1:9" ht="15.75" customHeight="1">
      <c r="A112" s="116"/>
      <c r="C112" s="175" t="s">
        <v>11</v>
      </c>
      <c r="D112" s="175"/>
      <c r="E112" s="175"/>
      <c r="F112" s="116"/>
      <c r="I112" s="115" t="s">
        <v>12</v>
      </c>
    </row>
    <row r="113" spans="1:9" ht="15.75" customHeight="1">
      <c r="A113" s="4" t="s">
        <v>14</v>
      </c>
    </row>
    <row r="114" spans="1:9">
      <c r="A114" s="174" t="s">
        <v>15</v>
      </c>
      <c r="B114" s="174"/>
      <c r="C114" s="174"/>
      <c r="D114" s="174"/>
      <c r="E114" s="174"/>
      <c r="F114" s="174"/>
      <c r="G114" s="174"/>
      <c r="H114" s="174"/>
      <c r="I114" s="174"/>
    </row>
    <row r="115" spans="1:9" ht="45" customHeight="1">
      <c r="A115" s="170" t="s">
        <v>16</v>
      </c>
      <c r="B115" s="170"/>
      <c r="C115" s="170"/>
      <c r="D115" s="170"/>
      <c r="E115" s="170"/>
      <c r="F115" s="170"/>
      <c r="G115" s="170"/>
      <c r="H115" s="170"/>
      <c r="I115" s="170"/>
    </row>
    <row r="116" spans="1:9" ht="30" customHeight="1">
      <c r="A116" s="170" t="s">
        <v>17</v>
      </c>
      <c r="B116" s="170"/>
      <c r="C116" s="170"/>
      <c r="D116" s="170"/>
      <c r="E116" s="170"/>
      <c r="F116" s="170"/>
      <c r="G116" s="170"/>
      <c r="H116" s="170"/>
      <c r="I116" s="170"/>
    </row>
    <row r="117" spans="1:9" ht="30" customHeight="1">
      <c r="A117" s="170" t="s">
        <v>21</v>
      </c>
      <c r="B117" s="170"/>
      <c r="C117" s="170"/>
      <c r="D117" s="170"/>
      <c r="E117" s="170"/>
      <c r="F117" s="170"/>
      <c r="G117" s="170"/>
      <c r="H117" s="170"/>
      <c r="I117" s="170"/>
    </row>
    <row r="118" spans="1:9" ht="15" customHeight="1">
      <c r="A118" s="170" t="s">
        <v>20</v>
      </c>
      <c r="B118" s="170"/>
      <c r="C118" s="170"/>
      <c r="D118" s="170"/>
      <c r="E118" s="170"/>
      <c r="F118" s="170"/>
      <c r="G118" s="170"/>
      <c r="H118" s="170"/>
      <c r="I118" s="170"/>
    </row>
  </sheetData>
  <autoFilter ref="I12:I84"/>
  <mergeCells count="28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9:I29"/>
    <mergeCell ref="A43:I43"/>
    <mergeCell ref="A54:I54"/>
    <mergeCell ref="A81:I81"/>
    <mergeCell ref="A85:I85"/>
    <mergeCell ref="A98:I98"/>
    <mergeCell ref="B99:G99"/>
    <mergeCell ref="B100:G100"/>
    <mergeCell ref="A102:I102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B78" sqref="B78:I7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5" t="s">
        <v>139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122</v>
      </c>
      <c r="B4" s="166"/>
      <c r="C4" s="166"/>
      <c r="D4" s="166"/>
      <c r="E4" s="166"/>
      <c r="F4" s="166"/>
      <c r="G4" s="166"/>
      <c r="H4" s="166"/>
      <c r="I4" s="166"/>
    </row>
    <row r="5" spans="1:13" ht="15.75" customHeight="1">
      <c r="A5" s="165" t="s">
        <v>164</v>
      </c>
      <c r="B5" s="169"/>
      <c r="C5" s="169"/>
      <c r="D5" s="169"/>
      <c r="E5" s="169"/>
      <c r="F5" s="169"/>
      <c r="G5" s="169"/>
      <c r="H5" s="169"/>
      <c r="I5" s="169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2">
        <v>43524</v>
      </c>
      <c r="J6" s="2"/>
      <c r="K6" s="2"/>
      <c r="L6" s="2"/>
      <c r="M6" s="2"/>
    </row>
    <row r="7" spans="1:13" ht="15.75" customHeight="1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7" t="s">
        <v>160</v>
      </c>
      <c r="B8" s="167"/>
      <c r="C8" s="167"/>
      <c r="D8" s="167"/>
      <c r="E8" s="167"/>
      <c r="F8" s="167"/>
      <c r="G8" s="167"/>
      <c r="H8" s="167"/>
      <c r="I8" s="167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8" t="s">
        <v>152</v>
      </c>
      <c r="B10" s="168"/>
      <c r="C10" s="168"/>
      <c r="D10" s="168"/>
      <c r="E10" s="168"/>
      <c r="F10" s="168"/>
      <c r="G10" s="168"/>
      <c r="H10" s="168"/>
      <c r="I10" s="16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59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1">
        <v>1</v>
      </c>
      <c r="B16" s="93" t="s">
        <v>85</v>
      </c>
      <c r="C16" s="94" t="s">
        <v>90</v>
      </c>
      <c r="D16" s="93" t="s">
        <v>186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7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99</v>
      </c>
      <c r="C17" s="94" t="s">
        <v>90</v>
      </c>
      <c r="D17" s="93" t="s">
        <v>187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100</v>
      </c>
      <c r="C18" s="94" t="s">
        <v>90</v>
      </c>
      <c r="D18" s="93" t="s">
        <v>188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123</v>
      </c>
      <c r="C19" s="94" t="s">
        <v>124</v>
      </c>
      <c r="D19" s="93" t="s">
        <v>125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89</v>
      </c>
      <c r="C20" s="94" t="s">
        <v>90</v>
      </c>
      <c r="D20" s="93" t="s">
        <v>189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97</v>
      </c>
      <c r="C21" s="94" t="s">
        <v>90</v>
      </c>
      <c r="D21" s="93" t="s">
        <v>190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91</v>
      </c>
      <c r="C22" s="94" t="s">
        <v>53</v>
      </c>
      <c r="D22" s="93" t="s">
        <v>125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92</v>
      </c>
      <c r="C23" s="94" t="s">
        <v>53</v>
      </c>
      <c r="D23" s="93" t="s">
        <v>125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93</v>
      </c>
      <c r="C24" s="94" t="s">
        <v>53</v>
      </c>
      <c r="D24" s="93" t="s">
        <v>126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98</v>
      </c>
      <c r="C25" s="94" t="s">
        <v>90</v>
      </c>
      <c r="D25" s="93" t="s">
        <v>54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94</v>
      </c>
      <c r="C26" s="94" t="s">
        <v>53</v>
      </c>
      <c r="D26" s="93" t="s">
        <v>125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185</v>
      </c>
      <c r="C27" s="40" t="s">
        <v>25</v>
      </c>
      <c r="D27" s="34" t="s">
        <v>191</v>
      </c>
      <c r="E27" s="140">
        <v>4.83</v>
      </c>
      <c r="F27" s="127">
        <f>SUM(E27*258)</f>
        <v>1246.1400000000001</v>
      </c>
      <c r="G27" s="127">
        <v>10.39</v>
      </c>
      <c r="H27" s="97">
        <f t="shared" si="0"/>
        <v>12.947394600000001</v>
      </c>
      <c r="I27" s="13">
        <f>F27/12*G27</f>
        <v>1078.9495500000003</v>
      </c>
      <c r="J27" s="8"/>
      <c r="K27" s="8"/>
      <c r="L27" s="8"/>
      <c r="M27" s="8"/>
    </row>
    <row r="28" spans="1:13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  <c r="J28" s="24"/>
      <c r="K28" s="8"/>
      <c r="L28" s="8"/>
      <c r="M28" s="8"/>
    </row>
    <row r="29" spans="1:13" ht="15.75" hidden="1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hidden="1" customHeight="1">
      <c r="A30" s="41">
        <v>2</v>
      </c>
      <c r="B30" s="93" t="s">
        <v>101</v>
      </c>
      <c r="C30" s="94" t="s">
        <v>102</v>
      </c>
      <c r="D30" s="93" t="s">
        <v>103</v>
      </c>
      <c r="E30" s="96">
        <v>1167.4000000000001</v>
      </c>
      <c r="F30" s="96">
        <f>SUM(E30*52/1000)</f>
        <v>60.704800000000006</v>
      </c>
      <c r="G30" s="96">
        <v>155.88999999999999</v>
      </c>
      <c r="H30" s="97">
        <f t="shared" ref="H30:H32" si="1">SUM(F30*G30/1000)</f>
        <v>9.4632712720000001</v>
      </c>
      <c r="I30" s="13">
        <v>0</v>
      </c>
      <c r="J30" s="24"/>
      <c r="K30" s="8"/>
      <c r="L30" s="8"/>
      <c r="M30" s="8"/>
    </row>
    <row r="31" spans="1:13" ht="31.5" hidden="1" customHeight="1">
      <c r="A31" s="41">
        <v>3</v>
      </c>
      <c r="B31" s="93" t="s">
        <v>136</v>
      </c>
      <c r="C31" s="94" t="s">
        <v>102</v>
      </c>
      <c r="D31" s="93" t="s">
        <v>104</v>
      </c>
      <c r="E31" s="96">
        <v>540.04999999999995</v>
      </c>
      <c r="F31" s="96">
        <f>SUM(E31*78/1000)</f>
        <v>42.123899999999992</v>
      </c>
      <c r="G31" s="96">
        <v>258.63</v>
      </c>
      <c r="H31" s="97">
        <f t="shared" si="1"/>
        <v>10.894504256999998</v>
      </c>
      <c r="I31" s="13">
        <v>0</v>
      </c>
      <c r="J31" s="24"/>
      <c r="K31" s="8"/>
      <c r="L31" s="8"/>
      <c r="M31" s="8"/>
    </row>
    <row r="32" spans="1:13" ht="15.75" hidden="1" customHeight="1">
      <c r="A32" s="41">
        <v>4</v>
      </c>
      <c r="B32" s="93" t="s">
        <v>27</v>
      </c>
      <c r="C32" s="94" t="s">
        <v>102</v>
      </c>
      <c r="D32" s="93" t="s">
        <v>54</v>
      </c>
      <c r="E32" s="96">
        <v>1167.4000000000001</v>
      </c>
      <c r="F32" s="96">
        <f>SUM(E32/1000)</f>
        <v>1.1674</v>
      </c>
      <c r="G32" s="96">
        <v>3020.33</v>
      </c>
      <c r="H32" s="97">
        <f t="shared" si="1"/>
        <v>3.5259332420000002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5</v>
      </c>
      <c r="B33" s="93" t="s">
        <v>105</v>
      </c>
      <c r="C33" s="94" t="s">
        <v>30</v>
      </c>
      <c r="D33" s="93" t="s">
        <v>63</v>
      </c>
      <c r="E33" s="100">
        <v>0.33333333333333331</v>
      </c>
      <c r="F33" s="96">
        <f>155/3</f>
        <v>51.666666666666664</v>
      </c>
      <c r="G33" s="96">
        <v>56.69</v>
      </c>
      <c r="H33" s="97">
        <f>SUM(G33*155/3/1000)</f>
        <v>2.9289833333333331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4</v>
      </c>
      <c r="B34" s="93" t="s">
        <v>64</v>
      </c>
      <c r="C34" s="94" t="s">
        <v>32</v>
      </c>
      <c r="D34" s="93" t="s">
        <v>65</v>
      </c>
      <c r="E34" s="95"/>
      <c r="F34" s="96">
        <v>3</v>
      </c>
      <c r="G34" s="96">
        <v>191.32</v>
      </c>
      <c r="H34" s="97">
        <f t="shared" ref="H34" si="2">SUM(F34*G34/1000)</f>
        <v>0.57396000000000003</v>
      </c>
      <c r="I34" s="13">
        <v>0</v>
      </c>
      <c r="J34" s="24"/>
      <c r="K34" s="8"/>
      <c r="L34" s="8"/>
      <c r="M34" s="8"/>
    </row>
    <row r="35" spans="1:13" ht="15.75" customHeight="1">
      <c r="A35" s="41"/>
      <c r="B35" s="49" t="s">
        <v>5</v>
      </c>
      <c r="C35" s="49"/>
      <c r="D35" s="49"/>
      <c r="E35" s="13"/>
      <c r="F35" s="13"/>
      <c r="G35" s="14"/>
      <c r="H35" s="14"/>
      <c r="I35" s="19"/>
      <c r="J35" s="24"/>
      <c r="K35" s="8"/>
      <c r="L35" s="8"/>
      <c r="M35" s="8"/>
    </row>
    <row r="36" spans="1:13" ht="15.75" customHeight="1">
      <c r="A36" s="41">
        <v>7</v>
      </c>
      <c r="B36" s="93" t="s">
        <v>26</v>
      </c>
      <c r="C36" s="94" t="s">
        <v>31</v>
      </c>
      <c r="D36" s="93"/>
      <c r="E36" s="95"/>
      <c r="F36" s="96">
        <v>6</v>
      </c>
      <c r="G36" s="96">
        <v>1527.2</v>
      </c>
      <c r="H36" s="97">
        <f t="shared" ref="H36:H41" si="3">SUM(F36*G36/1000)</f>
        <v>9.1632000000000016</v>
      </c>
      <c r="I36" s="13">
        <f>G36*1.2</f>
        <v>1832.64</v>
      </c>
      <c r="J36" s="24"/>
      <c r="K36" s="8"/>
      <c r="L36" s="8"/>
      <c r="M36" s="8"/>
    </row>
    <row r="37" spans="1:13" ht="15.75" customHeight="1">
      <c r="A37" s="35">
        <v>8</v>
      </c>
      <c r="B37" s="93" t="s">
        <v>66</v>
      </c>
      <c r="C37" s="94" t="s">
        <v>29</v>
      </c>
      <c r="D37" s="93" t="s">
        <v>192</v>
      </c>
      <c r="E37" s="96">
        <v>1080.0999999999999</v>
      </c>
      <c r="F37" s="96">
        <f>SUM(E37*30/1000)</f>
        <v>32.402999999999999</v>
      </c>
      <c r="G37" s="96">
        <v>2102.6999999999998</v>
      </c>
      <c r="H37" s="97">
        <f t="shared" si="3"/>
        <v>68.13378809999999</v>
      </c>
      <c r="I37" s="13">
        <f t="shared" ref="I37:I39" si="4">F37/6*G37</f>
        <v>11355.63135</v>
      </c>
      <c r="J37" s="24"/>
      <c r="K37" s="8"/>
      <c r="L37" s="8"/>
      <c r="M37" s="8"/>
    </row>
    <row r="38" spans="1:13" ht="15.75" customHeight="1">
      <c r="A38" s="35">
        <v>9</v>
      </c>
      <c r="B38" s="93" t="s">
        <v>67</v>
      </c>
      <c r="C38" s="94" t="s">
        <v>29</v>
      </c>
      <c r="D38" s="93" t="s">
        <v>193</v>
      </c>
      <c r="E38" s="96">
        <v>45</v>
      </c>
      <c r="F38" s="96">
        <f>SUM(E38*155/1000)</f>
        <v>6.9749999999999996</v>
      </c>
      <c r="G38" s="96">
        <v>350.75</v>
      </c>
      <c r="H38" s="97">
        <f t="shared" si="3"/>
        <v>2.4464812499999997</v>
      </c>
      <c r="I38" s="13">
        <f t="shared" si="4"/>
        <v>407.74687499999993</v>
      </c>
      <c r="J38" s="24"/>
      <c r="K38" s="8"/>
      <c r="L38" s="8"/>
      <c r="M38" s="8"/>
    </row>
    <row r="39" spans="1:13" ht="47.25" customHeight="1">
      <c r="A39" s="35">
        <v>10</v>
      </c>
      <c r="B39" s="93" t="s">
        <v>82</v>
      </c>
      <c r="C39" s="94" t="s">
        <v>102</v>
      </c>
      <c r="D39" s="93" t="s">
        <v>194</v>
      </c>
      <c r="E39" s="96">
        <v>45</v>
      </c>
      <c r="F39" s="96">
        <f>SUM(E39*70/1000)</f>
        <v>3.15</v>
      </c>
      <c r="G39" s="96">
        <v>5803.28</v>
      </c>
      <c r="H39" s="97">
        <f t="shared" si="3"/>
        <v>18.280331999999998</v>
      </c>
      <c r="I39" s="13">
        <f t="shared" si="4"/>
        <v>3046.7220000000002</v>
      </c>
      <c r="J39" s="24"/>
      <c r="K39" s="8"/>
      <c r="L39" s="8"/>
      <c r="M39" s="8"/>
    </row>
    <row r="40" spans="1:13" ht="15.75" customHeight="1">
      <c r="A40" s="35">
        <v>11</v>
      </c>
      <c r="B40" s="93" t="s">
        <v>107</v>
      </c>
      <c r="C40" s="94" t="s">
        <v>102</v>
      </c>
      <c r="D40" s="93" t="s">
        <v>195</v>
      </c>
      <c r="E40" s="96">
        <v>45</v>
      </c>
      <c r="F40" s="96">
        <f>SUM(E40*45/1000)</f>
        <v>2.0249999999999999</v>
      </c>
      <c r="G40" s="96">
        <v>428.7</v>
      </c>
      <c r="H40" s="97">
        <f t="shared" si="3"/>
        <v>0.86811749999999999</v>
      </c>
      <c r="I40" s="13">
        <f>F40/7.5*G40</f>
        <v>115.74899999999998</v>
      </c>
      <c r="J40" s="24"/>
      <c r="K40" s="8"/>
      <c r="L40" s="8"/>
      <c r="M40" s="8"/>
    </row>
    <row r="41" spans="1:13" ht="15.75" customHeight="1">
      <c r="A41" s="35">
        <v>12</v>
      </c>
      <c r="B41" s="93" t="s">
        <v>70</v>
      </c>
      <c r="C41" s="94" t="s">
        <v>32</v>
      </c>
      <c r="D41" s="93"/>
      <c r="E41" s="95"/>
      <c r="F41" s="96">
        <v>0.6</v>
      </c>
      <c r="G41" s="96">
        <v>798</v>
      </c>
      <c r="H41" s="97">
        <f t="shared" si="3"/>
        <v>0.47879999999999995</v>
      </c>
      <c r="I41" s="13">
        <f>F41/7.5*G41</f>
        <v>63.84</v>
      </c>
      <c r="J41" s="24"/>
      <c r="K41" s="8"/>
      <c r="L41" s="8"/>
      <c r="M41" s="8"/>
    </row>
    <row r="42" spans="1:13" ht="15.75" customHeight="1">
      <c r="A42" s="155" t="s">
        <v>133</v>
      </c>
      <c r="B42" s="156"/>
      <c r="C42" s="156"/>
      <c r="D42" s="156"/>
      <c r="E42" s="156"/>
      <c r="F42" s="156"/>
      <c r="G42" s="156"/>
      <c r="H42" s="156"/>
      <c r="I42" s="157"/>
      <c r="J42" s="24"/>
      <c r="K42" s="8"/>
      <c r="L42" s="8"/>
      <c r="M42" s="8"/>
    </row>
    <row r="43" spans="1:13" ht="15.75" hidden="1" customHeight="1">
      <c r="A43" s="41">
        <v>15</v>
      </c>
      <c r="B43" s="93" t="s">
        <v>108</v>
      </c>
      <c r="C43" s="94" t="s">
        <v>102</v>
      </c>
      <c r="D43" s="93" t="s">
        <v>42</v>
      </c>
      <c r="E43" s="95">
        <v>965.8</v>
      </c>
      <c r="F43" s="96">
        <f>SUM(E43*2/1000)</f>
        <v>1.9316</v>
      </c>
      <c r="G43" s="13">
        <v>849.49</v>
      </c>
      <c r="H43" s="97">
        <f t="shared" ref="H43:H52" si="5">SUM(F43*G43/1000)</f>
        <v>1.640874884</v>
      </c>
      <c r="I43" s="13">
        <v>0</v>
      </c>
      <c r="J43" s="24"/>
      <c r="K43" s="8"/>
    </row>
    <row r="44" spans="1:13" ht="15.75" hidden="1" customHeight="1">
      <c r="A44" s="41">
        <v>16</v>
      </c>
      <c r="B44" s="93" t="s">
        <v>35</v>
      </c>
      <c r="C44" s="94" t="s">
        <v>102</v>
      </c>
      <c r="D44" s="93" t="s">
        <v>42</v>
      </c>
      <c r="E44" s="95">
        <v>36</v>
      </c>
      <c r="F44" s="96">
        <f>SUM(E44*2/1000)</f>
        <v>7.1999999999999995E-2</v>
      </c>
      <c r="G44" s="13">
        <v>579.48</v>
      </c>
      <c r="H44" s="97">
        <f t="shared" si="5"/>
        <v>4.1722559999999999E-2</v>
      </c>
      <c r="I44" s="13">
        <v>0</v>
      </c>
      <c r="J44" s="25"/>
    </row>
    <row r="45" spans="1:13" ht="15.75" hidden="1" customHeight="1">
      <c r="A45" s="41">
        <v>17</v>
      </c>
      <c r="B45" s="93" t="s">
        <v>36</v>
      </c>
      <c r="C45" s="94" t="s">
        <v>102</v>
      </c>
      <c r="D45" s="93" t="s">
        <v>42</v>
      </c>
      <c r="E45" s="95">
        <v>1197.7</v>
      </c>
      <c r="F45" s="96">
        <f>SUM(E45*2/1000)</f>
        <v>2.3954</v>
      </c>
      <c r="G45" s="13">
        <v>579.48</v>
      </c>
      <c r="H45" s="97">
        <f t="shared" si="5"/>
        <v>1.3880863919999999</v>
      </c>
      <c r="I45" s="13">
        <v>0</v>
      </c>
      <c r="J45" s="25"/>
    </row>
    <row r="46" spans="1:13" ht="15.75" hidden="1" customHeight="1">
      <c r="A46" s="41"/>
      <c r="B46" s="93" t="s">
        <v>37</v>
      </c>
      <c r="C46" s="94" t="s">
        <v>102</v>
      </c>
      <c r="D46" s="93" t="s">
        <v>42</v>
      </c>
      <c r="E46" s="95">
        <v>2275.92</v>
      </c>
      <c r="F46" s="96">
        <f>SUM(E46*2/1000)</f>
        <v>4.5518400000000003</v>
      </c>
      <c r="G46" s="13">
        <v>606.77</v>
      </c>
      <c r="H46" s="97">
        <f t="shared" si="5"/>
        <v>2.7619199567999999</v>
      </c>
      <c r="I46" s="13">
        <v>0</v>
      </c>
      <c r="J46" s="25"/>
    </row>
    <row r="47" spans="1:13" ht="15.75" hidden="1" customHeight="1">
      <c r="A47" s="41">
        <v>18</v>
      </c>
      <c r="B47" s="93" t="s">
        <v>33</v>
      </c>
      <c r="C47" s="94" t="s">
        <v>34</v>
      </c>
      <c r="D47" s="93" t="s">
        <v>42</v>
      </c>
      <c r="E47" s="95">
        <v>81.709999999999994</v>
      </c>
      <c r="F47" s="96">
        <f>SUM(E47*2/100)</f>
        <v>1.6341999999999999</v>
      </c>
      <c r="G47" s="13">
        <v>68.56</v>
      </c>
      <c r="H47" s="97">
        <f t="shared" si="5"/>
        <v>0.11204075199999999</v>
      </c>
      <c r="I47" s="13">
        <v>0</v>
      </c>
      <c r="J47" s="25"/>
    </row>
    <row r="48" spans="1:13" ht="15.75" customHeight="1">
      <c r="A48" s="41">
        <v>13</v>
      </c>
      <c r="B48" s="93" t="s">
        <v>56</v>
      </c>
      <c r="C48" s="94" t="s">
        <v>102</v>
      </c>
      <c r="D48" s="93" t="s">
        <v>190</v>
      </c>
      <c r="E48" s="95">
        <v>1711.8</v>
      </c>
      <c r="F48" s="96">
        <f>SUM(E48*5/1000)</f>
        <v>8.5589999999999993</v>
      </c>
      <c r="G48" s="13">
        <v>1213.55</v>
      </c>
      <c r="H48" s="97">
        <f t="shared" si="5"/>
        <v>10.386774449999999</v>
      </c>
      <c r="I48" s="13">
        <f>F48/5*G48</f>
        <v>2077.3548899999996</v>
      </c>
      <c r="J48" s="25"/>
    </row>
    <row r="49" spans="1:14" ht="31.5" hidden="1" customHeight="1">
      <c r="A49" s="41">
        <v>10</v>
      </c>
      <c r="B49" s="93" t="s">
        <v>109</v>
      </c>
      <c r="C49" s="94" t="s">
        <v>102</v>
      </c>
      <c r="D49" s="93" t="s">
        <v>42</v>
      </c>
      <c r="E49" s="95">
        <v>1711.8</v>
      </c>
      <c r="F49" s="96">
        <f>SUM(E49*2/1000)</f>
        <v>3.4236</v>
      </c>
      <c r="G49" s="13">
        <v>1213.55</v>
      </c>
      <c r="H49" s="97">
        <f t="shared" si="5"/>
        <v>4.1547097800000001</v>
      </c>
      <c r="I49" s="13">
        <v>0</v>
      </c>
      <c r="J49" s="25"/>
    </row>
    <row r="50" spans="1:14" ht="31.5" hidden="1" customHeight="1">
      <c r="A50" s="41">
        <v>11</v>
      </c>
      <c r="B50" s="93" t="s">
        <v>110</v>
      </c>
      <c r="C50" s="94" t="s">
        <v>38</v>
      </c>
      <c r="D50" s="93" t="s">
        <v>42</v>
      </c>
      <c r="E50" s="95">
        <v>15</v>
      </c>
      <c r="F50" s="96">
        <f>SUM(E50*2/100)</f>
        <v>0.3</v>
      </c>
      <c r="G50" s="13">
        <v>2730.49</v>
      </c>
      <c r="H50" s="97">
        <f t="shared" si="5"/>
        <v>0.81914699999999996</v>
      </c>
      <c r="I50" s="13">
        <v>0</v>
      </c>
      <c r="J50" s="25"/>
    </row>
    <row r="51" spans="1:14" ht="15.75" hidden="1" customHeight="1">
      <c r="A51" s="41">
        <v>12</v>
      </c>
      <c r="B51" s="93" t="s">
        <v>39</v>
      </c>
      <c r="C51" s="94" t="s">
        <v>40</v>
      </c>
      <c r="D51" s="93" t="s">
        <v>42</v>
      </c>
      <c r="E51" s="95">
        <v>1</v>
      </c>
      <c r="F51" s="96">
        <v>0.02</v>
      </c>
      <c r="G51" s="13">
        <v>5322.15</v>
      </c>
      <c r="H51" s="97">
        <f t="shared" si="5"/>
        <v>0.106443</v>
      </c>
      <c r="I51" s="13">
        <v>0</v>
      </c>
      <c r="J51" s="25"/>
      <c r="L51" s="21"/>
      <c r="M51" s="22"/>
      <c r="N51" s="23"/>
    </row>
    <row r="52" spans="1:14" ht="15.75" hidden="1" customHeight="1">
      <c r="A52" s="41">
        <v>15</v>
      </c>
      <c r="B52" s="93" t="s">
        <v>41</v>
      </c>
      <c r="C52" s="94" t="s">
        <v>87</v>
      </c>
      <c r="D52" s="93" t="s">
        <v>71</v>
      </c>
      <c r="E52" s="95">
        <v>90</v>
      </c>
      <c r="F52" s="96">
        <f>SUM(E52)*3</f>
        <v>270</v>
      </c>
      <c r="G52" s="13">
        <v>65.67</v>
      </c>
      <c r="H52" s="97">
        <f t="shared" si="5"/>
        <v>17.730900000000002</v>
      </c>
      <c r="I52" s="13">
        <f>E52*G52</f>
        <v>5910.3</v>
      </c>
      <c r="J52" s="25"/>
      <c r="L52" s="21"/>
      <c r="M52" s="22"/>
      <c r="N52" s="23"/>
    </row>
    <row r="53" spans="1:14" ht="15.75" customHeight="1">
      <c r="A53" s="155" t="s">
        <v>134</v>
      </c>
      <c r="B53" s="156"/>
      <c r="C53" s="156"/>
      <c r="D53" s="156"/>
      <c r="E53" s="156"/>
      <c r="F53" s="156"/>
      <c r="G53" s="156"/>
      <c r="H53" s="156"/>
      <c r="I53" s="157"/>
      <c r="J53" s="25"/>
      <c r="L53" s="21"/>
      <c r="M53" s="22"/>
      <c r="N53" s="23"/>
    </row>
    <row r="54" spans="1:14" ht="15.75" hidden="1" customHeight="1">
      <c r="A54" s="53"/>
      <c r="B54" s="48" t="s">
        <v>43</v>
      </c>
      <c r="C54" s="17"/>
      <c r="D54" s="16"/>
      <c r="E54" s="16"/>
      <c r="F54" s="16"/>
      <c r="G54" s="31"/>
      <c r="H54" s="31"/>
      <c r="I54" s="19"/>
      <c r="J54" s="25"/>
      <c r="L54" s="21"/>
      <c r="M54" s="22"/>
      <c r="N54" s="23"/>
    </row>
    <row r="55" spans="1:14" ht="31.5" hidden="1" customHeight="1">
      <c r="A55" s="41">
        <v>15</v>
      </c>
      <c r="B55" s="93" t="s">
        <v>111</v>
      </c>
      <c r="C55" s="94" t="s">
        <v>90</v>
      </c>
      <c r="D55" s="93" t="s">
        <v>112</v>
      </c>
      <c r="E55" s="95">
        <v>96.58</v>
      </c>
      <c r="F55" s="96">
        <f>SUM(E55*6/100)</f>
        <v>5.7948000000000004</v>
      </c>
      <c r="G55" s="13">
        <v>1547.28</v>
      </c>
      <c r="H55" s="97">
        <f>SUM(F55*G55/1000)</f>
        <v>8.9661781440000006</v>
      </c>
      <c r="I55" s="13">
        <f>F55/6*G55</f>
        <v>1494.3630240000002</v>
      </c>
      <c r="J55" s="25"/>
      <c r="L55" s="21"/>
      <c r="M55" s="22"/>
      <c r="N55" s="23"/>
    </row>
    <row r="56" spans="1:14" ht="15.75" customHeight="1">
      <c r="A56" s="41"/>
      <c r="B56" s="69" t="s">
        <v>44</v>
      </c>
      <c r="C56" s="40"/>
      <c r="D56" s="34"/>
      <c r="E56" s="19"/>
      <c r="F56" s="87"/>
      <c r="G56" s="37"/>
      <c r="H56" s="70"/>
      <c r="I56" s="20"/>
      <c r="J56" s="25"/>
      <c r="L56" s="21"/>
      <c r="M56" s="22"/>
      <c r="N56" s="23"/>
    </row>
    <row r="57" spans="1:14" ht="15.75" hidden="1" customHeight="1">
      <c r="A57" s="41"/>
      <c r="B57" s="93" t="s">
        <v>45</v>
      </c>
      <c r="C57" s="94" t="s">
        <v>90</v>
      </c>
      <c r="D57" s="93" t="s">
        <v>54</v>
      </c>
      <c r="E57" s="95">
        <v>855.9</v>
      </c>
      <c r="F57" s="97">
        <v>8.6</v>
      </c>
      <c r="G57" s="13">
        <v>747.3</v>
      </c>
      <c r="H57" s="101">
        <v>6.4</v>
      </c>
      <c r="I57" s="13">
        <v>0</v>
      </c>
      <c r="J57" s="25"/>
      <c r="L57" s="21"/>
      <c r="M57" s="22"/>
      <c r="N57" s="23"/>
    </row>
    <row r="58" spans="1:14" ht="15.75" customHeight="1">
      <c r="A58" s="41">
        <v>14</v>
      </c>
      <c r="B58" s="34" t="s">
        <v>88</v>
      </c>
      <c r="C58" s="40" t="s">
        <v>25</v>
      </c>
      <c r="D58" s="34" t="s">
        <v>190</v>
      </c>
      <c r="E58" s="126">
        <v>130</v>
      </c>
      <c r="F58" s="127">
        <f>E58*12</f>
        <v>1560</v>
      </c>
      <c r="G58" s="70">
        <v>1.4</v>
      </c>
      <c r="H58" s="101">
        <f>F58*G58/1000</f>
        <v>2.1840000000000002</v>
      </c>
      <c r="I58" s="13">
        <f>F58/12*G58</f>
        <v>182</v>
      </c>
      <c r="J58" s="25"/>
      <c r="L58" s="21"/>
      <c r="M58" s="22"/>
      <c r="N58" s="23"/>
    </row>
    <row r="59" spans="1:14" ht="15.75" hidden="1" customHeight="1">
      <c r="A59" s="41"/>
      <c r="B59" s="69" t="s">
        <v>128</v>
      </c>
      <c r="C59" s="40"/>
      <c r="D59" s="34"/>
      <c r="E59" s="19"/>
      <c r="F59" s="87"/>
      <c r="G59" s="71"/>
      <c r="H59" s="70"/>
      <c r="I59" s="20"/>
      <c r="J59" s="25"/>
      <c r="L59" s="21"/>
      <c r="M59" s="22"/>
      <c r="N59" s="23"/>
    </row>
    <row r="60" spans="1:14" ht="15.75" hidden="1" customHeight="1">
      <c r="A60" s="41"/>
      <c r="B60" s="93" t="s">
        <v>129</v>
      </c>
      <c r="C60" s="94" t="s">
        <v>87</v>
      </c>
      <c r="D60" s="93" t="s">
        <v>65</v>
      </c>
      <c r="E60" s="95">
        <v>2</v>
      </c>
      <c r="F60" s="96">
        <f>SUM(E60)</f>
        <v>2</v>
      </c>
      <c r="G60" s="102">
        <v>237.75</v>
      </c>
      <c r="H60" s="97">
        <f t="shared" ref="H60" si="6">SUM(F60*G60/1000)</f>
        <v>0.47549999999999998</v>
      </c>
      <c r="I60" s="13">
        <v>0</v>
      </c>
      <c r="J60" s="25"/>
      <c r="L60" s="21"/>
      <c r="M60" s="22"/>
      <c r="N60" s="23"/>
    </row>
    <row r="61" spans="1:14" ht="15.75" hidden="1" customHeight="1">
      <c r="A61" s="41"/>
      <c r="B61" s="77" t="s">
        <v>46</v>
      </c>
      <c r="C61" s="17"/>
      <c r="D61" s="16"/>
      <c r="E61" s="16"/>
      <c r="F61" s="88"/>
      <c r="G61" s="65"/>
      <c r="H61" s="70"/>
      <c r="I61" s="19"/>
      <c r="J61" s="25"/>
      <c r="L61" s="21"/>
      <c r="M61" s="22"/>
      <c r="N61" s="23"/>
    </row>
    <row r="62" spans="1:14" ht="15.75" hidden="1" customHeight="1">
      <c r="A62" s="41">
        <v>16</v>
      </c>
      <c r="B62" s="15" t="s">
        <v>47</v>
      </c>
      <c r="C62" s="17" t="s">
        <v>87</v>
      </c>
      <c r="D62" s="93" t="s">
        <v>65</v>
      </c>
      <c r="E62" s="19">
        <v>10</v>
      </c>
      <c r="F62" s="96">
        <v>10</v>
      </c>
      <c r="G62" s="13">
        <v>222.4</v>
      </c>
      <c r="H62" s="103">
        <f t="shared" ref="H62:H69" si="7">SUM(F62*G62/1000)</f>
        <v>2.2240000000000002</v>
      </c>
      <c r="I62" s="13">
        <f>G62</f>
        <v>222.4</v>
      </c>
      <c r="J62" s="25"/>
      <c r="L62" s="21"/>
      <c r="M62" s="22"/>
      <c r="N62" s="23"/>
    </row>
    <row r="63" spans="1:14" ht="15.75" hidden="1" customHeight="1">
      <c r="A63" s="31">
        <v>29</v>
      </c>
      <c r="B63" s="15" t="s">
        <v>48</v>
      </c>
      <c r="C63" s="17" t="s">
        <v>87</v>
      </c>
      <c r="D63" s="93" t="s">
        <v>65</v>
      </c>
      <c r="E63" s="19">
        <v>5</v>
      </c>
      <c r="F63" s="96">
        <v>5</v>
      </c>
      <c r="G63" s="13">
        <v>75.25</v>
      </c>
      <c r="H63" s="103">
        <f t="shared" si="7"/>
        <v>0.37624999999999997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8</v>
      </c>
      <c r="B64" s="15" t="s">
        <v>49</v>
      </c>
      <c r="C64" s="17" t="s">
        <v>113</v>
      </c>
      <c r="D64" s="15" t="s">
        <v>54</v>
      </c>
      <c r="E64" s="95">
        <v>13018</v>
      </c>
      <c r="F64" s="13">
        <f>SUM(E64/100)</f>
        <v>130.18</v>
      </c>
      <c r="G64" s="13">
        <v>212.15</v>
      </c>
      <c r="H64" s="103">
        <f t="shared" si="7"/>
        <v>27.617687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9</v>
      </c>
      <c r="B65" s="15" t="s">
        <v>50</v>
      </c>
      <c r="C65" s="17" t="s">
        <v>114</v>
      </c>
      <c r="D65" s="15"/>
      <c r="E65" s="95">
        <v>13018</v>
      </c>
      <c r="F65" s="13">
        <f>SUM(E65/1000)</f>
        <v>13.018000000000001</v>
      </c>
      <c r="G65" s="13">
        <v>165.21</v>
      </c>
      <c r="H65" s="103">
        <f t="shared" si="7"/>
        <v>2.1507037800000002</v>
      </c>
      <c r="I65" s="13">
        <v>0</v>
      </c>
      <c r="J65" s="25"/>
      <c r="L65" s="21"/>
      <c r="M65" s="22"/>
      <c r="N65" s="23"/>
    </row>
    <row r="66" spans="1:14" ht="15.75" hidden="1" customHeight="1">
      <c r="A66" s="31">
        <v>10</v>
      </c>
      <c r="B66" s="15" t="s">
        <v>51</v>
      </c>
      <c r="C66" s="17" t="s">
        <v>76</v>
      </c>
      <c r="D66" s="15" t="s">
        <v>54</v>
      </c>
      <c r="E66" s="95">
        <v>1279</v>
      </c>
      <c r="F66" s="13">
        <f>SUM(E66/100)</f>
        <v>12.79</v>
      </c>
      <c r="G66" s="13">
        <v>2074.63</v>
      </c>
      <c r="H66" s="103">
        <f t="shared" si="7"/>
        <v>26.534517700000002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11</v>
      </c>
      <c r="B67" s="104" t="s">
        <v>115</v>
      </c>
      <c r="C67" s="17" t="s">
        <v>32</v>
      </c>
      <c r="D67" s="15"/>
      <c r="E67" s="95">
        <v>12</v>
      </c>
      <c r="F67" s="13">
        <f>SUM(E67)</f>
        <v>12</v>
      </c>
      <c r="G67" s="13">
        <v>45.32</v>
      </c>
      <c r="H67" s="103">
        <f t="shared" si="7"/>
        <v>0.54383999999999999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12</v>
      </c>
      <c r="B68" s="104" t="s">
        <v>116</v>
      </c>
      <c r="C68" s="17" t="s">
        <v>32</v>
      </c>
      <c r="D68" s="15"/>
      <c r="E68" s="95">
        <v>12</v>
      </c>
      <c r="F68" s="13">
        <f>SUM(E68)</f>
        <v>12</v>
      </c>
      <c r="G68" s="13">
        <v>42.28</v>
      </c>
      <c r="H68" s="103">
        <f t="shared" si="7"/>
        <v>0.50736000000000003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13</v>
      </c>
      <c r="B69" s="15" t="s">
        <v>57</v>
      </c>
      <c r="C69" s="17" t="s">
        <v>58</v>
      </c>
      <c r="D69" s="15" t="s">
        <v>54</v>
      </c>
      <c r="E69" s="19">
        <v>1</v>
      </c>
      <c r="F69" s="96">
        <f>SUM(E69)</f>
        <v>1</v>
      </c>
      <c r="G69" s="13">
        <v>49.88</v>
      </c>
      <c r="H69" s="103">
        <f t="shared" si="7"/>
        <v>4.9880000000000001E-2</v>
      </c>
      <c r="I69" s="13">
        <v>0</v>
      </c>
      <c r="J69" s="25"/>
      <c r="L69" s="21"/>
      <c r="M69" s="22"/>
      <c r="N69" s="23"/>
    </row>
    <row r="70" spans="1:14" ht="15.75" hidden="1" customHeight="1">
      <c r="A70" s="53"/>
      <c r="B70" s="77" t="s">
        <v>117</v>
      </c>
      <c r="C70" s="77"/>
      <c r="D70" s="77"/>
      <c r="E70" s="77"/>
      <c r="F70" s="77"/>
      <c r="G70" s="77"/>
      <c r="H70" s="77"/>
      <c r="I70" s="19"/>
      <c r="J70" s="25"/>
      <c r="L70" s="21"/>
      <c r="M70" s="22"/>
      <c r="N70" s="23"/>
    </row>
    <row r="71" spans="1:14" ht="15.75" hidden="1" customHeight="1">
      <c r="A71" s="31">
        <v>15</v>
      </c>
      <c r="B71" s="93" t="s">
        <v>118</v>
      </c>
      <c r="C71" s="17"/>
      <c r="D71" s="15"/>
      <c r="E71" s="87"/>
      <c r="F71" s="13">
        <v>1</v>
      </c>
      <c r="G71" s="13">
        <v>10041.700000000001</v>
      </c>
      <c r="H71" s="103">
        <f>G71*F71/1000</f>
        <v>10.041700000000001</v>
      </c>
      <c r="I71" s="13">
        <v>0</v>
      </c>
      <c r="J71" s="25"/>
      <c r="L71" s="21"/>
      <c r="M71" s="22"/>
      <c r="N71" s="23"/>
    </row>
    <row r="72" spans="1:14" ht="15.75" hidden="1" customHeight="1">
      <c r="A72" s="31"/>
      <c r="B72" s="49" t="s">
        <v>72</v>
      </c>
      <c r="C72" s="49"/>
      <c r="D72" s="49"/>
      <c r="E72" s="19"/>
      <c r="F72" s="19"/>
      <c r="G72" s="31"/>
      <c r="H72" s="31"/>
      <c r="I72" s="19"/>
      <c r="J72" s="25"/>
      <c r="L72" s="21"/>
      <c r="M72" s="22"/>
      <c r="N72" s="23"/>
    </row>
    <row r="73" spans="1:14" ht="15.75" hidden="1" customHeight="1">
      <c r="A73" s="31">
        <v>17</v>
      </c>
      <c r="B73" s="15" t="s">
        <v>73</v>
      </c>
      <c r="C73" s="17" t="s">
        <v>74</v>
      </c>
      <c r="D73" s="15" t="s">
        <v>65</v>
      </c>
      <c r="E73" s="19">
        <v>5</v>
      </c>
      <c r="F73" s="13">
        <v>0.5</v>
      </c>
      <c r="G73" s="13">
        <v>501.62</v>
      </c>
      <c r="H73" s="103">
        <f t="shared" ref="H73:H75" si="8">SUM(F73*G73/1000)</f>
        <v>0.25080999999999998</v>
      </c>
      <c r="I73" s="13">
        <f>G73*0.5</f>
        <v>250.81</v>
      </c>
      <c r="J73" s="25"/>
      <c r="L73" s="21"/>
      <c r="M73" s="22"/>
      <c r="N73" s="23"/>
    </row>
    <row r="74" spans="1:14" ht="15.75" hidden="1" customHeight="1">
      <c r="A74" s="31"/>
      <c r="B74" s="15" t="s">
        <v>130</v>
      </c>
      <c r="C74" s="17" t="s">
        <v>87</v>
      </c>
      <c r="D74" s="15"/>
      <c r="E74" s="19">
        <v>1</v>
      </c>
      <c r="F74" s="86">
        <f>E74</f>
        <v>1</v>
      </c>
      <c r="G74" s="13">
        <v>852.99</v>
      </c>
      <c r="H74" s="103">
        <f t="shared" si="8"/>
        <v>0.85299000000000003</v>
      </c>
      <c r="I74" s="13">
        <v>0</v>
      </c>
      <c r="J74" s="25"/>
      <c r="L74" s="21"/>
      <c r="M74" s="22"/>
      <c r="N74" s="23"/>
    </row>
    <row r="75" spans="1:14" ht="15.75" hidden="1" customHeight="1">
      <c r="A75" s="31"/>
      <c r="B75" s="15" t="s">
        <v>131</v>
      </c>
      <c r="C75" s="17" t="s">
        <v>87</v>
      </c>
      <c r="D75" s="15"/>
      <c r="E75" s="19">
        <v>1</v>
      </c>
      <c r="F75" s="96">
        <f>SUM(E75)</f>
        <v>1</v>
      </c>
      <c r="G75" s="13">
        <v>358.51</v>
      </c>
      <c r="H75" s="103">
        <f t="shared" si="8"/>
        <v>0.35851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50" t="s">
        <v>75</v>
      </c>
      <c r="C76" s="38"/>
      <c r="D76" s="31"/>
      <c r="E76" s="19"/>
      <c r="F76" s="19"/>
      <c r="G76" s="37" t="s">
        <v>119</v>
      </c>
      <c r="H76" s="37"/>
      <c r="I76" s="19"/>
      <c r="J76" s="25"/>
      <c r="L76" s="21"/>
      <c r="M76" s="22"/>
      <c r="N76" s="23"/>
    </row>
    <row r="77" spans="1:14" ht="15.75" hidden="1" customHeight="1">
      <c r="A77" s="31">
        <v>12</v>
      </c>
      <c r="B77" s="52" t="s">
        <v>120</v>
      </c>
      <c r="C77" s="17" t="s">
        <v>76</v>
      </c>
      <c r="D77" s="15"/>
      <c r="E77" s="19"/>
      <c r="F77" s="13">
        <v>0.3</v>
      </c>
      <c r="G77" s="13">
        <v>2759.44</v>
      </c>
      <c r="H77" s="103">
        <f t="shared" ref="H77" si="9">SUM(F77*G77/1000)</f>
        <v>0.82783200000000001</v>
      </c>
      <c r="I77" s="13">
        <v>0</v>
      </c>
      <c r="J77" s="25"/>
      <c r="L77" s="21"/>
      <c r="M77" s="22"/>
      <c r="N77" s="23"/>
    </row>
    <row r="78" spans="1:14" ht="15.75" customHeight="1">
      <c r="A78" s="143"/>
      <c r="B78" s="151" t="s">
        <v>215</v>
      </c>
      <c r="C78" s="38"/>
      <c r="D78" s="124"/>
      <c r="E78" s="18"/>
      <c r="F78" s="70"/>
      <c r="G78" s="37"/>
      <c r="H78" s="144"/>
      <c r="I78" s="145"/>
      <c r="J78" s="25"/>
      <c r="L78" s="21"/>
      <c r="M78" s="22"/>
      <c r="N78" s="23"/>
    </row>
    <row r="79" spans="1:14" ht="15.75" customHeight="1">
      <c r="A79" s="143">
        <v>15</v>
      </c>
      <c r="B79" s="124" t="s">
        <v>216</v>
      </c>
      <c r="C79" s="41" t="s">
        <v>217</v>
      </c>
      <c r="D79" s="124"/>
      <c r="E79" s="18">
        <v>2581.1999999999998</v>
      </c>
      <c r="F79" s="37">
        <f>E79*12</f>
        <v>30974.399999999998</v>
      </c>
      <c r="G79" s="37">
        <v>2.4900000000000002</v>
      </c>
      <c r="H79" s="144"/>
      <c r="I79" s="145">
        <f>G79*F79/12</f>
        <v>6427.1879999999992</v>
      </c>
      <c r="J79" s="25"/>
      <c r="L79" s="21"/>
      <c r="M79" s="22"/>
      <c r="N79" s="23"/>
    </row>
    <row r="80" spans="1:14" ht="15.75" customHeight="1">
      <c r="A80" s="159" t="s">
        <v>135</v>
      </c>
      <c r="B80" s="160"/>
      <c r="C80" s="160"/>
      <c r="D80" s="160"/>
      <c r="E80" s="160"/>
      <c r="F80" s="160"/>
      <c r="G80" s="160"/>
      <c r="H80" s="160"/>
      <c r="I80" s="161"/>
      <c r="J80" s="25"/>
      <c r="L80" s="21"/>
      <c r="M80" s="22"/>
      <c r="N80" s="23"/>
    </row>
    <row r="81" spans="1:22" ht="15.75" customHeight="1">
      <c r="A81" s="31">
        <v>16</v>
      </c>
      <c r="B81" s="93" t="s">
        <v>121</v>
      </c>
      <c r="C81" s="17" t="s">
        <v>55</v>
      </c>
      <c r="D81" s="106"/>
      <c r="E81" s="13">
        <v>2581.1999999999998</v>
      </c>
      <c r="F81" s="13">
        <f>SUM(E81*12)</f>
        <v>30974.399999999998</v>
      </c>
      <c r="G81" s="13">
        <v>2.1</v>
      </c>
      <c r="H81" s="103">
        <f>SUM(F81*G81/1000)</f>
        <v>65.046239999999997</v>
      </c>
      <c r="I81" s="13">
        <f>F81/12*G81</f>
        <v>5420.5199999999995</v>
      </c>
      <c r="J81" s="25"/>
      <c r="L81" s="21"/>
    </row>
    <row r="82" spans="1:22" ht="31.5" customHeight="1">
      <c r="A82" s="31">
        <v>17</v>
      </c>
      <c r="B82" s="15" t="s">
        <v>77</v>
      </c>
      <c r="C82" s="17"/>
      <c r="D82" s="106"/>
      <c r="E82" s="95">
        <v>2581.1999999999998</v>
      </c>
      <c r="F82" s="13">
        <f>E82*12</f>
        <v>30974.399999999998</v>
      </c>
      <c r="G82" s="13">
        <v>1.63</v>
      </c>
      <c r="H82" s="103">
        <f>F82*G82/1000</f>
        <v>50.488271999999988</v>
      </c>
      <c r="I82" s="13">
        <f>F82/12*G82</f>
        <v>4207.3559999999998</v>
      </c>
    </row>
    <row r="83" spans="1:22" ht="15.75" customHeight="1">
      <c r="A83" s="53"/>
      <c r="B83" s="39" t="s">
        <v>79</v>
      </c>
      <c r="C83" s="41"/>
      <c r="D83" s="16"/>
      <c r="E83" s="16"/>
      <c r="F83" s="16"/>
      <c r="G83" s="19"/>
      <c r="H83" s="19"/>
      <c r="I83" s="33">
        <f>I82+I81+I58+I48+I41+I40+I39+I38+I37+I36+I27+I21+I20+I18+I17+I16+I79</f>
        <v>42614.021021000008</v>
      </c>
    </row>
    <row r="84" spans="1:22" ht="15.75" customHeight="1">
      <c r="A84" s="162" t="s">
        <v>60</v>
      </c>
      <c r="B84" s="163"/>
      <c r="C84" s="163"/>
      <c r="D84" s="163"/>
      <c r="E84" s="163"/>
      <c r="F84" s="163"/>
      <c r="G84" s="163"/>
      <c r="H84" s="163"/>
      <c r="I84" s="164"/>
    </row>
    <row r="85" spans="1:22" ht="31.5" customHeight="1">
      <c r="A85" s="31">
        <v>18</v>
      </c>
      <c r="B85" s="125" t="s">
        <v>161</v>
      </c>
      <c r="C85" s="41" t="s">
        <v>29</v>
      </c>
      <c r="D85" s="124"/>
      <c r="E85" s="18"/>
      <c r="F85" s="37">
        <v>5</v>
      </c>
      <c r="G85" s="37">
        <v>19757.060000000001</v>
      </c>
      <c r="H85" s="105">
        <f t="shared" ref="H85" si="10">G85*F85/1000</f>
        <v>98.785300000000007</v>
      </c>
      <c r="I85" s="13">
        <f>G85*0.599*6/1000</f>
        <v>71.006873640000009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9"/>
    </row>
    <row r="86" spans="1:22" ht="15.75" customHeight="1">
      <c r="A86" s="31">
        <v>19</v>
      </c>
      <c r="B86" s="122" t="s">
        <v>165</v>
      </c>
      <c r="C86" s="123" t="s">
        <v>83</v>
      </c>
      <c r="D86" s="124"/>
      <c r="E86" s="18"/>
      <c r="F86" s="37"/>
      <c r="G86" s="37">
        <v>214.07</v>
      </c>
      <c r="H86" s="105"/>
      <c r="I86" s="13">
        <f>G86*1</f>
        <v>214.07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17.25" customHeight="1">
      <c r="A87" s="31">
        <v>20</v>
      </c>
      <c r="B87" s="122" t="s">
        <v>95</v>
      </c>
      <c r="C87" s="123" t="s">
        <v>87</v>
      </c>
      <c r="D87" s="52"/>
      <c r="E87" s="13"/>
      <c r="F87" s="13"/>
      <c r="G87" s="37">
        <v>58.39</v>
      </c>
      <c r="H87" s="103"/>
      <c r="I87" s="13">
        <f>G87*1</f>
        <v>58.39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9"/>
    </row>
    <row r="88" spans="1:22" ht="15.75" customHeight="1">
      <c r="A88" s="31"/>
      <c r="B88" s="46" t="s">
        <v>52</v>
      </c>
      <c r="C88" s="42"/>
      <c r="D88" s="54"/>
      <c r="E88" s="42">
        <v>1</v>
      </c>
      <c r="F88" s="42"/>
      <c r="G88" s="42"/>
      <c r="H88" s="42"/>
      <c r="I88" s="139">
        <f>SUM(I85:I87)</f>
        <v>343.46687364000002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2" ht="15.75" customHeight="1">
      <c r="A89" s="31"/>
      <c r="B89" s="52" t="s">
        <v>78</v>
      </c>
      <c r="C89" s="16"/>
      <c r="D89" s="16"/>
      <c r="E89" s="43"/>
      <c r="F89" s="43"/>
      <c r="G89" s="44"/>
      <c r="H89" s="44"/>
      <c r="I89" s="18">
        <v>0</v>
      </c>
    </row>
    <row r="90" spans="1:22" ht="15.75" customHeight="1">
      <c r="A90" s="55"/>
      <c r="B90" s="47" t="s">
        <v>138</v>
      </c>
      <c r="C90" s="36"/>
      <c r="D90" s="36"/>
      <c r="E90" s="36"/>
      <c r="F90" s="36"/>
      <c r="G90" s="36"/>
      <c r="H90" s="36"/>
      <c r="I90" s="45">
        <f>I83+I88</f>
        <v>42957.487894640006</v>
      </c>
    </row>
    <row r="91" spans="1:22" ht="15.75" customHeight="1">
      <c r="A91" s="158" t="s">
        <v>220</v>
      </c>
      <c r="B91" s="158"/>
      <c r="C91" s="158"/>
      <c r="D91" s="158"/>
      <c r="E91" s="158"/>
      <c r="F91" s="158"/>
      <c r="G91" s="158"/>
      <c r="H91" s="158"/>
      <c r="I91" s="158"/>
    </row>
    <row r="92" spans="1:22" ht="15.75" customHeight="1">
      <c r="A92" s="79"/>
      <c r="B92" s="171" t="s">
        <v>221</v>
      </c>
      <c r="C92" s="171"/>
      <c r="D92" s="171"/>
      <c r="E92" s="171"/>
      <c r="F92" s="171"/>
      <c r="G92" s="171"/>
      <c r="H92" s="91"/>
      <c r="I92" s="3"/>
    </row>
    <row r="93" spans="1:22" ht="15.75" customHeight="1">
      <c r="A93" s="72"/>
      <c r="B93" s="172" t="s">
        <v>6</v>
      </c>
      <c r="C93" s="172"/>
      <c r="D93" s="172"/>
      <c r="E93" s="172"/>
      <c r="F93" s="172"/>
      <c r="G93" s="172"/>
      <c r="H93" s="26"/>
      <c r="I93" s="5"/>
    </row>
    <row r="94" spans="1:22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2" ht="15.75" customHeight="1">
      <c r="A95" s="173" t="s">
        <v>7</v>
      </c>
      <c r="B95" s="173"/>
      <c r="C95" s="173"/>
      <c r="D95" s="173"/>
      <c r="E95" s="173"/>
      <c r="F95" s="173"/>
      <c r="G95" s="173"/>
      <c r="H95" s="173"/>
      <c r="I95" s="173"/>
    </row>
    <row r="96" spans="1:22" ht="15.75" customHeight="1">
      <c r="A96" s="173" t="s">
        <v>8</v>
      </c>
      <c r="B96" s="173"/>
      <c r="C96" s="173"/>
      <c r="D96" s="173"/>
      <c r="E96" s="173"/>
      <c r="F96" s="173"/>
      <c r="G96" s="173"/>
      <c r="H96" s="173"/>
      <c r="I96" s="173"/>
    </row>
    <row r="97" spans="1:9" ht="15.75" customHeight="1">
      <c r="A97" s="176" t="s">
        <v>119</v>
      </c>
      <c r="B97" s="176"/>
      <c r="C97" s="176"/>
      <c r="D97" s="176"/>
      <c r="E97" s="176"/>
      <c r="F97" s="176"/>
      <c r="G97" s="176"/>
      <c r="H97" s="176"/>
      <c r="I97" s="176"/>
    </row>
    <row r="98" spans="1:9" ht="15.75" customHeight="1">
      <c r="A98" s="11"/>
    </row>
    <row r="99" spans="1:9" ht="15.75" customHeight="1">
      <c r="A99" s="177" t="s">
        <v>9</v>
      </c>
      <c r="B99" s="177"/>
      <c r="C99" s="177"/>
      <c r="D99" s="177"/>
      <c r="E99" s="177"/>
      <c r="F99" s="177"/>
      <c r="G99" s="177"/>
      <c r="H99" s="177"/>
      <c r="I99" s="177"/>
    </row>
    <row r="100" spans="1:9" ht="15.75" customHeight="1">
      <c r="A100" s="4"/>
    </row>
    <row r="101" spans="1:9" ht="15.75" customHeight="1">
      <c r="B101" s="75" t="s">
        <v>10</v>
      </c>
      <c r="C101" s="178" t="s">
        <v>86</v>
      </c>
      <c r="D101" s="178"/>
      <c r="E101" s="178"/>
      <c r="F101" s="89"/>
      <c r="I101" s="74"/>
    </row>
    <row r="102" spans="1:9" ht="15.75" customHeight="1">
      <c r="A102" s="72"/>
      <c r="C102" s="172" t="s">
        <v>11</v>
      </c>
      <c r="D102" s="172"/>
      <c r="E102" s="172"/>
      <c r="F102" s="26"/>
      <c r="I102" s="73" t="s">
        <v>12</v>
      </c>
    </row>
    <row r="103" spans="1:9" ht="15.75" customHeight="1">
      <c r="A103" s="27"/>
      <c r="C103" s="12"/>
      <c r="D103" s="12"/>
      <c r="G103" s="12"/>
      <c r="H103" s="12"/>
    </row>
    <row r="104" spans="1:9" ht="15.75" customHeight="1">
      <c r="B104" s="75" t="s">
        <v>13</v>
      </c>
      <c r="C104" s="179"/>
      <c r="D104" s="179"/>
      <c r="E104" s="179"/>
      <c r="F104" s="90"/>
      <c r="I104" s="74"/>
    </row>
    <row r="105" spans="1:9" ht="15.75" customHeight="1">
      <c r="A105" s="72"/>
      <c r="C105" s="175" t="s">
        <v>11</v>
      </c>
      <c r="D105" s="175"/>
      <c r="E105" s="175"/>
      <c r="F105" s="72"/>
      <c r="I105" s="73" t="s">
        <v>12</v>
      </c>
    </row>
    <row r="106" spans="1:9" ht="15.75" customHeight="1">
      <c r="A106" s="4" t="s">
        <v>14</v>
      </c>
    </row>
    <row r="107" spans="1:9">
      <c r="A107" s="174" t="s">
        <v>15</v>
      </c>
      <c r="B107" s="174"/>
      <c r="C107" s="174"/>
      <c r="D107" s="174"/>
      <c r="E107" s="174"/>
      <c r="F107" s="174"/>
      <c r="G107" s="174"/>
      <c r="H107" s="174"/>
      <c r="I107" s="174"/>
    </row>
    <row r="108" spans="1:9" ht="45" customHeight="1">
      <c r="A108" s="170" t="s">
        <v>16</v>
      </c>
      <c r="B108" s="170"/>
      <c r="C108" s="170"/>
      <c r="D108" s="170"/>
      <c r="E108" s="170"/>
      <c r="F108" s="170"/>
      <c r="G108" s="170"/>
      <c r="H108" s="170"/>
      <c r="I108" s="170"/>
    </row>
    <row r="109" spans="1:9" ht="30" customHeight="1">
      <c r="A109" s="170" t="s">
        <v>17</v>
      </c>
      <c r="B109" s="170"/>
      <c r="C109" s="170"/>
      <c r="D109" s="170"/>
      <c r="E109" s="170"/>
      <c r="F109" s="170"/>
      <c r="G109" s="170"/>
      <c r="H109" s="170"/>
      <c r="I109" s="170"/>
    </row>
    <row r="110" spans="1:9" ht="30" customHeight="1">
      <c r="A110" s="170" t="s">
        <v>21</v>
      </c>
      <c r="B110" s="170"/>
      <c r="C110" s="170"/>
      <c r="D110" s="170"/>
      <c r="E110" s="170"/>
      <c r="F110" s="170"/>
      <c r="G110" s="170"/>
      <c r="H110" s="170"/>
      <c r="I110" s="170"/>
    </row>
    <row r="111" spans="1:9" ht="15" customHeight="1">
      <c r="A111" s="170" t="s">
        <v>20</v>
      </c>
      <c r="B111" s="170"/>
      <c r="C111" s="170"/>
      <c r="D111" s="170"/>
      <c r="E111" s="170"/>
      <c r="F111" s="170"/>
      <c r="G111" s="170"/>
      <c r="H111" s="170"/>
      <c r="I111" s="170"/>
    </row>
  </sheetData>
  <autoFilter ref="I12:I83"/>
  <mergeCells count="28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8:I28"/>
    <mergeCell ref="A42:I42"/>
    <mergeCell ref="A53:I53"/>
    <mergeCell ref="A80:I80"/>
    <mergeCell ref="A84:I84"/>
    <mergeCell ref="A91:I91"/>
    <mergeCell ref="B92:G92"/>
    <mergeCell ref="B93:G93"/>
    <mergeCell ref="A95:I95"/>
    <mergeCell ref="A96:I96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B72" sqref="B72:I7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5" t="s">
        <v>140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122</v>
      </c>
      <c r="B4" s="166"/>
      <c r="C4" s="166"/>
      <c r="D4" s="166"/>
      <c r="E4" s="166"/>
      <c r="F4" s="166"/>
      <c r="G4" s="166"/>
      <c r="H4" s="166"/>
      <c r="I4" s="166"/>
    </row>
    <row r="5" spans="1:13" ht="15.75" customHeight="1">
      <c r="A5" s="165" t="s">
        <v>166</v>
      </c>
      <c r="B5" s="169"/>
      <c r="C5" s="169"/>
      <c r="D5" s="169"/>
      <c r="E5" s="169"/>
      <c r="F5" s="169"/>
      <c r="G5" s="169"/>
      <c r="H5" s="169"/>
      <c r="I5" s="169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2">
        <v>43555</v>
      </c>
      <c r="J6" s="2"/>
      <c r="K6" s="2"/>
      <c r="L6" s="2"/>
      <c r="M6" s="2"/>
    </row>
    <row r="7" spans="1:13" ht="15.75" customHeight="1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7" t="s">
        <v>160</v>
      </c>
      <c r="B8" s="167"/>
      <c r="C8" s="167"/>
      <c r="D8" s="167"/>
      <c r="E8" s="167"/>
      <c r="F8" s="167"/>
      <c r="G8" s="167"/>
      <c r="H8" s="167"/>
      <c r="I8" s="167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8" t="s">
        <v>152</v>
      </c>
      <c r="B10" s="168"/>
      <c r="C10" s="168"/>
      <c r="D10" s="168"/>
      <c r="E10" s="168"/>
      <c r="F10" s="168"/>
      <c r="G10" s="168"/>
      <c r="H10" s="168"/>
      <c r="I10" s="16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59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1">
        <v>1</v>
      </c>
      <c r="B16" s="93" t="s">
        <v>85</v>
      </c>
      <c r="C16" s="94" t="s">
        <v>90</v>
      </c>
      <c r="D16" s="93" t="s">
        <v>186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7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99</v>
      </c>
      <c r="C17" s="94" t="s">
        <v>90</v>
      </c>
      <c r="D17" s="93" t="s">
        <v>187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100</v>
      </c>
      <c r="C18" s="94" t="s">
        <v>90</v>
      </c>
      <c r="D18" s="93" t="s">
        <v>188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123</v>
      </c>
      <c r="C19" s="94" t="s">
        <v>124</v>
      </c>
      <c r="D19" s="93" t="s">
        <v>125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89</v>
      </c>
      <c r="C20" s="94" t="s">
        <v>90</v>
      </c>
      <c r="D20" s="93" t="s">
        <v>189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97</v>
      </c>
      <c r="C21" s="94" t="s">
        <v>90</v>
      </c>
      <c r="D21" s="93" t="s">
        <v>190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91</v>
      </c>
      <c r="C22" s="94" t="s">
        <v>53</v>
      </c>
      <c r="D22" s="93" t="s">
        <v>125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92</v>
      </c>
      <c r="C23" s="94" t="s">
        <v>53</v>
      </c>
      <c r="D23" s="93" t="s">
        <v>125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93</v>
      </c>
      <c r="C24" s="94" t="s">
        <v>53</v>
      </c>
      <c r="D24" s="93" t="s">
        <v>126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98</v>
      </c>
      <c r="C25" s="94" t="s">
        <v>90</v>
      </c>
      <c r="D25" s="93" t="s">
        <v>54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94</v>
      </c>
      <c r="C26" s="94" t="s">
        <v>53</v>
      </c>
      <c r="D26" s="93" t="s">
        <v>125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185</v>
      </c>
      <c r="C27" s="40" t="s">
        <v>25</v>
      </c>
      <c r="D27" s="34" t="s">
        <v>191</v>
      </c>
      <c r="E27" s="140">
        <v>4.83</v>
      </c>
      <c r="F27" s="127">
        <f>SUM(E27*258)</f>
        <v>1246.1400000000001</v>
      </c>
      <c r="G27" s="127">
        <v>10.39</v>
      </c>
      <c r="H27" s="97">
        <f t="shared" si="0"/>
        <v>12.947394600000001</v>
      </c>
      <c r="I27" s="13">
        <f>F27/12*G27</f>
        <v>1078.9495500000003</v>
      </c>
      <c r="J27" s="8"/>
      <c r="K27" s="8"/>
      <c r="L27" s="8"/>
      <c r="M27" s="8"/>
    </row>
    <row r="28" spans="1:13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  <c r="J28" s="24"/>
      <c r="K28" s="8"/>
      <c r="L28" s="8"/>
      <c r="M28" s="8"/>
    </row>
    <row r="29" spans="1:13" ht="15.75" hidden="1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hidden="1" customHeight="1">
      <c r="A30" s="41">
        <v>2</v>
      </c>
      <c r="B30" s="93" t="s">
        <v>101</v>
      </c>
      <c r="C30" s="94" t="s">
        <v>102</v>
      </c>
      <c r="D30" s="93" t="s">
        <v>103</v>
      </c>
      <c r="E30" s="96">
        <v>1167.4000000000001</v>
      </c>
      <c r="F30" s="96">
        <f>SUM(E30*52/1000)</f>
        <v>60.704800000000006</v>
      </c>
      <c r="G30" s="96">
        <v>155.88999999999999</v>
      </c>
      <c r="H30" s="97">
        <f t="shared" ref="H30:H32" si="1">SUM(F30*G30/1000)</f>
        <v>9.4632712720000001</v>
      </c>
      <c r="I30" s="13">
        <v>0</v>
      </c>
      <c r="J30" s="24"/>
      <c r="K30" s="8"/>
      <c r="L30" s="8"/>
      <c r="M30" s="8"/>
    </row>
    <row r="31" spans="1:13" ht="31.5" hidden="1" customHeight="1">
      <c r="A31" s="41">
        <v>3</v>
      </c>
      <c r="B31" s="93" t="s">
        <v>136</v>
      </c>
      <c r="C31" s="94" t="s">
        <v>102</v>
      </c>
      <c r="D31" s="93" t="s">
        <v>104</v>
      </c>
      <c r="E31" s="96">
        <v>540.04999999999995</v>
      </c>
      <c r="F31" s="96">
        <f>SUM(E31*78/1000)</f>
        <v>42.123899999999992</v>
      </c>
      <c r="G31" s="96">
        <v>258.63</v>
      </c>
      <c r="H31" s="97">
        <f t="shared" si="1"/>
        <v>10.894504256999998</v>
      </c>
      <c r="I31" s="13">
        <v>0</v>
      </c>
      <c r="J31" s="24"/>
      <c r="K31" s="8"/>
      <c r="L31" s="8"/>
      <c r="M31" s="8"/>
    </row>
    <row r="32" spans="1:13" ht="15.75" hidden="1" customHeight="1">
      <c r="A32" s="41">
        <v>4</v>
      </c>
      <c r="B32" s="93" t="s">
        <v>27</v>
      </c>
      <c r="C32" s="94" t="s">
        <v>102</v>
      </c>
      <c r="D32" s="93" t="s">
        <v>54</v>
      </c>
      <c r="E32" s="96">
        <v>1167.4000000000001</v>
      </c>
      <c r="F32" s="96">
        <f>SUM(E32/1000)</f>
        <v>1.1674</v>
      </c>
      <c r="G32" s="96">
        <v>3020.33</v>
      </c>
      <c r="H32" s="97">
        <f t="shared" si="1"/>
        <v>3.5259332420000002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5</v>
      </c>
      <c r="B33" s="93" t="s">
        <v>105</v>
      </c>
      <c r="C33" s="94" t="s">
        <v>30</v>
      </c>
      <c r="D33" s="93" t="s">
        <v>63</v>
      </c>
      <c r="E33" s="100">
        <v>0.33333333333333331</v>
      </c>
      <c r="F33" s="96">
        <f>155/3</f>
        <v>51.666666666666664</v>
      </c>
      <c r="G33" s="96">
        <v>56.69</v>
      </c>
      <c r="H33" s="97">
        <f>SUM(G33*155/3/1000)</f>
        <v>2.9289833333333331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4</v>
      </c>
      <c r="B34" s="93" t="s">
        <v>64</v>
      </c>
      <c r="C34" s="94" t="s">
        <v>32</v>
      </c>
      <c r="D34" s="93" t="s">
        <v>65</v>
      </c>
      <c r="E34" s="95"/>
      <c r="F34" s="96">
        <v>3</v>
      </c>
      <c r="G34" s="96">
        <v>191.32</v>
      </c>
      <c r="H34" s="97">
        <f t="shared" ref="H34" si="2">SUM(F34*G34/1000)</f>
        <v>0.57396000000000003</v>
      </c>
      <c r="I34" s="13">
        <v>0</v>
      </c>
      <c r="J34" s="24"/>
      <c r="K34" s="8"/>
      <c r="L34" s="8"/>
      <c r="M34" s="8"/>
    </row>
    <row r="35" spans="1:13" ht="15.75" customHeight="1">
      <c r="A35" s="41"/>
      <c r="B35" s="49" t="s">
        <v>5</v>
      </c>
      <c r="C35" s="49"/>
      <c r="D35" s="49"/>
      <c r="E35" s="13"/>
      <c r="F35" s="13"/>
      <c r="G35" s="14"/>
      <c r="H35" s="14"/>
      <c r="I35" s="19"/>
      <c r="J35" s="24"/>
      <c r="K35" s="8"/>
      <c r="L35" s="8"/>
      <c r="M35" s="8"/>
    </row>
    <row r="36" spans="1:13" ht="15.75" customHeight="1">
      <c r="A36" s="41">
        <v>7</v>
      </c>
      <c r="B36" s="93" t="s">
        <v>26</v>
      </c>
      <c r="C36" s="94" t="s">
        <v>31</v>
      </c>
      <c r="D36" s="93"/>
      <c r="E36" s="95"/>
      <c r="F36" s="96">
        <v>6</v>
      </c>
      <c r="G36" s="96">
        <v>1527.2</v>
      </c>
      <c r="H36" s="97">
        <f t="shared" ref="H36:H41" si="3">SUM(F36*G36/1000)</f>
        <v>9.1632000000000016</v>
      </c>
      <c r="I36" s="13">
        <f>G36*0.3</f>
        <v>458.16</v>
      </c>
      <c r="J36" s="24"/>
      <c r="K36" s="8"/>
      <c r="L36" s="8"/>
      <c r="M36" s="8"/>
    </row>
    <row r="37" spans="1:13" ht="15.75" customHeight="1">
      <c r="A37" s="35">
        <v>8</v>
      </c>
      <c r="B37" s="93" t="s">
        <v>66</v>
      </c>
      <c r="C37" s="94" t="s">
        <v>29</v>
      </c>
      <c r="D37" s="93" t="s">
        <v>192</v>
      </c>
      <c r="E37" s="96">
        <v>1080.0999999999999</v>
      </c>
      <c r="F37" s="96">
        <f>SUM(E37*30/1000)</f>
        <v>32.402999999999999</v>
      </c>
      <c r="G37" s="96">
        <v>2102.6999999999998</v>
      </c>
      <c r="H37" s="97">
        <f t="shared" si="3"/>
        <v>68.13378809999999</v>
      </c>
      <c r="I37" s="13">
        <f t="shared" ref="I37:I39" si="4">F37/6*G37</f>
        <v>11355.63135</v>
      </c>
      <c r="J37" s="24"/>
      <c r="K37" s="8"/>
      <c r="L37" s="8"/>
      <c r="M37" s="8"/>
    </row>
    <row r="38" spans="1:13" ht="15.75" customHeight="1">
      <c r="A38" s="35">
        <v>9</v>
      </c>
      <c r="B38" s="93" t="s">
        <v>67</v>
      </c>
      <c r="C38" s="94" t="s">
        <v>29</v>
      </c>
      <c r="D38" s="93" t="s">
        <v>193</v>
      </c>
      <c r="E38" s="96">
        <v>45</v>
      </c>
      <c r="F38" s="96">
        <f>SUM(E38*155/1000)</f>
        <v>6.9749999999999996</v>
      </c>
      <c r="G38" s="96">
        <v>350.75</v>
      </c>
      <c r="H38" s="97">
        <f t="shared" si="3"/>
        <v>2.4464812499999997</v>
      </c>
      <c r="I38" s="13">
        <f t="shared" si="4"/>
        <v>407.74687499999993</v>
      </c>
      <c r="J38" s="24"/>
      <c r="K38" s="8"/>
      <c r="L38" s="8"/>
      <c r="M38" s="8"/>
    </row>
    <row r="39" spans="1:13" ht="47.25" customHeight="1">
      <c r="A39" s="35">
        <v>10</v>
      </c>
      <c r="B39" s="93" t="s">
        <v>82</v>
      </c>
      <c r="C39" s="94" t="s">
        <v>102</v>
      </c>
      <c r="D39" s="93" t="s">
        <v>194</v>
      </c>
      <c r="E39" s="96">
        <v>45</v>
      </c>
      <c r="F39" s="96">
        <f>SUM(E39*70/1000)</f>
        <v>3.15</v>
      </c>
      <c r="G39" s="96">
        <v>5803.28</v>
      </c>
      <c r="H39" s="97">
        <f t="shared" si="3"/>
        <v>18.280331999999998</v>
      </c>
      <c r="I39" s="13">
        <f t="shared" si="4"/>
        <v>3046.7220000000002</v>
      </c>
      <c r="J39" s="24"/>
      <c r="K39" s="8"/>
      <c r="L39" s="8"/>
      <c r="M39" s="8"/>
    </row>
    <row r="40" spans="1:13" ht="15.75" customHeight="1">
      <c r="A40" s="35">
        <v>11</v>
      </c>
      <c r="B40" s="93" t="s">
        <v>107</v>
      </c>
      <c r="C40" s="94" t="s">
        <v>102</v>
      </c>
      <c r="D40" s="93" t="s">
        <v>195</v>
      </c>
      <c r="E40" s="96">
        <v>45</v>
      </c>
      <c r="F40" s="96">
        <f>SUM(E40*45/1000)</f>
        <v>2.0249999999999999</v>
      </c>
      <c r="G40" s="96">
        <v>428.7</v>
      </c>
      <c r="H40" s="97">
        <f t="shared" si="3"/>
        <v>0.86811749999999999</v>
      </c>
      <c r="I40" s="13">
        <f>(F40/7.5*1.5)*G40</f>
        <v>173.62349999999995</v>
      </c>
      <c r="J40" s="24"/>
      <c r="K40" s="8"/>
      <c r="L40" s="8"/>
      <c r="M40" s="8"/>
    </row>
    <row r="41" spans="1:13" ht="15.75" customHeight="1">
      <c r="A41" s="35">
        <v>12</v>
      </c>
      <c r="B41" s="93" t="s">
        <v>70</v>
      </c>
      <c r="C41" s="94" t="s">
        <v>32</v>
      </c>
      <c r="D41" s="93"/>
      <c r="E41" s="95"/>
      <c r="F41" s="96">
        <v>0.6</v>
      </c>
      <c r="G41" s="96">
        <v>798</v>
      </c>
      <c r="H41" s="97">
        <f t="shared" si="3"/>
        <v>0.47879999999999995</v>
      </c>
      <c r="I41" s="13">
        <f>(F41/7.5*1.5)*G41</f>
        <v>95.759999999999991</v>
      </c>
      <c r="J41" s="24"/>
      <c r="K41" s="8"/>
      <c r="L41" s="8"/>
      <c r="M41" s="8"/>
    </row>
    <row r="42" spans="1:13" ht="15.75" hidden="1" customHeight="1">
      <c r="A42" s="155" t="s">
        <v>133</v>
      </c>
      <c r="B42" s="156"/>
      <c r="C42" s="156"/>
      <c r="D42" s="156"/>
      <c r="E42" s="156"/>
      <c r="F42" s="156"/>
      <c r="G42" s="156"/>
      <c r="H42" s="156"/>
      <c r="I42" s="157"/>
      <c r="J42" s="24"/>
      <c r="K42" s="8"/>
      <c r="L42" s="8"/>
      <c r="M42" s="8"/>
    </row>
    <row r="43" spans="1:13" ht="15.75" hidden="1" customHeight="1">
      <c r="A43" s="41">
        <v>15</v>
      </c>
      <c r="B43" s="93" t="s">
        <v>108</v>
      </c>
      <c r="C43" s="94" t="s">
        <v>102</v>
      </c>
      <c r="D43" s="93" t="s">
        <v>42</v>
      </c>
      <c r="E43" s="95">
        <v>965.8</v>
      </c>
      <c r="F43" s="96">
        <f>SUM(E43*2/1000)</f>
        <v>1.9316</v>
      </c>
      <c r="G43" s="13">
        <v>849.49</v>
      </c>
      <c r="H43" s="97">
        <f t="shared" ref="H43:H52" si="5">SUM(F43*G43/1000)</f>
        <v>1.640874884</v>
      </c>
      <c r="I43" s="13">
        <v>0</v>
      </c>
      <c r="J43" s="24"/>
      <c r="K43" s="8"/>
    </row>
    <row r="44" spans="1:13" ht="15.75" hidden="1" customHeight="1">
      <c r="A44" s="41">
        <v>16</v>
      </c>
      <c r="B44" s="93" t="s">
        <v>35</v>
      </c>
      <c r="C44" s="94" t="s">
        <v>102</v>
      </c>
      <c r="D44" s="93" t="s">
        <v>42</v>
      </c>
      <c r="E44" s="95">
        <v>36</v>
      </c>
      <c r="F44" s="96">
        <f>SUM(E44*2/1000)</f>
        <v>7.1999999999999995E-2</v>
      </c>
      <c r="G44" s="13">
        <v>579.48</v>
      </c>
      <c r="H44" s="97">
        <f t="shared" si="5"/>
        <v>4.1722559999999999E-2</v>
      </c>
      <c r="I44" s="13">
        <v>0</v>
      </c>
      <c r="J44" s="25"/>
    </row>
    <row r="45" spans="1:13" ht="15.75" hidden="1" customHeight="1">
      <c r="A45" s="41">
        <v>17</v>
      </c>
      <c r="B45" s="93" t="s">
        <v>36</v>
      </c>
      <c r="C45" s="94" t="s">
        <v>102</v>
      </c>
      <c r="D45" s="93" t="s">
        <v>42</v>
      </c>
      <c r="E45" s="95">
        <v>1197.7</v>
      </c>
      <c r="F45" s="96">
        <f>SUM(E45*2/1000)</f>
        <v>2.3954</v>
      </c>
      <c r="G45" s="13">
        <v>579.48</v>
      </c>
      <c r="H45" s="97">
        <f t="shared" si="5"/>
        <v>1.3880863919999999</v>
      </c>
      <c r="I45" s="13">
        <v>0</v>
      </c>
      <c r="J45" s="25"/>
    </row>
    <row r="46" spans="1:13" ht="15.75" hidden="1" customHeight="1">
      <c r="A46" s="41"/>
      <c r="B46" s="93" t="s">
        <v>37</v>
      </c>
      <c r="C46" s="94" t="s">
        <v>102</v>
      </c>
      <c r="D46" s="93" t="s">
        <v>42</v>
      </c>
      <c r="E46" s="95">
        <v>2275.92</v>
      </c>
      <c r="F46" s="96">
        <f>SUM(E46*2/1000)</f>
        <v>4.5518400000000003</v>
      </c>
      <c r="G46" s="13">
        <v>606.77</v>
      </c>
      <c r="H46" s="97">
        <f t="shared" si="5"/>
        <v>2.7619199567999999</v>
      </c>
      <c r="I46" s="13">
        <v>0</v>
      </c>
      <c r="J46" s="25"/>
    </row>
    <row r="47" spans="1:13" ht="15.75" hidden="1" customHeight="1">
      <c r="A47" s="41">
        <v>18</v>
      </c>
      <c r="B47" s="93" t="s">
        <v>33</v>
      </c>
      <c r="C47" s="94" t="s">
        <v>34</v>
      </c>
      <c r="D47" s="93" t="s">
        <v>42</v>
      </c>
      <c r="E47" s="95">
        <v>81.709999999999994</v>
      </c>
      <c r="F47" s="96">
        <f>SUM(E47*2/100)</f>
        <v>1.6341999999999999</v>
      </c>
      <c r="G47" s="13">
        <v>68.56</v>
      </c>
      <c r="H47" s="97">
        <f t="shared" si="5"/>
        <v>0.11204075199999999</v>
      </c>
      <c r="I47" s="13">
        <v>0</v>
      </c>
      <c r="J47" s="25"/>
    </row>
    <row r="48" spans="1:13" ht="15.75" hidden="1" customHeight="1">
      <c r="A48" s="41">
        <v>14</v>
      </c>
      <c r="B48" s="93" t="s">
        <v>56</v>
      </c>
      <c r="C48" s="94" t="s">
        <v>102</v>
      </c>
      <c r="D48" s="93" t="s">
        <v>137</v>
      </c>
      <c r="E48" s="95">
        <v>1711.8</v>
      </c>
      <c r="F48" s="96">
        <f>SUM(E48*5/1000)</f>
        <v>8.5589999999999993</v>
      </c>
      <c r="G48" s="13">
        <v>1213.55</v>
      </c>
      <c r="H48" s="97">
        <f t="shared" si="5"/>
        <v>10.386774449999999</v>
      </c>
      <c r="I48" s="13">
        <f>F48/5*G48</f>
        <v>2077.3548899999996</v>
      </c>
      <c r="J48" s="25"/>
    </row>
    <row r="49" spans="1:14" ht="31.5" hidden="1" customHeight="1">
      <c r="A49" s="41">
        <v>14</v>
      </c>
      <c r="B49" s="93" t="s">
        <v>109</v>
      </c>
      <c r="C49" s="94" t="s">
        <v>102</v>
      </c>
      <c r="D49" s="93" t="s">
        <v>42</v>
      </c>
      <c r="E49" s="95">
        <v>1711.8</v>
      </c>
      <c r="F49" s="96">
        <f>SUM(E49*2/1000)</f>
        <v>3.4236</v>
      </c>
      <c r="G49" s="13">
        <v>1213.55</v>
      </c>
      <c r="H49" s="97">
        <f t="shared" si="5"/>
        <v>4.1547097800000001</v>
      </c>
      <c r="I49" s="13">
        <f>F49/2*G49</f>
        <v>2077.3548900000001</v>
      </c>
      <c r="J49" s="25"/>
    </row>
    <row r="50" spans="1:14" ht="31.5" hidden="1" customHeight="1">
      <c r="A50" s="41">
        <v>15</v>
      </c>
      <c r="B50" s="93" t="s">
        <v>110</v>
      </c>
      <c r="C50" s="94" t="s">
        <v>38</v>
      </c>
      <c r="D50" s="93" t="s">
        <v>42</v>
      </c>
      <c r="E50" s="95">
        <v>15</v>
      </c>
      <c r="F50" s="96">
        <f>SUM(E50*2/100)</f>
        <v>0.3</v>
      </c>
      <c r="G50" s="13">
        <v>2730.49</v>
      </c>
      <c r="H50" s="97">
        <f t="shared" si="5"/>
        <v>0.81914699999999996</v>
      </c>
      <c r="I50" s="13">
        <f t="shared" ref="I50:I51" si="6">F50/2*G50</f>
        <v>409.57349999999997</v>
      </c>
      <c r="J50" s="25"/>
    </row>
    <row r="51" spans="1:14" ht="15.75" hidden="1" customHeight="1">
      <c r="A51" s="41">
        <v>16</v>
      </c>
      <c r="B51" s="93" t="s">
        <v>39</v>
      </c>
      <c r="C51" s="94" t="s">
        <v>40</v>
      </c>
      <c r="D51" s="93" t="s">
        <v>42</v>
      </c>
      <c r="E51" s="95">
        <v>1</v>
      </c>
      <c r="F51" s="96">
        <v>0.02</v>
      </c>
      <c r="G51" s="13">
        <v>5322.15</v>
      </c>
      <c r="H51" s="97">
        <f t="shared" si="5"/>
        <v>0.106443</v>
      </c>
      <c r="I51" s="13">
        <f t="shared" si="6"/>
        <v>53.221499999999999</v>
      </c>
      <c r="J51" s="25"/>
      <c r="L51" s="21"/>
      <c r="M51" s="22"/>
      <c r="N51" s="23"/>
    </row>
    <row r="52" spans="1:14" ht="15.75" hidden="1" customHeight="1">
      <c r="A52" s="41">
        <v>15</v>
      </c>
      <c r="B52" s="93" t="s">
        <v>41</v>
      </c>
      <c r="C52" s="94" t="s">
        <v>87</v>
      </c>
      <c r="D52" s="93" t="s">
        <v>71</v>
      </c>
      <c r="E52" s="95">
        <v>90</v>
      </c>
      <c r="F52" s="96">
        <f>SUM(E52)*3</f>
        <v>270</v>
      </c>
      <c r="G52" s="13">
        <v>65.67</v>
      </c>
      <c r="H52" s="97">
        <f t="shared" si="5"/>
        <v>17.730900000000002</v>
      </c>
      <c r="I52" s="13">
        <f>E52*G52</f>
        <v>5910.3</v>
      </c>
      <c r="J52" s="25"/>
      <c r="L52" s="21"/>
      <c r="M52" s="22"/>
      <c r="N52" s="23"/>
    </row>
    <row r="53" spans="1:14" ht="15.75" customHeight="1">
      <c r="A53" s="155" t="s">
        <v>144</v>
      </c>
      <c r="B53" s="156"/>
      <c r="C53" s="156"/>
      <c r="D53" s="156"/>
      <c r="E53" s="156"/>
      <c r="F53" s="156"/>
      <c r="G53" s="156"/>
      <c r="H53" s="156"/>
      <c r="I53" s="157"/>
      <c r="J53" s="25"/>
      <c r="L53" s="21"/>
      <c r="M53" s="22"/>
      <c r="N53" s="23"/>
    </row>
    <row r="54" spans="1:14" ht="15.75" customHeight="1">
      <c r="A54" s="53"/>
      <c r="B54" s="48" t="s">
        <v>43</v>
      </c>
      <c r="C54" s="17"/>
      <c r="D54" s="16"/>
      <c r="E54" s="16"/>
      <c r="F54" s="16"/>
      <c r="G54" s="31"/>
      <c r="H54" s="31"/>
      <c r="I54" s="19"/>
      <c r="J54" s="25"/>
      <c r="L54" s="21"/>
      <c r="M54" s="22"/>
      <c r="N54" s="23"/>
    </row>
    <row r="55" spans="1:14" ht="31.5" customHeight="1">
      <c r="A55" s="41">
        <v>13</v>
      </c>
      <c r="B55" s="93" t="s">
        <v>111</v>
      </c>
      <c r="C55" s="94" t="s">
        <v>90</v>
      </c>
      <c r="D55" s="93"/>
      <c r="E55" s="95">
        <v>96.58</v>
      </c>
      <c r="F55" s="96">
        <f>SUM(E55*6/100)</f>
        <v>5.7948000000000004</v>
      </c>
      <c r="G55" s="13">
        <v>1547.28</v>
      </c>
      <c r="H55" s="97">
        <f>SUM(F55*G55/1000)</f>
        <v>8.9661781440000006</v>
      </c>
      <c r="I55" s="13">
        <f>G55*3.91</f>
        <v>6049.8648000000003</v>
      </c>
      <c r="J55" s="25"/>
      <c r="L55" s="21"/>
      <c r="M55" s="22"/>
      <c r="N55" s="23"/>
    </row>
    <row r="56" spans="1:14" ht="15.75" customHeight="1">
      <c r="A56" s="41"/>
      <c r="B56" s="69" t="s">
        <v>44</v>
      </c>
      <c r="C56" s="40"/>
      <c r="D56" s="34"/>
      <c r="E56" s="19"/>
      <c r="F56" s="87"/>
      <c r="G56" s="37"/>
      <c r="H56" s="70"/>
      <c r="I56" s="20"/>
      <c r="J56" s="25"/>
      <c r="L56" s="21"/>
      <c r="M56" s="22"/>
      <c r="N56" s="23"/>
    </row>
    <row r="57" spans="1:14" ht="15.75" hidden="1" customHeight="1">
      <c r="A57" s="41"/>
      <c r="B57" s="93" t="s">
        <v>45</v>
      </c>
      <c r="C57" s="94" t="s">
        <v>90</v>
      </c>
      <c r="D57" s="93" t="s">
        <v>54</v>
      </c>
      <c r="E57" s="95">
        <v>855.9</v>
      </c>
      <c r="F57" s="97">
        <v>8.6</v>
      </c>
      <c r="G57" s="13">
        <v>747.3</v>
      </c>
      <c r="H57" s="101">
        <v>6.4</v>
      </c>
      <c r="I57" s="13">
        <v>0</v>
      </c>
      <c r="J57" s="25"/>
      <c r="L57" s="21"/>
      <c r="M57" s="22"/>
      <c r="N57" s="23"/>
    </row>
    <row r="58" spans="1:14" ht="15.75" customHeight="1">
      <c r="A58" s="41">
        <v>14</v>
      </c>
      <c r="B58" s="93" t="s">
        <v>88</v>
      </c>
      <c r="C58" s="94" t="s">
        <v>25</v>
      </c>
      <c r="D58" s="34" t="s">
        <v>190</v>
      </c>
      <c r="E58" s="126">
        <v>130</v>
      </c>
      <c r="F58" s="127">
        <f>E58*12</f>
        <v>1560</v>
      </c>
      <c r="G58" s="70">
        <v>1.4</v>
      </c>
      <c r="H58" s="101">
        <f>F58*G58/1000</f>
        <v>2.1840000000000002</v>
      </c>
      <c r="I58" s="13">
        <f>F58/12*G58</f>
        <v>182</v>
      </c>
      <c r="J58" s="25"/>
      <c r="L58" s="21"/>
      <c r="M58" s="22"/>
      <c r="N58" s="23"/>
    </row>
    <row r="59" spans="1:14" ht="15.75" hidden="1" customHeight="1">
      <c r="A59" s="41"/>
      <c r="B59" s="69" t="s">
        <v>128</v>
      </c>
      <c r="C59" s="40"/>
      <c r="D59" s="34"/>
      <c r="E59" s="19"/>
      <c r="F59" s="87"/>
      <c r="G59" s="71"/>
      <c r="H59" s="70"/>
      <c r="I59" s="20"/>
      <c r="J59" s="25"/>
      <c r="L59" s="21"/>
      <c r="M59" s="22"/>
      <c r="N59" s="23"/>
    </row>
    <row r="60" spans="1:14" ht="15.75" hidden="1" customHeight="1">
      <c r="A60" s="41"/>
      <c r="B60" s="93" t="s">
        <v>129</v>
      </c>
      <c r="C60" s="94" t="s">
        <v>87</v>
      </c>
      <c r="D60" s="93" t="s">
        <v>65</v>
      </c>
      <c r="E60" s="95">
        <v>2</v>
      </c>
      <c r="F60" s="96">
        <f>SUM(E60)</f>
        <v>2</v>
      </c>
      <c r="G60" s="102">
        <v>237.75</v>
      </c>
      <c r="H60" s="97">
        <f t="shared" ref="H60" si="7">SUM(F60*G60/1000)</f>
        <v>0.47549999999999998</v>
      </c>
      <c r="I60" s="13">
        <v>0</v>
      </c>
      <c r="J60" s="25"/>
      <c r="L60" s="21"/>
      <c r="M60" s="22"/>
      <c r="N60" s="23"/>
    </row>
    <row r="61" spans="1:14" ht="15.75" hidden="1" customHeight="1">
      <c r="A61" s="41"/>
      <c r="B61" s="77" t="s">
        <v>46</v>
      </c>
      <c r="C61" s="17"/>
      <c r="D61" s="16"/>
      <c r="E61" s="16"/>
      <c r="F61" s="88"/>
      <c r="G61" s="65"/>
      <c r="H61" s="70"/>
      <c r="I61" s="19"/>
      <c r="J61" s="25"/>
      <c r="L61" s="21"/>
      <c r="M61" s="22"/>
      <c r="N61" s="23"/>
    </row>
    <row r="62" spans="1:14" ht="15.75" hidden="1" customHeight="1">
      <c r="A62" s="41">
        <v>23</v>
      </c>
      <c r="B62" s="15" t="s">
        <v>47</v>
      </c>
      <c r="C62" s="17" t="s">
        <v>87</v>
      </c>
      <c r="D62" s="93" t="s">
        <v>65</v>
      </c>
      <c r="E62" s="19">
        <v>10</v>
      </c>
      <c r="F62" s="96">
        <v>10</v>
      </c>
      <c r="G62" s="13">
        <v>222.4</v>
      </c>
      <c r="H62" s="103">
        <f t="shared" ref="H62:H69" si="8">SUM(F62*G62/1000)</f>
        <v>2.2240000000000002</v>
      </c>
      <c r="I62" s="13">
        <v>0</v>
      </c>
      <c r="J62" s="25"/>
      <c r="L62" s="21"/>
      <c r="M62" s="22"/>
      <c r="N62" s="23"/>
    </row>
    <row r="63" spans="1:14" ht="15.75" hidden="1" customHeight="1">
      <c r="A63" s="31">
        <v>29</v>
      </c>
      <c r="B63" s="15" t="s">
        <v>48</v>
      </c>
      <c r="C63" s="17" t="s">
        <v>87</v>
      </c>
      <c r="D63" s="93" t="s">
        <v>65</v>
      </c>
      <c r="E63" s="19">
        <v>5</v>
      </c>
      <c r="F63" s="96">
        <v>5</v>
      </c>
      <c r="G63" s="13">
        <v>75.25</v>
      </c>
      <c r="H63" s="103">
        <f t="shared" si="8"/>
        <v>0.37624999999999997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8</v>
      </c>
      <c r="B64" s="15" t="s">
        <v>49</v>
      </c>
      <c r="C64" s="17" t="s">
        <v>113</v>
      </c>
      <c r="D64" s="15" t="s">
        <v>54</v>
      </c>
      <c r="E64" s="95">
        <v>13018</v>
      </c>
      <c r="F64" s="13">
        <f>SUM(E64/100)</f>
        <v>130.18</v>
      </c>
      <c r="G64" s="13">
        <v>212.15</v>
      </c>
      <c r="H64" s="103">
        <f t="shared" si="8"/>
        <v>27.617687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9</v>
      </c>
      <c r="B65" s="15" t="s">
        <v>50</v>
      </c>
      <c r="C65" s="17" t="s">
        <v>114</v>
      </c>
      <c r="D65" s="15"/>
      <c r="E65" s="95">
        <v>13018</v>
      </c>
      <c r="F65" s="13">
        <f>SUM(E65/1000)</f>
        <v>13.018000000000001</v>
      </c>
      <c r="G65" s="13">
        <v>165.21</v>
      </c>
      <c r="H65" s="103">
        <f t="shared" si="8"/>
        <v>2.1507037800000002</v>
      </c>
      <c r="I65" s="13">
        <v>0</v>
      </c>
      <c r="J65" s="25"/>
      <c r="L65" s="21"/>
      <c r="M65" s="22"/>
      <c r="N65" s="23"/>
    </row>
    <row r="66" spans="1:14" ht="15.75" hidden="1" customHeight="1">
      <c r="A66" s="31">
        <v>10</v>
      </c>
      <c r="B66" s="15" t="s">
        <v>51</v>
      </c>
      <c r="C66" s="17" t="s">
        <v>76</v>
      </c>
      <c r="D66" s="15" t="s">
        <v>54</v>
      </c>
      <c r="E66" s="95">
        <v>1279</v>
      </c>
      <c r="F66" s="13">
        <f>SUM(E66/100)</f>
        <v>12.79</v>
      </c>
      <c r="G66" s="13">
        <v>2074.63</v>
      </c>
      <c r="H66" s="103">
        <f t="shared" si="8"/>
        <v>26.534517700000002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11</v>
      </c>
      <c r="B67" s="104" t="s">
        <v>115</v>
      </c>
      <c r="C67" s="17" t="s">
        <v>32</v>
      </c>
      <c r="D67" s="15"/>
      <c r="E67" s="95">
        <v>12</v>
      </c>
      <c r="F67" s="13">
        <f>SUM(E67)</f>
        <v>12</v>
      </c>
      <c r="G67" s="13">
        <v>45.32</v>
      </c>
      <c r="H67" s="103">
        <f t="shared" si="8"/>
        <v>0.54383999999999999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12</v>
      </c>
      <c r="B68" s="104" t="s">
        <v>116</v>
      </c>
      <c r="C68" s="17" t="s">
        <v>32</v>
      </c>
      <c r="D68" s="15"/>
      <c r="E68" s="95">
        <v>12</v>
      </c>
      <c r="F68" s="13">
        <f>SUM(E68)</f>
        <v>12</v>
      </c>
      <c r="G68" s="13">
        <v>42.28</v>
      </c>
      <c r="H68" s="103">
        <f t="shared" si="8"/>
        <v>0.50736000000000003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13</v>
      </c>
      <c r="B69" s="15" t="s">
        <v>57</v>
      </c>
      <c r="C69" s="17" t="s">
        <v>58</v>
      </c>
      <c r="D69" s="15" t="s">
        <v>54</v>
      </c>
      <c r="E69" s="19">
        <v>1</v>
      </c>
      <c r="F69" s="96">
        <f>SUM(E69)</f>
        <v>1</v>
      </c>
      <c r="G69" s="13">
        <v>49.88</v>
      </c>
      <c r="H69" s="103">
        <f t="shared" si="8"/>
        <v>4.9880000000000001E-2</v>
      </c>
      <c r="I69" s="13">
        <v>0</v>
      </c>
      <c r="J69" s="25"/>
      <c r="L69" s="21"/>
      <c r="M69" s="22"/>
      <c r="N69" s="23"/>
    </row>
    <row r="70" spans="1:14" ht="15.75" hidden="1" customHeight="1">
      <c r="A70" s="53"/>
      <c r="B70" s="77" t="s">
        <v>117</v>
      </c>
      <c r="C70" s="77"/>
      <c r="D70" s="77"/>
      <c r="E70" s="77"/>
      <c r="F70" s="77"/>
      <c r="G70" s="77"/>
      <c r="H70" s="77"/>
      <c r="I70" s="19"/>
      <c r="J70" s="25"/>
      <c r="L70" s="21"/>
      <c r="M70" s="22"/>
      <c r="N70" s="23"/>
    </row>
    <row r="71" spans="1:14" ht="15.75" hidden="1" customHeight="1">
      <c r="A71" s="31">
        <v>15</v>
      </c>
      <c r="B71" s="93" t="s">
        <v>118</v>
      </c>
      <c r="C71" s="17"/>
      <c r="D71" s="15"/>
      <c r="E71" s="87"/>
      <c r="F71" s="13">
        <v>1</v>
      </c>
      <c r="G71" s="13">
        <v>10041.700000000001</v>
      </c>
      <c r="H71" s="103">
        <f>G71*F71/1000</f>
        <v>10.041700000000001</v>
      </c>
      <c r="I71" s="13">
        <v>0</v>
      </c>
      <c r="J71" s="25"/>
      <c r="L71" s="21"/>
      <c r="M71" s="22"/>
      <c r="N71" s="23"/>
    </row>
    <row r="72" spans="1:14" ht="15.75" customHeight="1">
      <c r="A72" s="31"/>
      <c r="B72" s="151" t="s">
        <v>215</v>
      </c>
      <c r="C72" s="38"/>
      <c r="D72" s="124"/>
      <c r="E72" s="18"/>
      <c r="F72" s="70"/>
      <c r="G72" s="37"/>
      <c r="H72" s="144"/>
      <c r="I72" s="145"/>
      <c r="J72" s="25"/>
      <c r="L72" s="21"/>
      <c r="M72" s="22"/>
      <c r="N72" s="23"/>
    </row>
    <row r="73" spans="1:14" ht="15.75" customHeight="1">
      <c r="A73" s="31">
        <v>15</v>
      </c>
      <c r="B73" s="124" t="s">
        <v>216</v>
      </c>
      <c r="C73" s="41" t="s">
        <v>217</v>
      </c>
      <c r="D73" s="124"/>
      <c r="E73" s="18">
        <v>2581.1999999999998</v>
      </c>
      <c r="F73" s="37">
        <f>E73*12</f>
        <v>30974.399999999998</v>
      </c>
      <c r="G73" s="37">
        <v>2.4900000000000002</v>
      </c>
      <c r="H73" s="144"/>
      <c r="I73" s="145">
        <f>G73*F73/12</f>
        <v>6427.1879999999992</v>
      </c>
      <c r="J73" s="25"/>
      <c r="L73" s="21"/>
      <c r="M73" s="22"/>
      <c r="N73" s="23"/>
    </row>
    <row r="74" spans="1:14" ht="15.75" customHeight="1">
      <c r="A74" s="31"/>
      <c r="B74" s="49" t="s">
        <v>72</v>
      </c>
      <c r="C74" s="49"/>
      <c r="D74" s="49"/>
      <c r="E74" s="19"/>
      <c r="F74" s="19"/>
      <c r="G74" s="31"/>
      <c r="H74" s="31"/>
      <c r="I74" s="19"/>
      <c r="J74" s="25"/>
      <c r="L74" s="21"/>
      <c r="M74" s="22"/>
      <c r="N74" s="23"/>
    </row>
    <row r="75" spans="1:14" ht="15.75" customHeight="1">
      <c r="A75" s="31">
        <v>16</v>
      </c>
      <c r="B75" s="15" t="s">
        <v>73</v>
      </c>
      <c r="C75" s="17" t="s">
        <v>74</v>
      </c>
      <c r="D75" s="15" t="s">
        <v>196</v>
      </c>
      <c r="E75" s="19">
        <v>5</v>
      </c>
      <c r="F75" s="13">
        <v>0.5</v>
      </c>
      <c r="G75" s="13">
        <v>501.62</v>
      </c>
      <c r="H75" s="103">
        <f t="shared" ref="H75:H77" si="9">SUM(F75*G75/1000)</f>
        <v>0.25080999999999998</v>
      </c>
      <c r="I75" s="13">
        <f>G75*0.3</f>
        <v>150.48599999999999</v>
      </c>
      <c r="J75" s="25"/>
      <c r="L75" s="21"/>
      <c r="M75" s="22"/>
      <c r="N75" s="23"/>
    </row>
    <row r="76" spans="1:14" ht="15.75" hidden="1" customHeight="1">
      <c r="A76" s="31"/>
      <c r="B76" s="15" t="s">
        <v>130</v>
      </c>
      <c r="C76" s="17" t="s">
        <v>87</v>
      </c>
      <c r="D76" s="15"/>
      <c r="E76" s="19">
        <v>1</v>
      </c>
      <c r="F76" s="86">
        <f>E76</f>
        <v>1</v>
      </c>
      <c r="G76" s="13">
        <v>852.99</v>
      </c>
      <c r="H76" s="103">
        <f t="shared" si="9"/>
        <v>0.85299000000000003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15" t="s">
        <v>131</v>
      </c>
      <c r="C77" s="17" t="s">
        <v>87</v>
      </c>
      <c r="D77" s="15"/>
      <c r="E77" s="19">
        <v>1</v>
      </c>
      <c r="F77" s="96">
        <f>SUM(E77)</f>
        <v>1</v>
      </c>
      <c r="G77" s="13">
        <v>358.51</v>
      </c>
      <c r="H77" s="103">
        <f t="shared" si="9"/>
        <v>0.35851</v>
      </c>
      <c r="I77" s="13">
        <v>0</v>
      </c>
      <c r="J77" s="25"/>
      <c r="L77" s="21"/>
      <c r="M77" s="22"/>
      <c r="N77" s="23"/>
    </row>
    <row r="78" spans="1:14" ht="15.75" hidden="1" customHeight="1">
      <c r="A78" s="31"/>
      <c r="B78" s="50" t="s">
        <v>75</v>
      </c>
      <c r="C78" s="38"/>
      <c r="D78" s="31"/>
      <c r="E78" s="19"/>
      <c r="F78" s="19"/>
      <c r="G78" s="37" t="s">
        <v>119</v>
      </c>
      <c r="H78" s="37"/>
      <c r="I78" s="19"/>
      <c r="J78" s="25"/>
      <c r="L78" s="21"/>
      <c r="M78" s="22"/>
      <c r="N78" s="23"/>
    </row>
    <row r="79" spans="1:14" ht="15.75" hidden="1" customHeight="1">
      <c r="A79" s="31">
        <v>12</v>
      </c>
      <c r="B79" s="52" t="s">
        <v>120</v>
      </c>
      <c r="C79" s="17" t="s">
        <v>76</v>
      </c>
      <c r="D79" s="15"/>
      <c r="E79" s="19"/>
      <c r="F79" s="13">
        <v>0.3</v>
      </c>
      <c r="G79" s="13">
        <v>2759.44</v>
      </c>
      <c r="H79" s="103">
        <f t="shared" ref="H79" si="10">SUM(F79*G79/1000)</f>
        <v>0.82783200000000001</v>
      </c>
      <c r="I79" s="13">
        <v>0</v>
      </c>
      <c r="J79" s="25"/>
      <c r="L79" s="21"/>
      <c r="M79" s="22"/>
      <c r="N79" s="23"/>
    </row>
    <row r="80" spans="1:14" ht="15.75" customHeight="1">
      <c r="A80" s="159" t="s">
        <v>145</v>
      </c>
      <c r="B80" s="160"/>
      <c r="C80" s="160"/>
      <c r="D80" s="160"/>
      <c r="E80" s="160"/>
      <c r="F80" s="160"/>
      <c r="G80" s="160"/>
      <c r="H80" s="160"/>
      <c r="I80" s="161"/>
      <c r="J80" s="25"/>
      <c r="L80" s="21"/>
      <c r="M80" s="22"/>
      <c r="N80" s="23"/>
    </row>
    <row r="81" spans="1:22" ht="15.75" customHeight="1">
      <c r="A81" s="31">
        <v>17</v>
      </c>
      <c r="B81" s="93" t="s">
        <v>121</v>
      </c>
      <c r="C81" s="17" t="s">
        <v>55</v>
      </c>
      <c r="D81" s="106"/>
      <c r="E81" s="13">
        <v>2581.1999999999998</v>
      </c>
      <c r="F81" s="13">
        <f>SUM(E81*12)</f>
        <v>30974.399999999998</v>
      </c>
      <c r="G81" s="13">
        <v>2.1</v>
      </c>
      <c r="H81" s="103">
        <f>SUM(F81*G81/1000)</f>
        <v>65.046239999999997</v>
      </c>
      <c r="I81" s="13">
        <f>F81/12*G81</f>
        <v>5420.5199999999995</v>
      </c>
      <c r="J81" s="25"/>
      <c r="L81" s="21"/>
    </row>
    <row r="82" spans="1:22" ht="31.5" customHeight="1">
      <c r="A82" s="31">
        <v>18</v>
      </c>
      <c r="B82" s="15" t="s">
        <v>77</v>
      </c>
      <c r="C82" s="17"/>
      <c r="D82" s="106"/>
      <c r="E82" s="95">
        <v>2581.1999999999998</v>
      </c>
      <c r="F82" s="13">
        <f>E82*12</f>
        <v>30974.399999999998</v>
      </c>
      <c r="G82" s="13">
        <v>1.63</v>
      </c>
      <c r="H82" s="103">
        <f>F82*G82/1000</f>
        <v>50.488271999999988</v>
      </c>
      <c r="I82" s="13">
        <f>F82/12*G82</f>
        <v>4207.3559999999998</v>
      </c>
    </row>
    <row r="83" spans="1:22" ht="15.75" customHeight="1">
      <c r="A83" s="53"/>
      <c r="B83" s="39" t="s">
        <v>79</v>
      </c>
      <c r="C83" s="41"/>
      <c r="D83" s="16"/>
      <c r="E83" s="16"/>
      <c r="F83" s="16"/>
      <c r="G83" s="19"/>
      <c r="H83" s="19"/>
      <c r="I83" s="33">
        <f>I82+I81+I75+I58+I55+I41+I40+I39+I38+I37+I36+I27+I21+I20+I18+I17+I16+I73</f>
        <v>45452.331431000013</v>
      </c>
    </row>
    <row r="84" spans="1:22" ht="15.75" customHeight="1">
      <c r="A84" s="162" t="s">
        <v>60</v>
      </c>
      <c r="B84" s="163"/>
      <c r="C84" s="163"/>
      <c r="D84" s="163"/>
      <c r="E84" s="163"/>
      <c r="F84" s="163"/>
      <c r="G84" s="163"/>
      <c r="H84" s="163"/>
      <c r="I84" s="164"/>
    </row>
    <row r="85" spans="1:22" ht="30.75" customHeight="1">
      <c r="A85" s="31">
        <v>19</v>
      </c>
      <c r="B85" s="125" t="s">
        <v>161</v>
      </c>
      <c r="C85" s="41" t="s">
        <v>29</v>
      </c>
      <c r="D85" s="52"/>
      <c r="E85" s="13"/>
      <c r="F85" s="13">
        <v>368</v>
      </c>
      <c r="G85" s="37">
        <v>19757.060000000001</v>
      </c>
      <c r="H85" s="103" t="e">
        <f>#REF!*#REF!/1000</f>
        <v>#REF!</v>
      </c>
      <c r="I85" s="13">
        <f>G85*0.599*6/1000</f>
        <v>71.006873640000009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9"/>
    </row>
    <row r="86" spans="1:22" ht="15.75" customHeight="1">
      <c r="A86" s="31">
        <v>20</v>
      </c>
      <c r="B86" s="125" t="s">
        <v>141</v>
      </c>
      <c r="C86" s="41" t="s">
        <v>142</v>
      </c>
      <c r="D86" s="52"/>
      <c r="E86" s="13"/>
      <c r="F86" s="13"/>
      <c r="G86" s="37">
        <v>1730</v>
      </c>
      <c r="H86" s="103"/>
      <c r="I86" s="13">
        <f>G86*12</f>
        <v>20760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18" customHeight="1">
      <c r="A87" s="31">
        <v>21</v>
      </c>
      <c r="B87" s="125" t="s">
        <v>167</v>
      </c>
      <c r="C87" s="41" t="s">
        <v>87</v>
      </c>
      <c r="D87" s="52"/>
      <c r="E87" s="13"/>
      <c r="F87" s="13"/>
      <c r="G87" s="37">
        <v>794.28</v>
      </c>
      <c r="H87" s="103"/>
      <c r="I87" s="13">
        <f>G87*2</f>
        <v>1588.56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9"/>
    </row>
    <row r="88" spans="1:22" ht="15.75" customHeight="1">
      <c r="A88" s="31">
        <v>22</v>
      </c>
      <c r="B88" s="125" t="s">
        <v>168</v>
      </c>
      <c r="C88" s="41" t="s">
        <v>87</v>
      </c>
      <c r="D88" s="52"/>
      <c r="E88" s="13"/>
      <c r="F88" s="13"/>
      <c r="G88" s="37">
        <v>38</v>
      </c>
      <c r="H88" s="103"/>
      <c r="I88" s="13">
        <f>G88*2</f>
        <v>76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9"/>
    </row>
    <row r="89" spans="1:22" ht="15.75" customHeight="1">
      <c r="A89" s="31">
        <v>23</v>
      </c>
      <c r="B89" s="125" t="s">
        <v>169</v>
      </c>
      <c r="C89" s="41" t="s">
        <v>87</v>
      </c>
      <c r="D89" s="52"/>
      <c r="E89" s="13"/>
      <c r="F89" s="13"/>
      <c r="G89" s="37">
        <v>86</v>
      </c>
      <c r="H89" s="103"/>
      <c r="I89" s="13">
        <f>G89*2</f>
        <v>172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9"/>
    </row>
    <row r="90" spans="1:22" ht="15.75" customHeight="1">
      <c r="A90" s="31">
        <v>24</v>
      </c>
      <c r="B90" s="125" t="s">
        <v>170</v>
      </c>
      <c r="C90" s="41" t="s">
        <v>87</v>
      </c>
      <c r="D90" s="52"/>
      <c r="E90" s="13"/>
      <c r="F90" s="13"/>
      <c r="G90" s="37">
        <v>39</v>
      </c>
      <c r="H90" s="103"/>
      <c r="I90" s="13">
        <f>G90*1</f>
        <v>39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9"/>
    </row>
    <row r="91" spans="1:22" ht="15.75" customHeight="1">
      <c r="A91" s="31">
        <v>25</v>
      </c>
      <c r="B91" s="122" t="s">
        <v>171</v>
      </c>
      <c r="C91" s="123" t="s">
        <v>83</v>
      </c>
      <c r="D91" s="52"/>
      <c r="E91" s="13"/>
      <c r="F91" s="13"/>
      <c r="G91" s="37">
        <v>214.07</v>
      </c>
      <c r="H91" s="103"/>
      <c r="I91" s="13">
        <f>G91*1</f>
        <v>214.07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9"/>
    </row>
    <row r="92" spans="1:22" ht="15.75" customHeight="1">
      <c r="A92" s="31">
        <v>26</v>
      </c>
      <c r="B92" s="122" t="s">
        <v>172</v>
      </c>
      <c r="C92" s="137" t="s">
        <v>173</v>
      </c>
      <c r="D92" s="52"/>
      <c r="E92" s="13"/>
      <c r="F92" s="13"/>
      <c r="G92" s="37">
        <v>317.51</v>
      </c>
      <c r="H92" s="103"/>
      <c r="I92" s="13">
        <f>G92*1</f>
        <v>317.51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9"/>
    </row>
    <row r="93" spans="1:22" ht="15.75" customHeight="1">
      <c r="A93" s="31">
        <v>27</v>
      </c>
      <c r="B93" s="122" t="s">
        <v>174</v>
      </c>
      <c r="C93" s="123" t="s">
        <v>87</v>
      </c>
      <c r="D93" s="52"/>
      <c r="E93" s="13"/>
      <c r="F93" s="13"/>
      <c r="G93" s="37">
        <v>172.4</v>
      </c>
      <c r="H93" s="103"/>
      <c r="I93" s="13">
        <f>G93*1</f>
        <v>172.4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9"/>
    </row>
    <row r="94" spans="1:22" ht="15.75" customHeight="1">
      <c r="A94" s="31">
        <v>28</v>
      </c>
      <c r="B94" s="122" t="s">
        <v>175</v>
      </c>
      <c r="C94" s="123" t="s">
        <v>29</v>
      </c>
      <c r="D94" s="52"/>
      <c r="E94" s="13"/>
      <c r="F94" s="13"/>
      <c r="G94" s="37">
        <v>1160.81</v>
      </c>
      <c r="H94" s="103"/>
      <c r="I94" s="13">
        <f>G94*0.0511</f>
        <v>59.317390999999994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9"/>
    </row>
    <row r="95" spans="1:22" ht="15.75" customHeight="1">
      <c r="A95" s="31">
        <v>29</v>
      </c>
      <c r="B95" s="122" t="s">
        <v>95</v>
      </c>
      <c r="C95" s="123" t="s">
        <v>87</v>
      </c>
      <c r="D95" s="52"/>
      <c r="E95" s="13"/>
      <c r="F95" s="13"/>
      <c r="G95" s="37">
        <v>58.39</v>
      </c>
      <c r="H95" s="103"/>
      <c r="I95" s="13">
        <f>G95*1</f>
        <v>58.39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9"/>
    </row>
    <row r="96" spans="1:22" ht="15.75" customHeight="1">
      <c r="A96" s="31"/>
      <c r="B96" s="46" t="s">
        <v>52</v>
      </c>
      <c r="C96" s="42"/>
      <c r="D96" s="54"/>
      <c r="E96" s="42">
        <v>1</v>
      </c>
      <c r="F96" s="42"/>
      <c r="G96" s="42"/>
      <c r="H96" s="42"/>
      <c r="I96" s="33">
        <f>SUM(I85:I95)</f>
        <v>23528.25426464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1:9" ht="15.75" customHeight="1">
      <c r="A97" s="31"/>
      <c r="B97" s="52" t="s">
        <v>78</v>
      </c>
      <c r="C97" s="16"/>
      <c r="D97" s="16"/>
      <c r="E97" s="43"/>
      <c r="F97" s="43"/>
      <c r="G97" s="44"/>
      <c r="H97" s="44"/>
      <c r="I97" s="18">
        <v>0</v>
      </c>
    </row>
    <row r="98" spans="1:9" ht="15.75" customHeight="1">
      <c r="A98" s="55"/>
      <c r="B98" s="47" t="s">
        <v>138</v>
      </c>
      <c r="C98" s="36"/>
      <c r="D98" s="36"/>
      <c r="E98" s="36"/>
      <c r="F98" s="36"/>
      <c r="G98" s="36"/>
      <c r="H98" s="36"/>
      <c r="I98" s="45">
        <f>I83+I96</f>
        <v>68980.585695640009</v>
      </c>
    </row>
    <row r="99" spans="1:9" ht="15.75" customHeight="1">
      <c r="A99" s="158" t="s">
        <v>222</v>
      </c>
      <c r="B99" s="158"/>
      <c r="C99" s="158"/>
      <c r="D99" s="158"/>
      <c r="E99" s="158"/>
      <c r="F99" s="158"/>
      <c r="G99" s="158"/>
      <c r="H99" s="158"/>
      <c r="I99" s="158"/>
    </row>
    <row r="100" spans="1:9" ht="15.75" customHeight="1">
      <c r="A100" s="79"/>
      <c r="B100" s="171" t="s">
        <v>223</v>
      </c>
      <c r="C100" s="171"/>
      <c r="D100" s="171"/>
      <c r="E100" s="171"/>
      <c r="F100" s="171"/>
      <c r="G100" s="171"/>
      <c r="H100" s="91"/>
      <c r="I100" s="3"/>
    </row>
    <row r="101" spans="1:9" ht="15.75" customHeight="1">
      <c r="A101" s="72"/>
      <c r="B101" s="172" t="s">
        <v>6</v>
      </c>
      <c r="C101" s="172"/>
      <c r="D101" s="172"/>
      <c r="E101" s="172"/>
      <c r="F101" s="172"/>
      <c r="G101" s="172"/>
      <c r="H101" s="26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73" t="s">
        <v>7</v>
      </c>
      <c r="B103" s="173"/>
      <c r="C103" s="173"/>
      <c r="D103" s="173"/>
      <c r="E103" s="173"/>
      <c r="F103" s="173"/>
      <c r="G103" s="173"/>
      <c r="H103" s="173"/>
      <c r="I103" s="173"/>
    </row>
    <row r="104" spans="1:9" ht="15.75" customHeight="1">
      <c r="A104" s="173" t="s">
        <v>8</v>
      </c>
      <c r="B104" s="173"/>
      <c r="C104" s="173"/>
      <c r="D104" s="173"/>
      <c r="E104" s="173"/>
      <c r="F104" s="173"/>
      <c r="G104" s="173"/>
      <c r="H104" s="173"/>
      <c r="I104" s="173"/>
    </row>
    <row r="105" spans="1:9" ht="15.75" customHeight="1">
      <c r="A105" s="176" t="s">
        <v>61</v>
      </c>
      <c r="B105" s="176"/>
      <c r="C105" s="176"/>
      <c r="D105" s="176"/>
      <c r="E105" s="176"/>
      <c r="F105" s="176"/>
      <c r="G105" s="176"/>
      <c r="H105" s="176"/>
      <c r="I105" s="176"/>
    </row>
    <row r="106" spans="1:9" ht="15.75" customHeight="1">
      <c r="A106" s="11"/>
    </row>
    <row r="107" spans="1:9" ht="15.75" customHeight="1">
      <c r="A107" s="177" t="s">
        <v>9</v>
      </c>
      <c r="B107" s="177"/>
      <c r="C107" s="177"/>
      <c r="D107" s="177"/>
      <c r="E107" s="177"/>
      <c r="F107" s="177"/>
      <c r="G107" s="177"/>
      <c r="H107" s="177"/>
      <c r="I107" s="177"/>
    </row>
    <row r="108" spans="1:9" ht="15.75" customHeight="1">
      <c r="A108" s="4"/>
    </row>
    <row r="109" spans="1:9" ht="15.75" customHeight="1">
      <c r="B109" s="75" t="s">
        <v>10</v>
      </c>
      <c r="C109" s="178" t="s">
        <v>86</v>
      </c>
      <c r="D109" s="178"/>
      <c r="E109" s="178"/>
      <c r="F109" s="89"/>
      <c r="I109" s="74"/>
    </row>
    <row r="110" spans="1:9" ht="15.75" customHeight="1">
      <c r="A110" s="72"/>
      <c r="C110" s="172" t="s">
        <v>11</v>
      </c>
      <c r="D110" s="172"/>
      <c r="E110" s="172"/>
      <c r="F110" s="26"/>
      <c r="I110" s="73" t="s">
        <v>12</v>
      </c>
    </row>
    <row r="111" spans="1:9" ht="15.75" customHeight="1">
      <c r="A111" s="27"/>
      <c r="C111" s="12"/>
      <c r="D111" s="12"/>
      <c r="G111" s="12"/>
      <c r="H111" s="12"/>
    </row>
    <row r="112" spans="1:9" ht="15.75" customHeight="1">
      <c r="B112" s="75" t="s">
        <v>13</v>
      </c>
      <c r="C112" s="179"/>
      <c r="D112" s="179"/>
      <c r="E112" s="179"/>
      <c r="F112" s="90"/>
      <c r="I112" s="74"/>
    </row>
    <row r="113" spans="1:9" ht="15.75" customHeight="1">
      <c r="A113" s="72"/>
      <c r="C113" s="175" t="s">
        <v>11</v>
      </c>
      <c r="D113" s="175"/>
      <c r="E113" s="175"/>
      <c r="F113" s="72"/>
      <c r="I113" s="73" t="s">
        <v>12</v>
      </c>
    </row>
    <row r="114" spans="1:9" ht="15.75" customHeight="1">
      <c r="A114" s="4" t="s">
        <v>14</v>
      </c>
    </row>
    <row r="115" spans="1:9">
      <c r="A115" s="174" t="s">
        <v>15</v>
      </c>
      <c r="B115" s="174"/>
      <c r="C115" s="174"/>
      <c r="D115" s="174"/>
      <c r="E115" s="174"/>
      <c r="F115" s="174"/>
      <c r="G115" s="174"/>
      <c r="H115" s="174"/>
      <c r="I115" s="174"/>
    </row>
    <row r="116" spans="1:9" ht="45" customHeight="1">
      <c r="A116" s="170" t="s">
        <v>16</v>
      </c>
      <c r="B116" s="170"/>
      <c r="C116" s="170"/>
      <c r="D116" s="170"/>
      <c r="E116" s="170"/>
      <c r="F116" s="170"/>
      <c r="G116" s="170"/>
      <c r="H116" s="170"/>
      <c r="I116" s="170"/>
    </row>
    <row r="117" spans="1:9" ht="30" customHeight="1">
      <c r="A117" s="170" t="s">
        <v>17</v>
      </c>
      <c r="B117" s="170"/>
      <c r="C117" s="170"/>
      <c r="D117" s="170"/>
      <c r="E117" s="170"/>
      <c r="F117" s="170"/>
      <c r="G117" s="170"/>
      <c r="H117" s="170"/>
      <c r="I117" s="170"/>
    </row>
    <row r="118" spans="1:9" ht="30" customHeight="1">
      <c r="A118" s="170" t="s">
        <v>21</v>
      </c>
      <c r="B118" s="170"/>
      <c r="C118" s="170"/>
      <c r="D118" s="170"/>
      <c r="E118" s="170"/>
      <c r="F118" s="170"/>
      <c r="G118" s="170"/>
      <c r="H118" s="170"/>
      <c r="I118" s="170"/>
    </row>
    <row r="119" spans="1:9" ht="15" customHeight="1">
      <c r="A119" s="170" t="s">
        <v>20</v>
      </c>
      <c r="B119" s="170"/>
      <c r="C119" s="170"/>
      <c r="D119" s="170"/>
      <c r="E119" s="170"/>
      <c r="F119" s="170"/>
      <c r="G119" s="170"/>
      <c r="H119" s="170"/>
      <c r="I119" s="170"/>
    </row>
  </sheetData>
  <autoFilter ref="I12:I83"/>
  <mergeCells count="28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8:I28"/>
    <mergeCell ref="A42:I42"/>
    <mergeCell ref="A53:I53"/>
    <mergeCell ref="A80:I80"/>
    <mergeCell ref="A84:I84"/>
    <mergeCell ref="A99:I99"/>
    <mergeCell ref="B100:G100"/>
    <mergeCell ref="B101:G101"/>
    <mergeCell ref="A103:I103"/>
    <mergeCell ref="A104:I104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6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B80" sqref="B80:I8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5" t="s">
        <v>143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122</v>
      </c>
      <c r="B4" s="166"/>
      <c r="C4" s="166"/>
      <c r="D4" s="166"/>
      <c r="E4" s="166"/>
      <c r="F4" s="166"/>
      <c r="G4" s="166"/>
      <c r="H4" s="166"/>
      <c r="I4" s="166"/>
    </row>
    <row r="5" spans="1:13" ht="15.75" customHeight="1">
      <c r="A5" s="165" t="s">
        <v>176</v>
      </c>
      <c r="B5" s="169"/>
      <c r="C5" s="169"/>
      <c r="D5" s="169"/>
      <c r="E5" s="169"/>
      <c r="F5" s="169"/>
      <c r="G5" s="169"/>
      <c r="H5" s="169"/>
      <c r="I5" s="169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2">
        <v>43585</v>
      </c>
      <c r="J6" s="2"/>
      <c r="K6" s="2"/>
      <c r="L6" s="2"/>
      <c r="M6" s="2"/>
    </row>
    <row r="7" spans="1:13" ht="15.75" customHeight="1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7" t="s">
        <v>160</v>
      </c>
      <c r="B8" s="167"/>
      <c r="C8" s="167"/>
      <c r="D8" s="167"/>
      <c r="E8" s="167"/>
      <c r="F8" s="167"/>
      <c r="G8" s="167"/>
      <c r="H8" s="167"/>
      <c r="I8" s="167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8" t="s">
        <v>152</v>
      </c>
      <c r="B10" s="168"/>
      <c r="C10" s="168"/>
      <c r="D10" s="168"/>
      <c r="E10" s="168"/>
      <c r="F10" s="168"/>
      <c r="G10" s="168"/>
      <c r="H10" s="168"/>
      <c r="I10" s="16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59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1">
        <v>1</v>
      </c>
      <c r="B16" s="93" t="s">
        <v>85</v>
      </c>
      <c r="C16" s="94" t="s">
        <v>90</v>
      </c>
      <c r="D16" s="93" t="s">
        <v>186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7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99</v>
      </c>
      <c r="C17" s="94" t="s">
        <v>90</v>
      </c>
      <c r="D17" s="93" t="s">
        <v>187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100</v>
      </c>
      <c r="C18" s="94" t="s">
        <v>90</v>
      </c>
      <c r="D18" s="93" t="s">
        <v>188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123</v>
      </c>
      <c r="C19" s="94" t="s">
        <v>124</v>
      </c>
      <c r="D19" s="93" t="s">
        <v>125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89</v>
      </c>
      <c r="C20" s="94" t="s">
        <v>90</v>
      </c>
      <c r="D20" s="93" t="s">
        <v>189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97</v>
      </c>
      <c r="C21" s="94" t="s">
        <v>90</v>
      </c>
      <c r="D21" s="93" t="s">
        <v>190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91</v>
      </c>
      <c r="C22" s="94" t="s">
        <v>53</v>
      </c>
      <c r="D22" s="93" t="s">
        <v>125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92</v>
      </c>
      <c r="C23" s="94" t="s">
        <v>53</v>
      </c>
      <c r="D23" s="93" t="s">
        <v>125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93</v>
      </c>
      <c r="C24" s="94" t="s">
        <v>53</v>
      </c>
      <c r="D24" s="93" t="s">
        <v>126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98</v>
      </c>
      <c r="C25" s="94" t="s">
        <v>90</v>
      </c>
      <c r="D25" s="93" t="s">
        <v>54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94</v>
      </c>
      <c r="C26" s="94" t="s">
        <v>53</v>
      </c>
      <c r="D26" s="93" t="s">
        <v>125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185</v>
      </c>
      <c r="C27" s="40" t="s">
        <v>25</v>
      </c>
      <c r="D27" s="34" t="s">
        <v>191</v>
      </c>
      <c r="E27" s="140">
        <v>4.83</v>
      </c>
      <c r="F27" s="127">
        <f>SUM(E27*258)</f>
        <v>1246.1400000000001</v>
      </c>
      <c r="G27" s="127">
        <v>10.39</v>
      </c>
      <c r="H27" s="97">
        <f t="shared" si="0"/>
        <v>12.947394600000001</v>
      </c>
      <c r="I27" s="13">
        <f>F27/12*G27</f>
        <v>1078.9495500000003</v>
      </c>
      <c r="J27" s="8"/>
      <c r="K27" s="8"/>
      <c r="L27" s="8"/>
      <c r="M27" s="8"/>
    </row>
    <row r="28" spans="1:13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  <c r="J28" s="24"/>
      <c r="K28" s="8"/>
      <c r="L28" s="8"/>
      <c r="M28" s="8"/>
    </row>
    <row r="29" spans="1:13" ht="15.75" hidden="1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hidden="1" customHeight="1">
      <c r="A30" s="41">
        <v>2</v>
      </c>
      <c r="B30" s="93" t="s">
        <v>101</v>
      </c>
      <c r="C30" s="94" t="s">
        <v>102</v>
      </c>
      <c r="D30" s="93" t="s">
        <v>103</v>
      </c>
      <c r="E30" s="96">
        <v>1167.4000000000001</v>
      </c>
      <c r="F30" s="96">
        <f>SUM(E30*52/1000)</f>
        <v>60.704800000000006</v>
      </c>
      <c r="G30" s="96">
        <v>155.88999999999999</v>
      </c>
      <c r="H30" s="97">
        <f t="shared" ref="H30:H32" si="1">SUM(F30*G30/1000)</f>
        <v>9.4632712720000001</v>
      </c>
      <c r="I30" s="13">
        <v>0</v>
      </c>
      <c r="J30" s="24"/>
      <c r="K30" s="8"/>
      <c r="L30" s="8"/>
      <c r="M30" s="8"/>
    </row>
    <row r="31" spans="1:13" ht="31.5" hidden="1" customHeight="1">
      <c r="A31" s="41">
        <v>3</v>
      </c>
      <c r="B31" s="93" t="s">
        <v>136</v>
      </c>
      <c r="C31" s="94" t="s">
        <v>102</v>
      </c>
      <c r="D31" s="93" t="s">
        <v>104</v>
      </c>
      <c r="E31" s="96">
        <v>540.04999999999995</v>
      </c>
      <c r="F31" s="96">
        <f>SUM(E31*78/1000)</f>
        <v>42.123899999999992</v>
      </c>
      <c r="G31" s="96">
        <v>258.63</v>
      </c>
      <c r="H31" s="97">
        <f t="shared" si="1"/>
        <v>10.894504256999998</v>
      </c>
      <c r="I31" s="13">
        <v>0</v>
      </c>
      <c r="J31" s="24"/>
      <c r="K31" s="8"/>
      <c r="L31" s="8"/>
      <c r="M31" s="8"/>
    </row>
    <row r="32" spans="1:13" ht="15.75" hidden="1" customHeight="1">
      <c r="A32" s="41">
        <v>4</v>
      </c>
      <c r="B32" s="93" t="s">
        <v>27</v>
      </c>
      <c r="C32" s="94" t="s">
        <v>102</v>
      </c>
      <c r="D32" s="93" t="s">
        <v>54</v>
      </c>
      <c r="E32" s="96">
        <v>1167.4000000000001</v>
      </c>
      <c r="F32" s="96">
        <f>SUM(E32/1000)</f>
        <v>1.1674</v>
      </c>
      <c r="G32" s="96">
        <v>3020.33</v>
      </c>
      <c r="H32" s="97">
        <f t="shared" si="1"/>
        <v>3.5259332420000002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5</v>
      </c>
      <c r="B33" s="93" t="s">
        <v>105</v>
      </c>
      <c r="C33" s="94" t="s">
        <v>30</v>
      </c>
      <c r="D33" s="93" t="s">
        <v>63</v>
      </c>
      <c r="E33" s="100">
        <v>0.33333333333333331</v>
      </c>
      <c r="F33" s="96">
        <f>155/3</f>
        <v>51.666666666666664</v>
      </c>
      <c r="G33" s="96">
        <v>56.69</v>
      </c>
      <c r="H33" s="97">
        <f>SUM(G33*155/3/1000)</f>
        <v>2.9289833333333331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4</v>
      </c>
      <c r="B34" s="93" t="s">
        <v>64</v>
      </c>
      <c r="C34" s="94" t="s">
        <v>32</v>
      </c>
      <c r="D34" s="93" t="s">
        <v>65</v>
      </c>
      <c r="E34" s="95"/>
      <c r="F34" s="96">
        <v>3</v>
      </c>
      <c r="G34" s="96">
        <v>191.32</v>
      </c>
      <c r="H34" s="97">
        <f t="shared" ref="H34" si="2">SUM(F34*G34/1000)</f>
        <v>0.57396000000000003</v>
      </c>
      <c r="I34" s="13">
        <v>0</v>
      </c>
      <c r="J34" s="24"/>
      <c r="K34" s="8"/>
      <c r="L34" s="8"/>
      <c r="M34" s="8"/>
    </row>
    <row r="35" spans="1:13" ht="15.75" customHeight="1">
      <c r="A35" s="41"/>
      <c r="B35" s="49" t="s">
        <v>5</v>
      </c>
      <c r="C35" s="49"/>
      <c r="D35" s="49"/>
      <c r="E35" s="13"/>
      <c r="F35" s="13"/>
      <c r="G35" s="14"/>
      <c r="H35" s="14"/>
      <c r="I35" s="19"/>
      <c r="J35" s="24"/>
      <c r="K35" s="8"/>
      <c r="L35" s="8"/>
      <c r="M35" s="8"/>
    </row>
    <row r="36" spans="1:13" ht="15.75" hidden="1" customHeight="1">
      <c r="A36" s="41">
        <v>8</v>
      </c>
      <c r="B36" s="93" t="s">
        <v>26</v>
      </c>
      <c r="C36" s="94" t="s">
        <v>31</v>
      </c>
      <c r="D36" s="93"/>
      <c r="E36" s="95"/>
      <c r="F36" s="96">
        <v>6</v>
      </c>
      <c r="G36" s="96">
        <v>1527.2</v>
      </c>
      <c r="H36" s="97">
        <f t="shared" ref="H36:H41" si="3">SUM(F36*G36/1000)</f>
        <v>9.1632000000000016</v>
      </c>
      <c r="I36" s="13">
        <f t="shared" ref="I36:I39" si="4">F36/6*G36</f>
        <v>1527.2</v>
      </c>
      <c r="J36" s="24"/>
      <c r="K36" s="8"/>
      <c r="L36" s="8"/>
      <c r="M36" s="8"/>
    </row>
    <row r="37" spans="1:13" ht="15.75" customHeight="1">
      <c r="A37" s="35">
        <v>7</v>
      </c>
      <c r="B37" s="93" t="s">
        <v>66</v>
      </c>
      <c r="C37" s="94" t="s">
        <v>29</v>
      </c>
      <c r="D37" s="93" t="s">
        <v>192</v>
      </c>
      <c r="E37" s="96">
        <v>1080.0999999999999</v>
      </c>
      <c r="F37" s="96">
        <f>SUM(E37*30/1000)</f>
        <v>32.402999999999999</v>
      </c>
      <c r="G37" s="96">
        <v>2102.6999999999998</v>
      </c>
      <c r="H37" s="97">
        <f t="shared" si="3"/>
        <v>68.13378809999999</v>
      </c>
      <c r="I37" s="13">
        <f t="shared" si="4"/>
        <v>11355.63135</v>
      </c>
      <c r="J37" s="24"/>
      <c r="K37" s="8"/>
      <c r="L37" s="8"/>
      <c r="M37" s="8"/>
    </row>
    <row r="38" spans="1:13" ht="15.75" customHeight="1">
      <c r="A38" s="35">
        <v>8</v>
      </c>
      <c r="B38" s="93" t="s">
        <v>67</v>
      </c>
      <c r="C38" s="94" t="s">
        <v>29</v>
      </c>
      <c r="D38" s="93" t="s">
        <v>193</v>
      </c>
      <c r="E38" s="96">
        <v>45</v>
      </c>
      <c r="F38" s="96">
        <f>SUM(E38*155/1000)</f>
        <v>6.9749999999999996</v>
      </c>
      <c r="G38" s="96">
        <v>350.75</v>
      </c>
      <c r="H38" s="97">
        <f t="shared" si="3"/>
        <v>2.4464812499999997</v>
      </c>
      <c r="I38" s="13">
        <f t="shared" si="4"/>
        <v>407.74687499999993</v>
      </c>
      <c r="J38" s="24"/>
      <c r="K38" s="8"/>
      <c r="L38" s="8"/>
      <c r="M38" s="8"/>
    </row>
    <row r="39" spans="1:13" ht="47.25" customHeight="1">
      <c r="A39" s="35">
        <v>9</v>
      </c>
      <c r="B39" s="93" t="s">
        <v>82</v>
      </c>
      <c r="C39" s="94" t="s">
        <v>102</v>
      </c>
      <c r="D39" s="93" t="s">
        <v>194</v>
      </c>
      <c r="E39" s="96">
        <v>45</v>
      </c>
      <c r="F39" s="96">
        <f>SUM(E39*70/1000)</f>
        <v>3.15</v>
      </c>
      <c r="G39" s="96">
        <v>5803.28</v>
      </c>
      <c r="H39" s="97">
        <f t="shared" si="3"/>
        <v>18.280331999999998</v>
      </c>
      <c r="I39" s="13">
        <f t="shared" si="4"/>
        <v>3046.7220000000002</v>
      </c>
      <c r="J39" s="24"/>
      <c r="K39" s="8"/>
      <c r="L39" s="8"/>
      <c r="M39" s="8"/>
    </row>
    <row r="40" spans="1:13" ht="15.75" customHeight="1">
      <c r="A40" s="35">
        <v>10</v>
      </c>
      <c r="B40" s="93" t="s">
        <v>107</v>
      </c>
      <c r="C40" s="94" t="s">
        <v>102</v>
      </c>
      <c r="D40" s="93" t="s">
        <v>195</v>
      </c>
      <c r="E40" s="96">
        <v>45</v>
      </c>
      <c r="F40" s="96">
        <f>SUM(E40*45/1000)</f>
        <v>2.0249999999999999</v>
      </c>
      <c r="G40" s="96">
        <v>428.7</v>
      </c>
      <c r="H40" s="97">
        <f t="shared" si="3"/>
        <v>0.86811749999999999</v>
      </c>
      <c r="I40" s="13">
        <f>F40/7.5*1.5*G40</f>
        <v>173.62349999999995</v>
      </c>
      <c r="J40" s="24"/>
      <c r="K40" s="8"/>
      <c r="L40" s="8"/>
      <c r="M40" s="8"/>
    </row>
    <row r="41" spans="1:13" ht="15.75" customHeight="1">
      <c r="A41" s="35">
        <v>11</v>
      </c>
      <c r="B41" s="93" t="s">
        <v>70</v>
      </c>
      <c r="C41" s="94" t="s">
        <v>32</v>
      </c>
      <c r="D41" s="93"/>
      <c r="E41" s="95"/>
      <c r="F41" s="96">
        <v>0.6</v>
      </c>
      <c r="G41" s="96">
        <v>798</v>
      </c>
      <c r="H41" s="97">
        <f t="shared" si="3"/>
        <v>0.47879999999999995</v>
      </c>
      <c r="I41" s="13">
        <f>F41/7.5*1.5*G41</f>
        <v>95.759999999999991</v>
      </c>
      <c r="J41" s="24"/>
      <c r="K41" s="8"/>
      <c r="L41" s="8"/>
      <c r="M41" s="8"/>
    </row>
    <row r="42" spans="1:13" ht="15.75" hidden="1" customHeight="1">
      <c r="A42" s="155" t="s">
        <v>133</v>
      </c>
      <c r="B42" s="156"/>
      <c r="C42" s="156"/>
      <c r="D42" s="156"/>
      <c r="E42" s="156"/>
      <c r="F42" s="156"/>
      <c r="G42" s="156"/>
      <c r="H42" s="156"/>
      <c r="I42" s="157"/>
      <c r="J42" s="24"/>
      <c r="K42" s="8"/>
      <c r="L42" s="8"/>
      <c r="M42" s="8"/>
    </row>
    <row r="43" spans="1:13" ht="15.75" hidden="1" customHeight="1">
      <c r="A43" s="41">
        <v>15</v>
      </c>
      <c r="B43" s="93" t="s">
        <v>108</v>
      </c>
      <c r="C43" s="94" t="s">
        <v>102</v>
      </c>
      <c r="D43" s="93" t="s">
        <v>42</v>
      </c>
      <c r="E43" s="95">
        <v>965.8</v>
      </c>
      <c r="F43" s="96">
        <f>SUM(E43*2/1000)</f>
        <v>1.9316</v>
      </c>
      <c r="G43" s="13">
        <v>849.49</v>
      </c>
      <c r="H43" s="97">
        <f t="shared" ref="H43:H52" si="5">SUM(F43*G43/1000)</f>
        <v>1.640874884</v>
      </c>
      <c r="I43" s="13">
        <v>0</v>
      </c>
      <c r="J43" s="24"/>
      <c r="K43" s="8"/>
    </row>
    <row r="44" spans="1:13" ht="15.75" hidden="1" customHeight="1">
      <c r="A44" s="41">
        <v>16</v>
      </c>
      <c r="B44" s="93" t="s">
        <v>35</v>
      </c>
      <c r="C44" s="94" t="s">
        <v>102</v>
      </c>
      <c r="D44" s="93" t="s">
        <v>42</v>
      </c>
      <c r="E44" s="95">
        <v>36</v>
      </c>
      <c r="F44" s="96">
        <f>SUM(E44*2/1000)</f>
        <v>7.1999999999999995E-2</v>
      </c>
      <c r="G44" s="13">
        <v>579.48</v>
      </c>
      <c r="H44" s="97">
        <f t="shared" si="5"/>
        <v>4.1722559999999999E-2</v>
      </c>
      <c r="I44" s="13">
        <v>0</v>
      </c>
      <c r="J44" s="25"/>
    </row>
    <row r="45" spans="1:13" ht="15.75" hidden="1" customHeight="1">
      <c r="A45" s="41">
        <v>17</v>
      </c>
      <c r="B45" s="93" t="s">
        <v>36</v>
      </c>
      <c r="C45" s="94" t="s">
        <v>102</v>
      </c>
      <c r="D45" s="93" t="s">
        <v>42</v>
      </c>
      <c r="E45" s="95">
        <v>1197.7</v>
      </c>
      <c r="F45" s="96">
        <f>SUM(E45*2/1000)</f>
        <v>2.3954</v>
      </c>
      <c r="G45" s="13">
        <v>579.48</v>
      </c>
      <c r="H45" s="97">
        <f t="shared" si="5"/>
        <v>1.3880863919999999</v>
      </c>
      <c r="I45" s="13">
        <v>0</v>
      </c>
      <c r="J45" s="25"/>
    </row>
    <row r="46" spans="1:13" ht="15.75" hidden="1" customHeight="1">
      <c r="A46" s="41"/>
      <c r="B46" s="93" t="s">
        <v>37</v>
      </c>
      <c r="C46" s="94" t="s">
        <v>102</v>
      </c>
      <c r="D46" s="93" t="s">
        <v>42</v>
      </c>
      <c r="E46" s="95">
        <v>2275.92</v>
      </c>
      <c r="F46" s="96">
        <f>SUM(E46*2/1000)</f>
        <v>4.5518400000000003</v>
      </c>
      <c r="G46" s="13">
        <v>606.77</v>
      </c>
      <c r="H46" s="97">
        <f t="shared" si="5"/>
        <v>2.7619199567999999</v>
      </c>
      <c r="I46" s="13">
        <v>0</v>
      </c>
      <c r="J46" s="25"/>
    </row>
    <row r="47" spans="1:13" ht="15.75" hidden="1" customHeight="1">
      <c r="A47" s="41">
        <v>18</v>
      </c>
      <c r="B47" s="93" t="s">
        <v>33</v>
      </c>
      <c r="C47" s="94" t="s">
        <v>34</v>
      </c>
      <c r="D47" s="93" t="s">
        <v>42</v>
      </c>
      <c r="E47" s="95">
        <v>81.709999999999994</v>
      </c>
      <c r="F47" s="96">
        <f>SUM(E47*2/100)</f>
        <v>1.6341999999999999</v>
      </c>
      <c r="G47" s="13">
        <v>68.56</v>
      </c>
      <c r="H47" s="97">
        <f t="shared" si="5"/>
        <v>0.11204075199999999</v>
      </c>
      <c r="I47" s="13">
        <v>0</v>
      </c>
      <c r="J47" s="25"/>
    </row>
    <row r="48" spans="1:13" ht="15.75" hidden="1" customHeight="1">
      <c r="A48" s="41">
        <v>14</v>
      </c>
      <c r="B48" s="93" t="s">
        <v>56</v>
      </c>
      <c r="C48" s="94" t="s">
        <v>102</v>
      </c>
      <c r="D48" s="93" t="s">
        <v>137</v>
      </c>
      <c r="E48" s="95">
        <v>1711.8</v>
      </c>
      <c r="F48" s="96">
        <f>SUM(E48*5/1000)</f>
        <v>8.5589999999999993</v>
      </c>
      <c r="G48" s="13">
        <v>1213.55</v>
      </c>
      <c r="H48" s="97">
        <f t="shared" si="5"/>
        <v>10.386774449999999</v>
      </c>
      <c r="I48" s="13">
        <f>F48/5*G48</f>
        <v>2077.3548899999996</v>
      </c>
      <c r="J48" s="25"/>
    </row>
    <row r="49" spans="1:14" ht="31.5" hidden="1" customHeight="1">
      <c r="A49" s="41">
        <v>14</v>
      </c>
      <c r="B49" s="93" t="s">
        <v>109</v>
      </c>
      <c r="C49" s="94" t="s">
        <v>102</v>
      </c>
      <c r="D49" s="93" t="s">
        <v>42</v>
      </c>
      <c r="E49" s="95">
        <v>1711.8</v>
      </c>
      <c r="F49" s="96">
        <f>SUM(E49*2/1000)</f>
        <v>3.4236</v>
      </c>
      <c r="G49" s="13">
        <v>1213.55</v>
      </c>
      <c r="H49" s="97">
        <f t="shared" si="5"/>
        <v>4.1547097800000001</v>
      </c>
      <c r="I49" s="13">
        <f>F49/2*G49</f>
        <v>2077.3548900000001</v>
      </c>
      <c r="J49" s="25"/>
    </row>
    <row r="50" spans="1:14" ht="31.5" hidden="1" customHeight="1">
      <c r="A50" s="41">
        <v>15</v>
      </c>
      <c r="B50" s="93" t="s">
        <v>110</v>
      </c>
      <c r="C50" s="94" t="s">
        <v>38</v>
      </c>
      <c r="D50" s="93" t="s">
        <v>42</v>
      </c>
      <c r="E50" s="95">
        <v>15</v>
      </c>
      <c r="F50" s="96">
        <f>SUM(E50*2/100)</f>
        <v>0.3</v>
      </c>
      <c r="G50" s="13">
        <v>2730.49</v>
      </c>
      <c r="H50" s="97">
        <f t="shared" si="5"/>
        <v>0.81914699999999996</v>
      </c>
      <c r="I50" s="13">
        <f t="shared" ref="I50:I51" si="6">F50/2*G50</f>
        <v>409.57349999999997</v>
      </c>
      <c r="J50" s="25"/>
    </row>
    <row r="51" spans="1:14" ht="15.75" hidden="1" customHeight="1">
      <c r="A51" s="41">
        <v>16</v>
      </c>
      <c r="B51" s="93" t="s">
        <v>39</v>
      </c>
      <c r="C51" s="94" t="s">
        <v>40</v>
      </c>
      <c r="D51" s="93" t="s">
        <v>42</v>
      </c>
      <c r="E51" s="95">
        <v>1</v>
      </c>
      <c r="F51" s="96">
        <v>0.02</v>
      </c>
      <c r="G51" s="13">
        <v>5322.15</v>
      </c>
      <c r="H51" s="97">
        <f t="shared" si="5"/>
        <v>0.106443</v>
      </c>
      <c r="I51" s="13">
        <f t="shared" si="6"/>
        <v>53.221499999999999</v>
      </c>
      <c r="J51" s="25"/>
      <c r="L51" s="21"/>
      <c r="M51" s="22"/>
      <c r="N51" s="23"/>
    </row>
    <row r="52" spans="1:14" ht="15.75" hidden="1" customHeight="1">
      <c r="A52" s="41">
        <v>15</v>
      </c>
      <c r="B52" s="93" t="s">
        <v>41</v>
      </c>
      <c r="C52" s="94" t="s">
        <v>87</v>
      </c>
      <c r="D52" s="93" t="s">
        <v>71</v>
      </c>
      <c r="E52" s="95">
        <v>90</v>
      </c>
      <c r="F52" s="96">
        <f>SUM(E52)*3</f>
        <v>270</v>
      </c>
      <c r="G52" s="13">
        <v>65.67</v>
      </c>
      <c r="H52" s="97">
        <f t="shared" si="5"/>
        <v>17.730900000000002</v>
      </c>
      <c r="I52" s="13">
        <f>E52*G52</f>
        <v>5910.3</v>
      </c>
      <c r="J52" s="25"/>
      <c r="L52" s="21"/>
      <c r="M52" s="22"/>
      <c r="N52" s="23"/>
    </row>
    <row r="53" spans="1:14" ht="15.75" customHeight="1">
      <c r="A53" s="155" t="s">
        <v>144</v>
      </c>
      <c r="B53" s="156"/>
      <c r="C53" s="156"/>
      <c r="D53" s="156"/>
      <c r="E53" s="156"/>
      <c r="F53" s="156"/>
      <c r="G53" s="156"/>
      <c r="H53" s="156"/>
      <c r="I53" s="157"/>
      <c r="J53" s="25"/>
      <c r="L53" s="21"/>
      <c r="M53" s="22"/>
      <c r="N53" s="23"/>
    </row>
    <row r="54" spans="1:14" ht="15.75" customHeight="1">
      <c r="A54" s="53"/>
      <c r="B54" s="48" t="s">
        <v>43</v>
      </c>
      <c r="C54" s="17"/>
      <c r="D54" s="16"/>
      <c r="E54" s="16"/>
      <c r="F54" s="16"/>
      <c r="G54" s="31"/>
      <c r="H54" s="31"/>
      <c r="I54" s="19"/>
      <c r="J54" s="25"/>
      <c r="L54" s="21"/>
      <c r="M54" s="22"/>
      <c r="N54" s="23"/>
    </row>
    <row r="55" spans="1:14" ht="39" customHeight="1">
      <c r="A55" s="41">
        <v>12</v>
      </c>
      <c r="B55" s="93" t="s">
        <v>111</v>
      </c>
      <c r="C55" s="94" t="s">
        <v>90</v>
      </c>
      <c r="D55" s="93"/>
      <c r="E55" s="95">
        <v>96.58</v>
      </c>
      <c r="F55" s="96">
        <f>SUM(E55*6/100)</f>
        <v>5.7948000000000004</v>
      </c>
      <c r="G55" s="13">
        <v>1547.28</v>
      </c>
      <c r="H55" s="97">
        <f>SUM(F55*G55/1000)</f>
        <v>8.9661781440000006</v>
      </c>
      <c r="I55" s="13">
        <f>G55*0.312</f>
        <v>482.75135999999998</v>
      </c>
      <c r="J55" s="25"/>
      <c r="L55" s="21"/>
      <c r="M55" s="22"/>
      <c r="N55" s="23"/>
    </row>
    <row r="56" spans="1:14" ht="15.75" customHeight="1">
      <c r="A56" s="41"/>
      <c r="B56" s="69" t="s">
        <v>44</v>
      </c>
      <c r="C56" s="40"/>
      <c r="D56" s="34"/>
      <c r="E56" s="19"/>
      <c r="F56" s="87"/>
      <c r="G56" s="37"/>
      <c r="H56" s="70"/>
      <c r="I56" s="20"/>
      <c r="J56" s="25"/>
      <c r="L56" s="21"/>
      <c r="M56" s="22"/>
      <c r="N56" s="23"/>
    </row>
    <row r="57" spans="1:14" ht="15.75" hidden="1" customHeight="1">
      <c r="A57" s="41"/>
      <c r="B57" s="93" t="s">
        <v>45</v>
      </c>
      <c r="C57" s="94" t="s">
        <v>90</v>
      </c>
      <c r="D57" s="93" t="s">
        <v>54</v>
      </c>
      <c r="E57" s="95">
        <v>855.9</v>
      </c>
      <c r="F57" s="97">
        <v>8.6</v>
      </c>
      <c r="G57" s="13">
        <v>747.3</v>
      </c>
      <c r="H57" s="101">
        <v>6.4</v>
      </c>
      <c r="I57" s="13">
        <v>0</v>
      </c>
      <c r="J57" s="25"/>
      <c r="L57" s="21"/>
      <c r="M57" s="22"/>
      <c r="N57" s="23"/>
    </row>
    <row r="58" spans="1:14" ht="15.75" customHeight="1">
      <c r="A58" s="41">
        <v>13</v>
      </c>
      <c r="B58" s="93" t="s">
        <v>88</v>
      </c>
      <c r="C58" s="94" t="s">
        <v>25</v>
      </c>
      <c r="D58" s="93" t="s">
        <v>190</v>
      </c>
      <c r="E58" s="95">
        <v>256</v>
      </c>
      <c r="F58" s="97">
        <f>E58*12</f>
        <v>3072</v>
      </c>
      <c r="G58" s="13">
        <v>1.4</v>
      </c>
      <c r="H58" s="101">
        <f>F58*G58/1000</f>
        <v>4.3007999999999988</v>
      </c>
      <c r="I58" s="13">
        <f>1560/12*G58</f>
        <v>182</v>
      </c>
      <c r="J58" s="25"/>
      <c r="L58" s="21"/>
      <c r="M58" s="22"/>
      <c r="N58" s="23"/>
    </row>
    <row r="59" spans="1:14" ht="15.75" hidden="1" customHeight="1">
      <c r="A59" s="41"/>
      <c r="B59" s="69" t="s">
        <v>128</v>
      </c>
      <c r="C59" s="40"/>
      <c r="D59" s="34"/>
      <c r="E59" s="19"/>
      <c r="F59" s="87"/>
      <c r="G59" s="71"/>
      <c r="H59" s="70"/>
      <c r="I59" s="20"/>
      <c r="J59" s="25"/>
      <c r="L59" s="21"/>
      <c r="M59" s="22"/>
      <c r="N59" s="23"/>
    </row>
    <row r="60" spans="1:14" ht="15.75" hidden="1" customHeight="1">
      <c r="A60" s="41"/>
      <c r="B60" s="93" t="s">
        <v>129</v>
      </c>
      <c r="C60" s="94" t="s">
        <v>87</v>
      </c>
      <c r="D60" s="93" t="s">
        <v>65</v>
      </c>
      <c r="E60" s="95">
        <v>2</v>
      </c>
      <c r="F60" s="96">
        <f>SUM(E60)</f>
        <v>2</v>
      </c>
      <c r="G60" s="102">
        <v>237.75</v>
      </c>
      <c r="H60" s="97">
        <f t="shared" ref="H60" si="7">SUM(F60*G60/1000)</f>
        <v>0.47549999999999998</v>
      </c>
      <c r="I60" s="13">
        <v>0</v>
      </c>
      <c r="J60" s="25"/>
      <c r="L60" s="21"/>
      <c r="M60" s="22"/>
      <c r="N60" s="23"/>
    </row>
    <row r="61" spans="1:14" ht="15.75" hidden="1" customHeight="1">
      <c r="A61" s="41"/>
      <c r="B61" s="77" t="s">
        <v>46</v>
      </c>
      <c r="C61" s="17"/>
      <c r="D61" s="16"/>
      <c r="E61" s="16"/>
      <c r="F61" s="88"/>
      <c r="G61" s="65"/>
      <c r="H61" s="70"/>
      <c r="I61" s="19"/>
      <c r="J61" s="25"/>
      <c r="L61" s="21"/>
      <c r="M61" s="22"/>
      <c r="N61" s="23"/>
    </row>
    <row r="62" spans="1:14" ht="15.75" hidden="1" customHeight="1">
      <c r="A62" s="41">
        <v>23</v>
      </c>
      <c r="B62" s="15" t="s">
        <v>47</v>
      </c>
      <c r="C62" s="17" t="s">
        <v>87</v>
      </c>
      <c r="D62" s="93" t="s">
        <v>65</v>
      </c>
      <c r="E62" s="19">
        <v>10</v>
      </c>
      <c r="F62" s="96">
        <v>10</v>
      </c>
      <c r="G62" s="13">
        <v>222.4</v>
      </c>
      <c r="H62" s="103">
        <f t="shared" ref="H62:H69" si="8">SUM(F62*G62/1000)</f>
        <v>2.2240000000000002</v>
      </c>
      <c r="I62" s="13">
        <v>0</v>
      </c>
      <c r="J62" s="25"/>
      <c r="L62" s="21"/>
      <c r="M62" s="22"/>
      <c r="N62" s="23"/>
    </row>
    <row r="63" spans="1:14" ht="15.75" hidden="1" customHeight="1">
      <c r="A63" s="31">
        <v>29</v>
      </c>
      <c r="B63" s="15" t="s">
        <v>48</v>
      </c>
      <c r="C63" s="17" t="s">
        <v>87</v>
      </c>
      <c r="D63" s="93" t="s">
        <v>65</v>
      </c>
      <c r="E63" s="19">
        <v>5</v>
      </c>
      <c r="F63" s="96">
        <v>5</v>
      </c>
      <c r="G63" s="13">
        <v>75.25</v>
      </c>
      <c r="H63" s="103">
        <f t="shared" si="8"/>
        <v>0.37624999999999997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8</v>
      </c>
      <c r="B64" s="15" t="s">
        <v>49</v>
      </c>
      <c r="C64" s="17" t="s">
        <v>113</v>
      </c>
      <c r="D64" s="15" t="s">
        <v>54</v>
      </c>
      <c r="E64" s="95">
        <v>13018</v>
      </c>
      <c r="F64" s="13">
        <f>SUM(E64/100)</f>
        <v>130.18</v>
      </c>
      <c r="G64" s="13">
        <v>212.15</v>
      </c>
      <c r="H64" s="103">
        <f t="shared" si="8"/>
        <v>27.617687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9</v>
      </c>
      <c r="B65" s="15" t="s">
        <v>50</v>
      </c>
      <c r="C65" s="17" t="s">
        <v>114</v>
      </c>
      <c r="D65" s="15"/>
      <c r="E65" s="95">
        <v>13018</v>
      </c>
      <c r="F65" s="13">
        <f>SUM(E65/1000)</f>
        <v>13.018000000000001</v>
      </c>
      <c r="G65" s="13">
        <v>165.21</v>
      </c>
      <c r="H65" s="103">
        <f t="shared" si="8"/>
        <v>2.1507037800000002</v>
      </c>
      <c r="I65" s="13">
        <v>0</v>
      </c>
      <c r="J65" s="25"/>
      <c r="L65" s="21"/>
      <c r="M65" s="22"/>
      <c r="N65" s="23"/>
    </row>
    <row r="66" spans="1:14" ht="15.75" hidden="1" customHeight="1">
      <c r="A66" s="31">
        <v>10</v>
      </c>
      <c r="B66" s="15" t="s">
        <v>51</v>
      </c>
      <c r="C66" s="17" t="s">
        <v>76</v>
      </c>
      <c r="D66" s="15" t="s">
        <v>54</v>
      </c>
      <c r="E66" s="95">
        <v>1279</v>
      </c>
      <c r="F66" s="13">
        <f>SUM(E66/100)</f>
        <v>12.79</v>
      </c>
      <c r="G66" s="13">
        <v>2074.63</v>
      </c>
      <c r="H66" s="103">
        <f t="shared" si="8"/>
        <v>26.534517700000002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11</v>
      </c>
      <c r="B67" s="104" t="s">
        <v>115</v>
      </c>
      <c r="C67" s="17" t="s">
        <v>32</v>
      </c>
      <c r="D67" s="15"/>
      <c r="E67" s="95">
        <v>12</v>
      </c>
      <c r="F67" s="13">
        <f>SUM(E67)</f>
        <v>12</v>
      </c>
      <c r="G67" s="13">
        <v>45.32</v>
      </c>
      <c r="H67" s="103">
        <f t="shared" si="8"/>
        <v>0.54383999999999999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12</v>
      </c>
      <c r="B68" s="104" t="s">
        <v>116</v>
      </c>
      <c r="C68" s="17" t="s">
        <v>32</v>
      </c>
      <c r="D68" s="15"/>
      <c r="E68" s="95">
        <v>12</v>
      </c>
      <c r="F68" s="13">
        <f>SUM(E68)</f>
        <v>12</v>
      </c>
      <c r="G68" s="13">
        <v>42.28</v>
      </c>
      <c r="H68" s="103">
        <f t="shared" si="8"/>
        <v>0.50736000000000003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13</v>
      </c>
      <c r="B69" s="15" t="s">
        <v>57</v>
      </c>
      <c r="C69" s="17" t="s">
        <v>58</v>
      </c>
      <c r="D69" s="15" t="s">
        <v>54</v>
      </c>
      <c r="E69" s="19">
        <v>1</v>
      </c>
      <c r="F69" s="96">
        <f>SUM(E69)</f>
        <v>1</v>
      </c>
      <c r="G69" s="13">
        <v>49.88</v>
      </c>
      <c r="H69" s="103">
        <f t="shared" si="8"/>
        <v>4.9880000000000001E-2</v>
      </c>
      <c r="I69" s="13">
        <v>0</v>
      </c>
      <c r="J69" s="25"/>
      <c r="L69" s="21"/>
      <c r="M69" s="22"/>
      <c r="N69" s="23"/>
    </row>
    <row r="70" spans="1:14" ht="15.75" hidden="1" customHeight="1">
      <c r="A70" s="53"/>
      <c r="B70" s="77" t="s">
        <v>117</v>
      </c>
      <c r="C70" s="77"/>
      <c r="D70" s="77"/>
      <c r="E70" s="77"/>
      <c r="F70" s="77"/>
      <c r="G70" s="77"/>
      <c r="H70" s="77"/>
      <c r="I70" s="19"/>
      <c r="J70" s="25"/>
      <c r="L70" s="21"/>
      <c r="M70" s="22"/>
      <c r="N70" s="23"/>
    </row>
    <row r="71" spans="1:14" ht="15.75" hidden="1" customHeight="1">
      <c r="A71" s="31">
        <v>16</v>
      </c>
      <c r="B71" s="93" t="s">
        <v>118</v>
      </c>
      <c r="C71" s="17"/>
      <c r="D71" s="15"/>
      <c r="E71" s="87"/>
      <c r="F71" s="13">
        <v>1</v>
      </c>
      <c r="G71" s="13">
        <v>10041.700000000001</v>
      </c>
      <c r="H71" s="103">
        <f>G71*F71/1000</f>
        <v>10.041700000000001</v>
      </c>
      <c r="I71" s="13">
        <f>G71</f>
        <v>10041.700000000001</v>
      </c>
      <c r="J71" s="25"/>
      <c r="L71" s="21"/>
      <c r="M71" s="22"/>
      <c r="N71" s="23"/>
    </row>
    <row r="72" spans="1:14" ht="15.75" hidden="1" customHeight="1">
      <c r="A72" s="31"/>
      <c r="B72" s="49" t="s">
        <v>72</v>
      </c>
      <c r="C72" s="49"/>
      <c r="D72" s="49"/>
      <c r="E72" s="19"/>
      <c r="F72" s="19"/>
      <c r="G72" s="31"/>
      <c r="H72" s="31"/>
      <c r="I72" s="19"/>
      <c r="J72" s="25"/>
      <c r="L72" s="21"/>
      <c r="M72" s="22"/>
      <c r="N72" s="23"/>
    </row>
    <row r="73" spans="1:14" ht="15.75" hidden="1" customHeight="1">
      <c r="A73" s="31">
        <v>19</v>
      </c>
      <c r="B73" s="15" t="s">
        <v>73</v>
      </c>
      <c r="C73" s="17" t="s">
        <v>74</v>
      </c>
      <c r="D73" s="15" t="s">
        <v>65</v>
      </c>
      <c r="E73" s="19">
        <v>5</v>
      </c>
      <c r="F73" s="13">
        <v>0.5</v>
      </c>
      <c r="G73" s="13">
        <v>501.62</v>
      </c>
      <c r="H73" s="103">
        <f t="shared" ref="H73:H75" si="9">SUM(F73*G73/1000)</f>
        <v>0.25080999999999998</v>
      </c>
      <c r="I73" s="13">
        <f>G73*0.1</f>
        <v>50.162000000000006</v>
      </c>
      <c r="J73" s="25"/>
      <c r="L73" s="21"/>
      <c r="M73" s="22"/>
      <c r="N73" s="23"/>
    </row>
    <row r="74" spans="1:14" ht="15.75" hidden="1" customHeight="1">
      <c r="A74" s="31"/>
      <c r="B74" s="15" t="s">
        <v>130</v>
      </c>
      <c r="C74" s="17" t="s">
        <v>87</v>
      </c>
      <c r="D74" s="15"/>
      <c r="E74" s="19">
        <v>1</v>
      </c>
      <c r="F74" s="86">
        <f>E74</f>
        <v>1</v>
      </c>
      <c r="G74" s="13">
        <v>852.99</v>
      </c>
      <c r="H74" s="103">
        <f t="shared" si="9"/>
        <v>0.85299000000000003</v>
      </c>
      <c r="I74" s="13">
        <v>0</v>
      </c>
      <c r="J74" s="25"/>
      <c r="L74" s="21"/>
      <c r="M74" s="22"/>
      <c r="N74" s="23"/>
    </row>
    <row r="75" spans="1:14" ht="15.75" hidden="1" customHeight="1">
      <c r="A75" s="31"/>
      <c r="B75" s="15" t="s">
        <v>131</v>
      </c>
      <c r="C75" s="17" t="s">
        <v>87</v>
      </c>
      <c r="D75" s="15"/>
      <c r="E75" s="19">
        <v>1</v>
      </c>
      <c r="F75" s="96">
        <f>SUM(E75)</f>
        <v>1</v>
      </c>
      <c r="G75" s="13">
        <v>358.51</v>
      </c>
      <c r="H75" s="103">
        <f t="shared" si="9"/>
        <v>0.35851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50" t="s">
        <v>75</v>
      </c>
      <c r="C76" s="38"/>
      <c r="D76" s="31"/>
      <c r="E76" s="19"/>
      <c r="F76" s="19"/>
      <c r="G76" s="37" t="s">
        <v>119</v>
      </c>
      <c r="H76" s="37"/>
      <c r="I76" s="19"/>
      <c r="J76" s="25"/>
      <c r="L76" s="21"/>
      <c r="M76" s="22"/>
      <c r="N76" s="23"/>
    </row>
    <row r="77" spans="1:14" ht="15.75" hidden="1" customHeight="1">
      <c r="A77" s="31">
        <v>12</v>
      </c>
      <c r="B77" s="52" t="s">
        <v>120</v>
      </c>
      <c r="C77" s="17" t="s">
        <v>76</v>
      </c>
      <c r="D77" s="15"/>
      <c r="E77" s="19"/>
      <c r="F77" s="13">
        <v>0.3</v>
      </c>
      <c r="G77" s="13">
        <v>2759.44</v>
      </c>
      <c r="H77" s="103">
        <f t="shared" ref="H77" si="10">SUM(F77*G77/1000)</f>
        <v>0.82783200000000001</v>
      </c>
      <c r="I77" s="13">
        <v>0</v>
      </c>
      <c r="J77" s="25"/>
      <c r="L77" s="21"/>
      <c r="M77" s="22"/>
      <c r="N77" s="23"/>
    </row>
    <row r="78" spans="1:14" ht="15.75" customHeight="1">
      <c r="A78" s="31"/>
      <c r="B78" s="132" t="s">
        <v>46</v>
      </c>
      <c r="C78" s="130"/>
      <c r="D78" s="131"/>
      <c r="E78" s="19"/>
      <c r="F78" s="13"/>
      <c r="G78" s="13"/>
      <c r="H78" s="13"/>
      <c r="I78" s="13"/>
      <c r="J78" s="25"/>
      <c r="L78" s="21"/>
      <c r="M78" s="22"/>
      <c r="N78" s="23"/>
    </row>
    <row r="79" spans="1:14" ht="15.75" customHeight="1">
      <c r="A79" s="31">
        <v>14</v>
      </c>
      <c r="B79" s="133" t="s">
        <v>47</v>
      </c>
      <c r="C79" s="38" t="s">
        <v>87</v>
      </c>
      <c r="D79" s="124" t="s">
        <v>188</v>
      </c>
      <c r="E79" s="19"/>
      <c r="F79" s="13"/>
      <c r="G79" s="37">
        <v>222.4</v>
      </c>
      <c r="H79" s="13"/>
      <c r="I79" s="13">
        <f>G79*2</f>
        <v>444.8</v>
      </c>
      <c r="J79" s="25"/>
      <c r="L79" s="21"/>
      <c r="M79" s="22"/>
      <c r="N79" s="23"/>
    </row>
    <row r="80" spans="1:14" ht="15.75" customHeight="1">
      <c r="A80" s="143"/>
      <c r="B80" s="151" t="s">
        <v>215</v>
      </c>
      <c r="C80" s="38"/>
      <c r="D80" s="124"/>
      <c r="E80" s="18"/>
      <c r="F80" s="70"/>
      <c r="G80" s="37"/>
      <c r="H80" s="144"/>
      <c r="I80" s="145"/>
      <c r="J80" s="25"/>
      <c r="L80" s="21"/>
      <c r="M80" s="22"/>
      <c r="N80" s="23"/>
    </row>
    <row r="81" spans="1:22" ht="15.75" customHeight="1">
      <c r="A81" s="143">
        <v>15</v>
      </c>
      <c r="B81" s="124" t="s">
        <v>216</v>
      </c>
      <c r="C81" s="41" t="s">
        <v>217</v>
      </c>
      <c r="D81" s="124"/>
      <c r="E81" s="18">
        <v>2581.1999999999998</v>
      </c>
      <c r="F81" s="37">
        <f>E81*12</f>
        <v>30974.399999999998</v>
      </c>
      <c r="G81" s="37">
        <v>2.4900000000000002</v>
      </c>
      <c r="H81" s="144"/>
      <c r="I81" s="145">
        <f>G81*F81/12</f>
        <v>6427.1879999999992</v>
      </c>
      <c r="J81" s="25"/>
      <c r="L81" s="21"/>
      <c r="M81" s="22"/>
      <c r="N81" s="23"/>
    </row>
    <row r="82" spans="1:22" ht="15.75" customHeight="1">
      <c r="A82" s="159" t="s">
        <v>145</v>
      </c>
      <c r="B82" s="160"/>
      <c r="C82" s="160"/>
      <c r="D82" s="160"/>
      <c r="E82" s="160"/>
      <c r="F82" s="160"/>
      <c r="G82" s="160"/>
      <c r="H82" s="160"/>
      <c r="I82" s="161"/>
      <c r="J82" s="25"/>
      <c r="L82" s="21"/>
      <c r="M82" s="22"/>
      <c r="N82" s="23"/>
    </row>
    <row r="83" spans="1:22" ht="15.75" customHeight="1">
      <c r="A83" s="31">
        <v>16</v>
      </c>
      <c r="B83" s="93" t="s">
        <v>121</v>
      </c>
      <c r="C83" s="17" t="s">
        <v>55</v>
      </c>
      <c r="D83" s="106"/>
      <c r="E83" s="13">
        <v>2581.1999999999998</v>
      </c>
      <c r="F83" s="13">
        <f>SUM(E83*12)</f>
        <v>30974.399999999998</v>
      </c>
      <c r="G83" s="13">
        <v>2.1</v>
      </c>
      <c r="H83" s="103">
        <f>SUM(F83*G83/1000)</f>
        <v>65.046239999999997</v>
      </c>
      <c r="I83" s="13">
        <f>F83/12*G83</f>
        <v>5420.5199999999995</v>
      </c>
      <c r="J83" s="25"/>
      <c r="L83" s="21"/>
    </row>
    <row r="84" spans="1:22" ht="31.5" customHeight="1">
      <c r="A84" s="31">
        <v>17</v>
      </c>
      <c r="B84" s="15" t="s">
        <v>77</v>
      </c>
      <c r="C84" s="17"/>
      <c r="D84" s="106"/>
      <c r="E84" s="95">
        <v>2581.1999999999998</v>
      </c>
      <c r="F84" s="13">
        <f>E84*12</f>
        <v>30974.399999999998</v>
      </c>
      <c r="G84" s="13">
        <v>1.63</v>
      </c>
      <c r="H84" s="103">
        <f>F84*G84/1000</f>
        <v>50.488271999999988</v>
      </c>
      <c r="I84" s="13">
        <f>F84/12*G84</f>
        <v>4207.3559999999998</v>
      </c>
    </row>
    <row r="85" spans="1:22" ht="15.75" customHeight="1">
      <c r="A85" s="53"/>
      <c r="B85" s="39" t="s">
        <v>79</v>
      </c>
      <c r="C85" s="41"/>
      <c r="D85" s="16"/>
      <c r="E85" s="16"/>
      <c r="F85" s="16"/>
      <c r="G85" s="19"/>
      <c r="H85" s="19"/>
      <c r="I85" s="33">
        <f>I84+I83+I79+I58+I55+I41+I40+I39+I38+I37+I27+I21+I20+I18+I17+I16+I81</f>
        <v>39721.371991000007</v>
      </c>
    </row>
    <row r="86" spans="1:22" ht="15.75" customHeight="1">
      <c r="A86" s="162" t="s">
        <v>60</v>
      </c>
      <c r="B86" s="163"/>
      <c r="C86" s="163"/>
      <c r="D86" s="163"/>
      <c r="E86" s="163"/>
      <c r="F86" s="163"/>
      <c r="G86" s="163"/>
      <c r="H86" s="163"/>
      <c r="I86" s="164"/>
    </row>
    <row r="87" spans="1:22" ht="15.75" customHeight="1">
      <c r="A87" s="31">
        <v>18</v>
      </c>
      <c r="B87" s="125" t="s">
        <v>141</v>
      </c>
      <c r="C87" s="41" t="s">
        <v>142</v>
      </c>
      <c r="D87" s="52"/>
      <c r="E87" s="13"/>
      <c r="F87" s="13">
        <v>368</v>
      </c>
      <c r="G87" s="37">
        <v>1730</v>
      </c>
      <c r="H87" s="103" t="e">
        <f>#REF!*#REF!/1000</f>
        <v>#REF!</v>
      </c>
      <c r="I87" s="13">
        <f>G87*1</f>
        <v>1730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9"/>
    </row>
    <row r="88" spans="1:22" ht="35.25" customHeight="1">
      <c r="A88" s="31">
        <v>19</v>
      </c>
      <c r="B88" s="125" t="s">
        <v>158</v>
      </c>
      <c r="C88" s="41" t="s">
        <v>124</v>
      </c>
      <c r="D88" s="52"/>
      <c r="E88" s="13"/>
      <c r="F88" s="13">
        <v>8</v>
      </c>
      <c r="G88" s="37">
        <v>45187.4</v>
      </c>
      <c r="H88" s="103">
        <f t="shared" ref="H88" si="11">G88*F88/1000</f>
        <v>361.49920000000003</v>
      </c>
      <c r="I88" s="13">
        <f>G88*0.003</f>
        <v>135.56220000000002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15.75" customHeight="1">
      <c r="A89" s="31">
        <v>20</v>
      </c>
      <c r="B89" s="122" t="s">
        <v>177</v>
      </c>
      <c r="C89" s="123" t="s">
        <v>80</v>
      </c>
      <c r="D89" s="52"/>
      <c r="E89" s="13"/>
      <c r="F89" s="13">
        <v>3.5</v>
      </c>
      <c r="G89" s="37">
        <v>632.87</v>
      </c>
      <c r="H89" s="103">
        <f>G89*F89/1000</f>
        <v>2.2150449999999999</v>
      </c>
      <c r="I89" s="13">
        <f>G89*1</f>
        <v>632.87</v>
      </c>
      <c r="J89" s="27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2" ht="15.75" customHeight="1">
      <c r="A90" s="31">
        <v>21</v>
      </c>
      <c r="B90" s="122" t="s">
        <v>165</v>
      </c>
      <c r="C90" s="123" t="s">
        <v>83</v>
      </c>
      <c r="D90" s="52"/>
      <c r="E90" s="13"/>
      <c r="F90" s="13">
        <v>1</v>
      </c>
      <c r="G90" s="37">
        <v>214.07</v>
      </c>
      <c r="H90" s="103">
        <f>G90*F90/1000</f>
        <v>0.21406999999999998</v>
      </c>
      <c r="I90" s="13">
        <f>G90*1</f>
        <v>214.07</v>
      </c>
      <c r="J90" s="27"/>
      <c r="K90" s="27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2" ht="34.5" customHeight="1">
      <c r="A91" s="31">
        <v>22</v>
      </c>
      <c r="B91" s="122" t="s">
        <v>178</v>
      </c>
      <c r="C91" s="123" t="s">
        <v>157</v>
      </c>
      <c r="D91" s="52"/>
      <c r="E91" s="13"/>
      <c r="F91" s="13"/>
      <c r="G91" s="37">
        <v>26095.37</v>
      </c>
      <c r="H91" s="103"/>
      <c r="I91" s="13">
        <f>G91*0.01</f>
        <v>260.95369999999997</v>
      </c>
      <c r="J91" s="27"/>
      <c r="K91" s="27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2" ht="15.75" customHeight="1">
      <c r="A92" s="31">
        <v>23</v>
      </c>
      <c r="B92" s="122" t="s">
        <v>95</v>
      </c>
      <c r="C92" s="123" t="s">
        <v>87</v>
      </c>
      <c r="D92" s="52"/>
      <c r="E92" s="13"/>
      <c r="F92" s="13"/>
      <c r="G92" s="37">
        <v>58.39</v>
      </c>
      <c r="H92" s="103"/>
      <c r="I92" s="13">
        <f>G92*1</f>
        <v>58.39</v>
      </c>
      <c r="J92" s="27"/>
      <c r="K92" s="27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2" ht="15.75" customHeight="1">
      <c r="A93" s="31"/>
      <c r="B93" s="46" t="s">
        <v>52</v>
      </c>
      <c r="C93" s="42"/>
      <c r="D93" s="54"/>
      <c r="E93" s="42">
        <v>1</v>
      </c>
      <c r="F93" s="42"/>
      <c r="G93" s="42"/>
      <c r="H93" s="42"/>
      <c r="I93" s="33">
        <f>SUM(I87:I92)</f>
        <v>3031.8459000000003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1:22" ht="15.75" customHeight="1">
      <c r="A94" s="31"/>
      <c r="B94" s="52" t="s">
        <v>78</v>
      </c>
      <c r="C94" s="16"/>
      <c r="D94" s="16"/>
      <c r="E94" s="43"/>
      <c r="F94" s="43"/>
      <c r="G94" s="44"/>
      <c r="H94" s="44"/>
      <c r="I94" s="18">
        <v>0</v>
      </c>
    </row>
    <row r="95" spans="1:22" ht="15.75" customHeight="1">
      <c r="A95" s="55"/>
      <c r="B95" s="47" t="s">
        <v>138</v>
      </c>
      <c r="C95" s="36"/>
      <c r="D95" s="36"/>
      <c r="E95" s="36"/>
      <c r="F95" s="36"/>
      <c r="G95" s="36"/>
      <c r="H95" s="36"/>
      <c r="I95" s="45">
        <f>I85+I93</f>
        <v>42753.217891000008</v>
      </c>
    </row>
    <row r="96" spans="1:22" ht="15.75" customHeight="1">
      <c r="A96" s="158" t="s">
        <v>224</v>
      </c>
      <c r="B96" s="158"/>
      <c r="C96" s="158"/>
      <c r="D96" s="158"/>
      <c r="E96" s="158"/>
      <c r="F96" s="158"/>
      <c r="G96" s="158"/>
      <c r="H96" s="158"/>
      <c r="I96" s="158"/>
    </row>
    <row r="97" spans="1:9" ht="15.75" customHeight="1">
      <c r="A97" s="79"/>
      <c r="B97" s="171" t="s">
        <v>225</v>
      </c>
      <c r="C97" s="171"/>
      <c r="D97" s="171"/>
      <c r="E97" s="171"/>
      <c r="F97" s="171"/>
      <c r="G97" s="171"/>
      <c r="H97" s="91"/>
      <c r="I97" s="3"/>
    </row>
    <row r="98" spans="1:9" ht="15.75" customHeight="1">
      <c r="A98" s="72"/>
      <c r="B98" s="172" t="s">
        <v>6</v>
      </c>
      <c r="C98" s="172"/>
      <c r="D98" s="172"/>
      <c r="E98" s="172"/>
      <c r="F98" s="172"/>
      <c r="G98" s="172"/>
      <c r="H98" s="26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73" t="s">
        <v>7</v>
      </c>
      <c r="B100" s="173"/>
      <c r="C100" s="173"/>
      <c r="D100" s="173"/>
      <c r="E100" s="173"/>
      <c r="F100" s="173"/>
      <c r="G100" s="173"/>
      <c r="H100" s="173"/>
      <c r="I100" s="173"/>
    </row>
    <row r="101" spans="1:9" ht="15.75" customHeight="1">
      <c r="A101" s="173" t="s">
        <v>8</v>
      </c>
      <c r="B101" s="173"/>
      <c r="C101" s="173"/>
      <c r="D101" s="173"/>
      <c r="E101" s="173"/>
      <c r="F101" s="173"/>
      <c r="G101" s="173"/>
      <c r="H101" s="173"/>
      <c r="I101" s="173"/>
    </row>
    <row r="102" spans="1:9" ht="15.75" customHeight="1">
      <c r="A102" s="176" t="s">
        <v>61</v>
      </c>
      <c r="B102" s="176"/>
      <c r="C102" s="176"/>
      <c r="D102" s="176"/>
      <c r="E102" s="176"/>
      <c r="F102" s="176"/>
      <c r="G102" s="176"/>
      <c r="H102" s="176"/>
      <c r="I102" s="176"/>
    </row>
    <row r="103" spans="1:9" ht="15.75" customHeight="1">
      <c r="A103" s="11"/>
    </row>
    <row r="104" spans="1:9" ht="15.75" customHeight="1">
      <c r="A104" s="177" t="s">
        <v>9</v>
      </c>
      <c r="B104" s="177"/>
      <c r="C104" s="177"/>
      <c r="D104" s="177"/>
      <c r="E104" s="177"/>
      <c r="F104" s="177"/>
      <c r="G104" s="177"/>
      <c r="H104" s="177"/>
      <c r="I104" s="177"/>
    </row>
    <row r="105" spans="1:9" ht="15.75" customHeight="1">
      <c r="A105" s="4"/>
    </row>
    <row r="106" spans="1:9" ht="15.75" customHeight="1">
      <c r="B106" s="75" t="s">
        <v>10</v>
      </c>
      <c r="C106" s="178" t="s">
        <v>86</v>
      </c>
      <c r="D106" s="178"/>
      <c r="E106" s="178"/>
      <c r="F106" s="89"/>
      <c r="I106" s="74"/>
    </row>
    <row r="107" spans="1:9" ht="15.75" customHeight="1">
      <c r="A107" s="72"/>
      <c r="C107" s="172" t="s">
        <v>11</v>
      </c>
      <c r="D107" s="172"/>
      <c r="E107" s="172"/>
      <c r="F107" s="26"/>
      <c r="I107" s="73" t="s">
        <v>12</v>
      </c>
    </row>
    <row r="108" spans="1:9" ht="15.75" customHeight="1">
      <c r="A108" s="27"/>
      <c r="C108" s="12"/>
      <c r="D108" s="12"/>
      <c r="G108" s="12"/>
      <c r="H108" s="12"/>
    </row>
    <row r="109" spans="1:9" ht="15.75" customHeight="1">
      <c r="B109" s="75" t="s">
        <v>13</v>
      </c>
      <c r="C109" s="179"/>
      <c r="D109" s="179"/>
      <c r="E109" s="179"/>
      <c r="F109" s="90"/>
      <c r="I109" s="74"/>
    </row>
    <row r="110" spans="1:9" ht="15.75" customHeight="1">
      <c r="A110" s="72"/>
      <c r="C110" s="175" t="s">
        <v>11</v>
      </c>
      <c r="D110" s="175"/>
      <c r="E110" s="175"/>
      <c r="F110" s="72"/>
      <c r="I110" s="73" t="s">
        <v>12</v>
      </c>
    </row>
    <row r="111" spans="1:9" ht="15.75" customHeight="1">
      <c r="A111" s="4" t="s">
        <v>14</v>
      </c>
    </row>
    <row r="112" spans="1:9">
      <c r="A112" s="174" t="s">
        <v>15</v>
      </c>
      <c r="B112" s="174"/>
      <c r="C112" s="174"/>
      <c r="D112" s="174"/>
      <c r="E112" s="174"/>
      <c r="F112" s="174"/>
      <c r="G112" s="174"/>
      <c r="H112" s="174"/>
      <c r="I112" s="174"/>
    </row>
    <row r="113" spans="1:9" ht="45" customHeight="1">
      <c r="A113" s="170" t="s">
        <v>16</v>
      </c>
      <c r="B113" s="170"/>
      <c r="C113" s="170"/>
      <c r="D113" s="170"/>
      <c r="E113" s="170"/>
      <c r="F113" s="170"/>
      <c r="G113" s="170"/>
      <c r="H113" s="170"/>
      <c r="I113" s="170"/>
    </row>
    <row r="114" spans="1:9" ht="30" customHeight="1">
      <c r="A114" s="170" t="s">
        <v>17</v>
      </c>
      <c r="B114" s="170"/>
      <c r="C114" s="170"/>
      <c r="D114" s="170"/>
      <c r="E114" s="170"/>
      <c r="F114" s="170"/>
      <c r="G114" s="170"/>
      <c r="H114" s="170"/>
      <c r="I114" s="170"/>
    </row>
    <row r="115" spans="1:9" ht="30" customHeight="1">
      <c r="A115" s="170" t="s">
        <v>21</v>
      </c>
      <c r="B115" s="170"/>
      <c r="C115" s="170"/>
      <c r="D115" s="170"/>
      <c r="E115" s="170"/>
      <c r="F115" s="170"/>
      <c r="G115" s="170"/>
      <c r="H115" s="170"/>
      <c r="I115" s="170"/>
    </row>
    <row r="116" spans="1:9" ht="15" customHeight="1">
      <c r="A116" s="170" t="s">
        <v>20</v>
      </c>
      <c r="B116" s="170"/>
      <c r="C116" s="170"/>
      <c r="D116" s="170"/>
      <c r="E116" s="170"/>
      <c r="F116" s="170"/>
      <c r="G116" s="170"/>
      <c r="H116" s="170"/>
      <c r="I116" s="170"/>
    </row>
  </sheetData>
  <autoFilter ref="I12:I85"/>
  <mergeCells count="28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102:I102"/>
    <mergeCell ref="A15:I15"/>
    <mergeCell ref="A28:I28"/>
    <mergeCell ref="A42:I42"/>
    <mergeCell ref="A53:I53"/>
    <mergeCell ref="A82:I82"/>
    <mergeCell ref="A86:I86"/>
    <mergeCell ref="A96:I96"/>
    <mergeCell ref="B97:G97"/>
    <mergeCell ref="B98:G98"/>
    <mergeCell ref="A100:I100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10" max="8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1"/>
  <sheetViews>
    <sheetView view="pageBreakPreview" zoomScale="60" workbookViewId="0">
      <selection activeCell="B77" sqref="B77:I7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5" t="s">
        <v>146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122</v>
      </c>
      <c r="B4" s="166"/>
      <c r="C4" s="166"/>
      <c r="D4" s="166"/>
      <c r="E4" s="166"/>
      <c r="F4" s="166"/>
      <c r="G4" s="166"/>
      <c r="H4" s="166"/>
      <c r="I4" s="166"/>
    </row>
    <row r="5" spans="1:13" ht="15.75" customHeight="1">
      <c r="A5" s="165" t="s">
        <v>179</v>
      </c>
      <c r="B5" s="169"/>
      <c r="C5" s="169"/>
      <c r="D5" s="169"/>
      <c r="E5" s="169"/>
      <c r="F5" s="169"/>
      <c r="G5" s="169"/>
      <c r="H5" s="169"/>
      <c r="I5" s="169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2">
        <v>43616</v>
      </c>
      <c r="J6" s="2"/>
      <c r="K6" s="2"/>
      <c r="L6" s="2"/>
      <c r="M6" s="2"/>
    </row>
    <row r="7" spans="1:13" ht="15.75" customHeight="1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7" t="s">
        <v>160</v>
      </c>
      <c r="B8" s="167"/>
      <c r="C8" s="167"/>
      <c r="D8" s="167"/>
      <c r="E8" s="167"/>
      <c r="F8" s="167"/>
      <c r="G8" s="167"/>
      <c r="H8" s="167"/>
      <c r="I8" s="167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8" t="s">
        <v>152</v>
      </c>
      <c r="B10" s="168"/>
      <c r="C10" s="168"/>
      <c r="D10" s="168"/>
      <c r="E10" s="168"/>
      <c r="F10" s="168"/>
      <c r="G10" s="168"/>
      <c r="H10" s="168"/>
      <c r="I10" s="16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59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1">
        <v>1</v>
      </c>
      <c r="B16" s="93" t="s">
        <v>85</v>
      </c>
      <c r="C16" s="94" t="s">
        <v>90</v>
      </c>
      <c r="D16" s="93" t="s">
        <v>186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6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99</v>
      </c>
      <c r="C17" s="94" t="s">
        <v>90</v>
      </c>
      <c r="D17" s="93" t="s">
        <v>187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100</v>
      </c>
      <c r="C18" s="94" t="s">
        <v>90</v>
      </c>
      <c r="D18" s="93" t="s">
        <v>188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customHeight="1">
      <c r="A19" s="31">
        <v>4</v>
      </c>
      <c r="B19" s="93" t="s">
        <v>123</v>
      </c>
      <c r="C19" s="94" t="s">
        <v>124</v>
      </c>
      <c r="D19" s="93" t="s">
        <v>197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F19*G19</f>
        <v>314.45568000000003</v>
      </c>
      <c r="J19" s="8"/>
      <c r="K19" s="8"/>
      <c r="L19" s="8"/>
      <c r="M19" s="8"/>
    </row>
    <row r="20" spans="1:13" ht="15.75" customHeight="1">
      <c r="A20" s="31">
        <v>5</v>
      </c>
      <c r="B20" s="93" t="s">
        <v>89</v>
      </c>
      <c r="C20" s="94" t="s">
        <v>90</v>
      </c>
      <c r="D20" s="93" t="s">
        <v>190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6</v>
      </c>
      <c r="B21" s="93" t="s">
        <v>97</v>
      </c>
      <c r="C21" s="94" t="s">
        <v>90</v>
      </c>
      <c r="D21" s="93" t="s">
        <v>189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customHeight="1">
      <c r="A22" s="31">
        <v>7</v>
      </c>
      <c r="B22" s="93" t="s">
        <v>91</v>
      </c>
      <c r="C22" s="94" t="s">
        <v>53</v>
      </c>
      <c r="D22" s="93" t="s">
        <v>198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customHeight="1">
      <c r="A23" s="31">
        <v>8</v>
      </c>
      <c r="B23" s="93" t="s">
        <v>92</v>
      </c>
      <c r="C23" s="94" t="s">
        <v>53</v>
      </c>
      <c r="D23" s="93" t="s">
        <v>199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customHeight="1">
      <c r="A24" s="31">
        <v>9</v>
      </c>
      <c r="B24" s="93" t="s">
        <v>93</v>
      </c>
      <c r="C24" s="94" t="s">
        <v>53</v>
      </c>
      <c r="D24" s="93" t="s">
        <v>198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customHeight="1">
      <c r="A25" s="31">
        <v>10</v>
      </c>
      <c r="B25" s="93" t="s">
        <v>98</v>
      </c>
      <c r="C25" s="94" t="s">
        <v>90</v>
      </c>
      <c r="D25" s="93" t="s">
        <v>190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customHeight="1">
      <c r="A26" s="31">
        <v>11</v>
      </c>
      <c r="B26" s="93" t="s">
        <v>94</v>
      </c>
      <c r="C26" s="94" t="s">
        <v>53</v>
      </c>
      <c r="D26" s="93" t="s">
        <v>198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12</v>
      </c>
      <c r="B27" s="34" t="s">
        <v>185</v>
      </c>
      <c r="C27" s="40" t="s">
        <v>25</v>
      </c>
      <c r="D27" s="34" t="s">
        <v>191</v>
      </c>
      <c r="E27" s="140">
        <v>4.83</v>
      </c>
      <c r="F27" s="127">
        <f>SUM(E27*258)</f>
        <v>1246.1400000000001</v>
      </c>
      <c r="G27" s="127">
        <v>10.39</v>
      </c>
      <c r="H27" s="97">
        <f t="shared" ref="H27" si="2">SUM(F27*G27/1000)</f>
        <v>12.947394600000001</v>
      </c>
      <c r="I27" s="13">
        <f>F27/12*G27</f>
        <v>1078.9495500000003</v>
      </c>
      <c r="J27" s="8"/>
      <c r="K27" s="8"/>
      <c r="L27" s="8"/>
      <c r="M27" s="8"/>
    </row>
    <row r="28" spans="1:13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13</v>
      </c>
      <c r="B30" s="93" t="s">
        <v>101</v>
      </c>
      <c r="C30" s="94" t="s">
        <v>102</v>
      </c>
      <c r="D30" s="93" t="s">
        <v>187</v>
      </c>
      <c r="E30" s="96">
        <v>1167.4000000000001</v>
      </c>
      <c r="F30" s="96">
        <f>SUM(E30*52/1000)</f>
        <v>60.704800000000006</v>
      </c>
      <c r="G30" s="96">
        <v>155.88999999999999</v>
      </c>
      <c r="H30" s="97">
        <f t="shared" ref="H30:H32" si="3">SUM(F30*G30/1000)</f>
        <v>9.4632712720000001</v>
      </c>
      <c r="I30" s="13">
        <f>F30/6*G30</f>
        <v>1577.2118786666665</v>
      </c>
      <c r="J30" s="24"/>
      <c r="K30" s="8"/>
      <c r="L30" s="8"/>
      <c r="M30" s="8"/>
    </row>
    <row r="31" spans="1:13" ht="31.5" customHeight="1">
      <c r="A31" s="41">
        <v>14</v>
      </c>
      <c r="B31" s="93" t="s">
        <v>136</v>
      </c>
      <c r="C31" s="94" t="s">
        <v>102</v>
      </c>
      <c r="D31" s="93" t="s">
        <v>186</v>
      </c>
      <c r="E31" s="96">
        <v>540.04999999999995</v>
      </c>
      <c r="F31" s="96">
        <f>SUM(E31*78/1000)</f>
        <v>42.123899999999992</v>
      </c>
      <c r="G31" s="96">
        <v>258.63</v>
      </c>
      <c r="H31" s="97">
        <f t="shared" si="3"/>
        <v>10.894504256999998</v>
      </c>
      <c r="I31" s="13">
        <f t="shared" ref="I31" si="4">F31/6*G31</f>
        <v>1815.7507094999996</v>
      </c>
      <c r="J31" s="24"/>
      <c r="K31" s="8"/>
      <c r="L31" s="8"/>
      <c r="M31" s="8"/>
    </row>
    <row r="32" spans="1:13" ht="15.75" customHeight="1">
      <c r="A32" s="41">
        <v>15</v>
      </c>
      <c r="B32" s="93" t="s">
        <v>27</v>
      </c>
      <c r="C32" s="94" t="s">
        <v>102</v>
      </c>
      <c r="D32" s="93" t="s">
        <v>189</v>
      </c>
      <c r="E32" s="96">
        <v>1167.4000000000001</v>
      </c>
      <c r="F32" s="96">
        <f>SUM(E32/1000)</f>
        <v>1.1674</v>
      </c>
      <c r="G32" s="96">
        <v>3020.33</v>
      </c>
      <c r="H32" s="97">
        <f t="shared" si="3"/>
        <v>3.5259332420000002</v>
      </c>
      <c r="I32" s="13">
        <f>F32*G32</f>
        <v>3525.9332420000001</v>
      </c>
      <c r="J32" s="24"/>
      <c r="K32" s="8"/>
      <c r="L32" s="8"/>
      <c r="M32" s="8"/>
    </row>
    <row r="33" spans="1:13" ht="15.75" hidden="1" customHeight="1">
      <c r="A33" s="41">
        <v>4</v>
      </c>
      <c r="B33" s="93" t="s">
        <v>64</v>
      </c>
      <c r="C33" s="94" t="s">
        <v>32</v>
      </c>
      <c r="D33" s="93" t="s">
        <v>65</v>
      </c>
      <c r="E33" s="95"/>
      <c r="F33" s="96">
        <v>3</v>
      </c>
      <c r="G33" s="96">
        <v>191.32</v>
      </c>
      <c r="H33" s="97">
        <f t="shared" ref="H33" si="5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3" t="s">
        <v>26</v>
      </c>
      <c r="C35" s="94" t="s">
        <v>31</v>
      </c>
      <c r="D35" s="93"/>
      <c r="E35" s="95"/>
      <c r="F35" s="96">
        <v>6</v>
      </c>
      <c r="G35" s="96">
        <v>1527.2</v>
      </c>
      <c r="H35" s="97">
        <f t="shared" ref="H35:H40" si="6">SUM(F35*G35/1000)</f>
        <v>9.1632000000000016</v>
      </c>
      <c r="I35" s="13">
        <f t="shared" ref="I35:I40" si="7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3" t="s">
        <v>66</v>
      </c>
      <c r="C36" s="94" t="s">
        <v>29</v>
      </c>
      <c r="D36" s="93" t="s">
        <v>127</v>
      </c>
      <c r="E36" s="96">
        <v>1080.0999999999999</v>
      </c>
      <c r="F36" s="96">
        <f>SUM(E36*30/1000)</f>
        <v>32.402999999999999</v>
      </c>
      <c r="G36" s="96">
        <v>2102.6999999999998</v>
      </c>
      <c r="H36" s="97">
        <f t="shared" si="6"/>
        <v>68.13378809999999</v>
      </c>
      <c r="I36" s="13">
        <f t="shared" si="7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3" t="s">
        <v>67</v>
      </c>
      <c r="C37" s="94" t="s">
        <v>29</v>
      </c>
      <c r="D37" s="93" t="s">
        <v>106</v>
      </c>
      <c r="E37" s="96">
        <v>45</v>
      </c>
      <c r="F37" s="96">
        <f>SUM(E37*155/1000)</f>
        <v>6.9749999999999996</v>
      </c>
      <c r="G37" s="96">
        <v>350.75</v>
      </c>
      <c r="H37" s="97">
        <f t="shared" si="6"/>
        <v>2.4464812499999997</v>
      </c>
      <c r="I37" s="13">
        <f t="shared" si="7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3" t="s">
        <v>82</v>
      </c>
      <c r="C38" s="94" t="s">
        <v>102</v>
      </c>
      <c r="D38" s="93" t="s">
        <v>68</v>
      </c>
      <c r="E38" s="96">
        <v>45</v>
      </c>
      <c r="F38" s="96">
        <f>SUM(E38*70/1000)</f>
        <v>3.15</v>
      </c>
      <c r="G38" s="96">
        <v>5803.28</v>
      </c>
      <c r="H38" s="97">
        <f t="shared" si="6"/>
        <v>18.280331999999998</v>
      </c>
      <c r="I38" s="13">
        <f t="shared" si="7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3" t="s">
        <v>107</v>
      </c>
      <c r="C39" s="94" t="s">
        <v>102</v>
      </c>
      <c r="D39" s="93" t="s">
        <v>69</v>
      </c>
      <c r="E39" s="96">
        <v>45</v>
      </c>
      <c r="F39" s="96">
        <f>SUM(E39*45/1000)</f>
        <v>2.0249999999999999</v>
      </c>
      <c r="G39" s="96">
        <v>428.7</v>
      </c>
      <c r="H39" s="97">
        <f t="shared" si="6"/>
        <v>0.86811749999999999</v>
      </c>
      <c r="I39" s="13">
        <f t="shared" si="7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3" t="s">
        <v>70</v>
      </c>
      <c r="C40" s="94" t="s">
        <v>32</v>
      </c>
      <c r="D40" s="93"/>
      <c r="E40" s="95"/>
      <c r="F40" s="96">
        <v>0.6</v>
      </c>
      <c r="G40" s="96">
        <v>798</v>
      </c>
      <c r="H40" s="97">
        <f t="shared" si="6"/>
        <v>0.47879999999999995</v>
      </c>
      <c r="I40" s="13">
        <f t="shared" si="7"/>
        <v>79.8</v>
      </c>
      <c r="J40" s="24"/>
      <c r="K40" s="8"/>
      <c r="L40" s="8"/>
      <c r="M40" s="8"/>
    </row>
    <row r="41" spans="1:13" ht="15.75" customHeight="1">
      <c r="A41" s="155" t="s">
        <v>133</v>
      </c>
      <c r="B41" s="156"/>
      <c r="C41" s="156"/>
      <c r="D41" s="156"/>
      <c r="E41" s="156"/>
      <c r="F41" s="156"/>
      <c r="G41" s="156"/>
      <c r="H41" s="156"/>
      <c r="I41" s="157"/>
      <c r="J41" s="24"/>
      <c r="K41" s="8"/>
      <c r="L41" s="8"/>
      <c r="M41" s="8"/>
    </row>
    <row r="42" spans="1:13" ht="15.75" customHeight="1">
      <c r="A42" s="41">
        <v>16</v>
      </c>
      <c r="B42" s="93" t="s">
        <v>108</v>
      </c>
      <c r="C42" s="94" t="s">
        <v>102</v>
      </c>
      <c r="D42" s="93" t="s">
        <v>190</v>
      </c>
      <c r="E42" s="95">
        <v>965.8</v>
      </c>
      <c r="F42" s="96">
        <f>SUM(E42*2/1000)</f>
        <v>1.9316</v>
      </c>
      <c r="G42" s="13">
        <v>849.49</v>
      </c>
      <c r="H42" s="97">
        <f t="shared" ref="H42:H51" si="8">SUM(F42*G42/1000)</f>
        <v>1.640874884</v>
      </c>
      <c r="I42" s="13">
        <f t="shared" ref="I42:I45" si="9">F42/2*G42</f>
        <v>820.43744200000003</v>
      </c>
      <c r="J42" s="24"/>
      <c r="K42" s="8"/>
    </row>
    <row r="43" spans="1:13" ht="15.75" customHeight="1">
      <c r="A43" s="41">
        <v>17</v>
      </c>
      <c r="B43" s="93" t="s">
        <v>35</v>
      </c>
      <c r="C43" s="94" t="s">
        <v>102</v>
      </c>
      <c r="D43" s="93" t="s">
        <v>190</v>
      </c>
      <c r="E43" s="95">
        <v>36</v>
      </c>
      <c r="F43" s="96">
        <f>SUM(E43*2/1000)</f>
        <v>7.1999999999999995E-2</v>
      </c>
      <c r="G43" s="13">
        <v>579.48</v>
      </c>
      <c r="H43" s="97">
        <f t="shared" si="8"/>
        <v>4.1722559999999999E-2</v>
      </c>
      <c r="I43" s="13">
        <f t="shared" si="9"/>
        <v>20.861280000000001</v>
      </c>
      <c r="J43" s="25"/>
    </row>
    <row r="44" spans="1:13" ht="15.75" customHeight="1">
      <c r="A44" s="41">
        <v>18</v>
      </c>
      <c r="B44" s="93" t="s">
        <v>36</v>
      </c>
      <c r="C44" s="94" t="s">
        <v>102</v>
      </c>
      <c r="D44" s="93" t="s">
        <v>190</v>
      </c>
      <c r="E44" s="95">
        <v>1197.7</v>
      </c>
      <c r="F44" s="96">
        <f>SUM(E44*2/1000)</f>
        <v>2.3954</v>
      </c>
      <c r="G44" s="13">
        <v>579.48</v>
      </c>
      <c r="H44" s="97">
        <f t="shared" si="8"/>
        <v>1.3880863919999999</v>
      </c>
      <c r="I44" s="13">
        <f t="shared" si="9"/>
        <v>694.04319599999997</v>
      </c>
      <c r="J44" s="25"/>
    </row>
    <row r="45" spans="1:13" ht="15.75" customHeight="1">
      <c r="A45" s="41">
        <v>19</v>
      </c>
      <c r="B45" s="93" t="s">
        <v>37</v>
      </c>
      <c r="C45" s="94" t="s">
        <v>102</v>
      </c>
      <c r="D45" s="93" t="s">
        <v>190</v>
      </c>
      <c r="E45" s="95">
        <v>2275.92</v>
      </c>
      <c r="F45" s="96">
        <f>SUM(E45*2/1000)</f>
        <v>4.5518400000000003</v>
      </c>
      <c r="G45" s="13">
        <v>606.77</v>
      </c>
      <c r="H45" s="97">
        <f t="shared" si="8"/>
        <v>2.7619199567999999</v>
      </c>
      <c r="I45" s="13">
        <f t="shared" si="9"/>
        <v>1380.9599784</v>
      </c>
      <c r="J45" s="25"/>
    </row>
    <row r="46" spans="1:13" ht="15.75" customHeight="1">
      <c r="A46" s="41">
        <v>20</v>
      </c>
      <c r="B46" s="93" t="s">
        <v>33</v>
      </c>
      <c r="C46" s="94" t="s">
        <v>34</v>
      </c>
      <c r="D46" s="93" t="s">
        <v>190</v>
      </c>
      <c r="E46" s="95">
        <v>81.709999999999994</v>
      </c>
      <c r="F46" s="96">
        <f>SUM(E46*2/100)</f>
        <v>1.6341999999999999</v>
      </c>
      <c r="G46" s="13">
        <v>68.56</v>
      </c>
      <c r="H46" s="97">
        <f t="shared" si="8"/>
        <v>0.11204075199999999</v>
      </c>
      <c r="I46" s="13">
        <f>F46/2*G46</f>
        <v>56.020375999999999</v>
      </c>
      <c r="J46" s="25"/>
    </row>
    <row r="47" spans="1:13" ht="15.75" customHeight="1">
      <c r="A47" s="41">
        <v>21</v>
      </c>
      <c r="B47" s="93" t="s">
        <v>56</v>
      </c>
      <c r="C47" s="94" t="s">
        <v>102</v>
      </c>
      <c r="D47" s="93" t="s">
        <v>190</v>
      </c>
      <c r="E47" s="95">
        <v>1711.8</v>
      </c>
      <c r="F47" s="96">
        <f>SUM(E47*5/1000)</f>
        <v>8.5589999999999993</v>
      </c>
      <c r="G47" s="13">
        <v>1213.55</v>
      </c>
      <c r="H47" s="97">
        <f t="shared" si="8"/>
        <v>10.386774449999999</v>
      </c>
      <c r="I47" s="13">
        <f>F47/5*G47</f>
        <v>2077.3548899999996</v>
      </c>
      <c r="J47" s="25"/>
    </row>
    <row r="48" spans="1:13" ht="33" customHeight="1">
      <c r="A48" s="41">
        <v>22</v>
      </c>
      <c r="B48" s="93" t="s">
        <v>109</v>
      </c>
      <c r="C48" s="94" t="s">
        <v>102</v>
      </c>
      <c r="D48" s="93" t="s">
        <v>190</v>
      </c>
      <c r="E48" s="95">
        <v>1711.8</v>
      </c>
      <c r="F48" s="96">
        <f>SUM(E48*2/1000)</f>
        <v>3.4236</v>
      </c>
      <c r="G48" s="13">
        <v>1213.55</v>
      </c>
      <c r="H48" s="97">
        <f t="shared" si="8"/>
        <v>4.1547097800000001</v>
      </c>
      <c r="I48" s="13">
        <f>F48/2*G48</f>
        <v>2077.3548900000001</v>
      </c>
      <c r="J48" s="25"/>
    </row>
    <row r="49" spans="1:14" ht="30" customHeight="1">
      <c r="A49" s="41">
        <v>23</v>
      </c>
      <c r="B49" s="93" t="s">
        <v>110</v>
      </c>
      <c r="C49" s="94" t="s">
        <v>38</v>
      </c>
      <c r="D49" s="93" t="s">
        <v>190</v>
      </c>
      <c r="E49" s="95">
        <v>15</v>
      </c>
      <c r="F49" s="96">
        <f>SUM(E49*2/100)</f>
        <v>0.3</v>
      </c>
      <c r="G49" s="13">
        <v>2730.49</v>
      </c>
      <c r="H49" s="97">
        <f t="shared" si="8"/>
        <v>0.81914699999999996</v>
      </c>
      <c r="I49" s="13">
        <f t="shared" ref="I49:I50" si="10">F49/2*G49</f>
        <v>409.57349999999997</v>
      </c>
      <c r="J49" s="25"/>
    </row>
    <row r="50" spans="1:14" ht="23.25" customHeight="1">
      <c r="A50" s="41">
        <v>24</v>
      </c>
      <c r="B50" s="93" t="s">
        <v>39</v>
      </c>
      <c r="C50" s="94" t="s">
        <v>40</v>
      </c>
      <c r="D50" s="93" t="s">
        <v>190</v>
      </c>
      <c r="E50" s="95">
        <v>1</v>
      </c>
      <c r="F50" s="96">
        <v>0.02</v>
      </c>
      <c r="G50" s="13">
        <v>5322.15</v>
      </c>
      <c r="H50" s="97">
        <f t="shared" si="8"/>
        <v>0.106443</v>
      </c>
      <c r="I50" s="13">
        <f t="shared" si="10"/>
        <v>53.221499999999999</v>
      </c>
      <c r="J50" s="25"/>
      <c r="L50" s="21"/>
      <c r="M50" s="22"/>
      <c r="N50" s="23"/>
    </row>
    <row r="51" spans="1:14" ht="17.25" customHeight="1">
      <c r="A51" s="41">
        <v>25</v>
      </c>
      <c r="B51" s="93" t="s">
        <v>41</v>
      </c>
      <c r="C51" s="94" t="s">
        <v>87</v>
      </c>
      <c r="D51" s="141">
        <v>43591</v>
      </c>
      <c r="E51" s="95">
        <v>90</v>
      </c>
      <c r="F51" s="96">
        <f>SUM(E51)*3</f>
        <v>270</v>
      </c>
      <c r="G51" s="13">
        <v>65.67</v>
      </c>
      <c r="H51" s="97">
        <f t="shared" si="8"/>
        <v>17.730900000000002</v>
      </c>
      <c r="I51" s="13">
        <f>E51*G51/3</f>
        <v>1970.1000000000001</v>
      </c>
      <c r="J51" s="25"/>
      <c r="L51" s="21"/>
      <c r="M51" s="22"/>
      <c r="N51" s="23"/>
    </row>
    <row r="52" spans="1:14" ht="15.75" customHeight="1">
      <c r="A52" s="155" t="s">
        <v>134</v>
      </c>
      <c r="B52" s="156"/>
      <c r="C52" s="156"/>
      <c r="D52" s="156"/>
      <c r="E52" s="156"/>
      <c r="F52" s="156"/>
      <c r="G52" s="156"/>
      <c r="H52" s="156"/>
      <c r="I52" s="157"/>
      <c r="J52" s="25"/>
      <c r="L52" s="21"/>
      <c r="M52" s="22"/>
      <c r="N52" s="23"/>
    </row>
    <row r="53" spans="1:14" ht="15.75" hidden="1" customHeight="1">
      <c r="A53" s="53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3" t="s">
        <v>111</v>
      </c>
      <c r="C54" s="94" t="s">
        <v>90</v>
      </c>
      <c r="D54" s="93" t="s">
        <v>112</v>
      </c>
      <c r="E54" s="95">
        <v>96.58</v>
      </c>
      <c r="F54" s="96">
        <f>SUM(E54*6/100)</f>
        <v>5.7948000000000004</v>
      </c>
      <c r="G54" s="13">
        <v>1547.28</v>
      </c>
      <c r="H54" s="97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9" t="s">
        <v>44</v>
      </c>
      <c r="C55" s="40"/>
      <c r="D55" s="34"/>
      <c r="E55" s="19"/>
      <c r="F55" s="87"/>
      <c r="G55" s="37"/>
      <c r="H55" s="70"/>
      <c r="I55" s="20"/>
      <c r="J55" s="25"/>
      <c r="L55" s="21"/>
      <c r="M55" s="22"/>
      <c r="N55" s="23"/>
    </row>
    <row r="56" spans="1:14" ht="15.75" hidden="1" customHeight="1">
      <c r="A56" s="41"/>
      <c r="B56" s="93" t="s">
        <v>45</v>
      </c>
      <c r="C56" s="94" t="s">
        <v>90</v>
      </c>
      <c r="D56" s="93" t="s">
        <v>54</v>
      </c>
      <c r="E56" s="95">
        <v>855.9</v>
      </c>
      <c r="F56" s="97">
        <v>8.6</v>
      </c>
      <c r="G56" s="13">
        <v>747.3</v>
      </c>
      <c r="H56" s="101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26</v>
      </c>
      <c r="B57" s="93" t="s">
        <v>88</v>
      </c>
      <c r="C57" s="94" t="s">
        <v>25</v>
      </c>
      <c r="D57" s="93" t="s">
        <v>190</v>
      </c>
      <c r="E57" s="95">
        <v>256</v>
      </c>
      <c r="F57" s="97">
        <f>E57*12</f>
        <v>3072</v>
      </c>
      <c r="G57" s="13">
        <v>1.4</v>
      </c>
      <c r="H57" s="101">
        <f>F57*G57/1000</f>
        <v>4.3007999999999988</v>
      </c>
      <c r="I57" s="13">
        <f>1560/12*G57</f>
        <v>182</v>
      </c>
      <c r="J57" s="25"/>
      <c r="L57" s="21"/>
      <c r="M57" s="22"/>
      <c r="N57" s="23"/>
    </row>
    <row r="58" spans="1:14" ht="15.75" hidden="1" customHeight="1">
      <c r="A58" s="41"/>
      <c r="B58" s="69" t="s">
        <v>128</v>
      </c>
      <c r="C58" s="40"/>
      <c r="D58" s="34"/>
      <c r="E58" s="19"/>
      <c r="F58" s="87"/>
      <c r="G58" s="71"/>
      <c r="H58" s="70"/>
      <c r="I58" s="20"/>
      <c r="J58" s="25"/>
      <c r="L58" s="21"/>
      <c r="M58" s="22"/>
      <c r="N58" s="23"/>
    </row>
    <row r="59" spans="1:14" ht="15.75" hidden="1" customHeight="1">
      <c r="A59" s="41"/>
      <c r="B59" s="93" t="s">
        <v>129</v>
      </c>
      <c r="C59" s="94" t="s">
        <v>87</v>
      </c>
      <c r="D59" s="93" t="s">
        <v>65</v>
      </c>
      <c r="E59" s="95">
        <v>2</v>
      </c>
      <c r="F59" s="96">
        <f>SUM(E59)</f>
        <v>2</v>
      </c>
      <c r="G59" s="102">
        <v>237.75</v>
      </c>
      <c r="H59" s="97">
        <f t="shared" ref="H59" si="11">SUM(F59*G59/1000)</f>
        <v>0.47549999999999998</v>
      </c>
      <c r="I59" s="13">
        <v>0</v>
      </c>
      <c r="J59" s="25"/>
      <c r="L59" s="21"/>
      <c r="M59" s="22"/>
      <c r="N59" s="23"/>
    </row>
    <row r="60" spans="1:14" ht="15.75" customHeight="1">
      <c r="A60" s="41"/>
      <c r="B60" s="77" t="s">
        <v>46</v>
      </c>
      <c r="C60" s="17"/>
      <c r="D60" s="16"/>
      <c r="E60" s="16"/>
      <c r="F60" s="88"/>
      <c r="G60" s="65"/>
      <c r="H60" s="70"/>
      <c r="I60" s="19"/>
      <c r="J60" s="25"/>
      <c r="L60" s="21"/>
      <c r="M60" s="22"/>
      <c r="N60" s="23"/>
    </row>
    <row r="61" spans="1:14" ht="15" customHeight="1">
      <c r="A61" s="41">
        <v>27</v>
      </c>
      <c r="B61" s="15" t="s">
        <v>47</v>
      </c>
      <c r="C61" s="17" t="s">
        <v>87</v>
      </c>
      <c r="D61" s="93" t="s">
        <v>200</v>
      </c>
      <c r="E61" s="19">
        <v>10</v>
      </c>
      <c r="F61" s="96">
        <v>10</v>
      </c>
      <c r="G61" s="13">
        <v>222.4</v>
      </c>
      <c r="H61" s="103">
        <f t="shared" ref="H61:H68" si="12">SUM(F61*G61/1000)</f>
        <v>2.2240000000000002</v>
      </c>
      <c r="I61" s="13">
        <f>G61*3</f>
        <v>667.2</v>
      </c>
      <c r="J61" s="25"/>
      <c r="L61" s="21"/>
      <c r="M61" s="22"/>
      <c r="N61" s="23"/>
    </row>
    <row r="62" spans="1:14" ht="17.25" hidden="1" customHeight="1">
      <c r="A62" s="31">
        <v>29</v>
      </c>
      <c r="B62" s="15" t="s">
        <v>48</v>
      </c>
      <c r="C62" s="17" t="s">
        <v>87</v>
      </c>
      <c r="D62" s="93" t="s">
        <v>65</v>
      </c>
      <c r="E62" s="19">
        <v>5</v>
      </c>
      <c r="F62" s="96">
        <v>5</v>
      </c>
      <c r="G62" s="13">
        <v>75.25</v>
      </c>
      <c r="H62" s="103">
        <f t="shared" si="12"/>
        <v>0.37624999999999997</v>
      </c>
      <c r="I62" s="13">
        <v>0</v>
      </c>
      <c r="J62" s="25"/>
      <c r="L62" s="21"/>
      <c r="M62" s="22"/>
      <c r="N62" s="23"/>
    </row>
    <row r="63" spans="1:14" ht="15.75" hidden="1" customHeight="1">
      <c r="A63" s="31">
        <v>29</v>
      </c>
      <c r="B63" s="15" t="s">
        <v>49</v>
      </c>
      <c r="C63" s="17" t="s">
        <v>113</v>
      </c>
      <c r="D63" s="15" t="s">
        <v>54</v>
      </c>
      <c r="E63" s="95">
        <v>13018</v>
      </c>
      <c r="F63" s="13">
        <f>SUM(E63/100)</f>
        <v>130.18</v>
      </c>
      <c r="G63" s="13">
        <v>212.15</v>
      </c>
      <c r="H63" s="103">
        <f t="shared" si="12"/>
        <v>27.617687</v>
      </c>
      <c r="I63" s="13">
        <f>F63*G63</f>
        <v>27617.687000000002</v>
      </c>
      <c r="J63" s="25"/>
      <c r="L63" s="21"/>
      <c r="M63" s="22"/>
      <c r="N63" s="23"/>
    </row>
    <row r="64" spans="1:14" ht="15.75" hidden="1" customHeight="1">
      <c r="A64" s="31">
        <v>30</v>
      </c>
      <c r="B64" s="15" t="s">
        <v>50</v>
      </c>
      <c r="C64" s="17" t="s">
        <v>114</v>
      </c>
      <c r="D64" s="15"/>
      <c r="E64" s="95">
        <v>13018</v>
      </c>
      <c r="F64" s="13">
        <f>SUM(E64/1000)</f>
        <v>13.018000000000001</v>
      </c>
      <c r="G64" s="13">
        <v>165.21</v>
      </c>
      <c r="H64" s="103">
        <f t="shared" si="12"/>
        <v>2.1507037800000002</v>
      </c>
      <c r="I64" s="13">
        <f t="shared" ref="I64:I68" si="13">F64*G64</f>
        <v>2150.7037800000003</v>
      </c>
      <c r="J64" s="25"/>
      <c r="L64" s="21"/>
      <c r="M64" s="22"/>
      <c r="N64" s="23"/>
    </row>
    <row r="65" spans="1:14" ht="15.75" hidden="1" customHeight="1">
      <c r="A65" s="31">
        <v>31</v>
      </c>
      <c r="B65" s="15" t="s">
        <v>51</v>
      </c>
      <c r="C65" s="17" t="s">
        <v>76</v>
      </c>
      <c r="D65" s="15" t="s">
        <v>54</v>
      </c>
      <c r="E65" s="95">
        <v>1279</v>
      </c>
      <c r="F65" s="13">
        <f>SUM(E65/100)</f>
        <v>12.79</v>
      </c>
      <c r="G65" s="13">
        <v>2074.63</v>
      </c>
      <c r="H65" s="103">
        <f t="shared" si="12"/>
        <v>26.534517700000002</v>
      </c>
      <c r="I65" s="13">
        <f t="shared" si="13"/>
        <v>26534.5177</v>
      </c>
      <c r="J65" s="25"/>
      <c r="L65" s="21"/>
      <c r="M65" s="22"/>
      <c r="N65" s="23"/>
    </row>
    <row r="66" spans="1:14" ht="15.75" hidden="1" customHeight="1">
      <c r="A66" s="31">
        <v>32</v>
      </c>
      <c r="B66" s="104" t="s">
        <v>115</v>
      </c>
      <c r="C66" s="17" t="s">
        <v>32</v>
      </c>
      <c r="D66" s="15"/>
      <c r="E66" s="95">
        <v>12</v>
      </c>
      <c r="F66" s="13">
        <f>SUM(E66)</f>
        <v>12</v>
      </c>
      <c r="G66" s="13">
        <v>45.32</v>
      </c>
      <c r="H66" s="103">
        <f t="shared" si="12"/>
        <v>0.54383999999999999</v>
      </c>
      <c r="I66" s="13">
        <f t="shared" si="13"/>
        <v>543.84</v>
      </c>
      <c r="J66" s="25"/>
      <c r="L66" s="21"/>
      <c r="M66" s="22"/>
      <c r="N66" s="23"/>
    </row>
    <row r="67" spans="1:14" ht="15.75" hidden="1" customHeight="1">
      <c r="A67" s="31">
        <v>33</v>
      </c>
      <c r="B67" s="104" t="s">
        <v>116</v>
      </c>
      <c r="C67" s="17" t="s">
        <v>32</v>
      </c>
      <c r="D67" s="15"/>
      <c r="E67" s="95">
        <v>12</v>
      </c>
      <c r="F67" s="13">
        <f>SUM(E67)</f>
        <v>12</v>
      </c>
      <c r="G67" s="13">
        <v>42.28</v>
      </c>
      <c r="H67" s="103">
        <f t="shared" si="12"/>
        <v>0.50736000000000003</v>
      </c>
      <c r="I67" s="13">
        <f t="shared" si="13"/>
        <v>507.36</v>
      </c>
      <c r="J67" s="25"/>
      <c r="L67" s="21"/>
      <c r="M67" s="22"/>
      <c r="N67" s="23"/>
    </row>
    <row r="68" spans="1:14" ht="15.75" hidden="1" customHeight="1">
      <c r="A68" s="31">
        <v>13</v>
      </c>
      <c r="B68" s="15" t="s">
        <v>57</v>
      </c>
      <c r="C68" s="17" t="s">
        <v>58</v>
      </c>
      <c r="D68" s="15" t="s">
        <v>54</v>
      </c>
      <c r="E68" s="19">
        <v>1</v>
      </c>
      <c r="F68" s="96">
        <f>SUM(E68)</f>
        <v>1</v>
      </c>
      <c r="G68" s="13">
        <v>49.88</v>
      </c>
      <c r="H68" s="103">
        <f t="shared" si="12"/>
        <v>4.9880000000000001E-2</v>
      </c>
      <c r="I68" s="13">
        <f t="shared" si="13"/>
        <v>49.88</v>
      </c>
      <c r="J68" s="25"/>
      <c r="L68" s="21"/>
      <c r="M68" s="22"/>
      <c r="N68" s="23"/>
    </row>
    <row r="69" spans="1:14" ht="15.75" hidden="1" customHeight="1">
      <c r="A69" s="53"/>
      <c r="B69" s="77" t="s">
        <v>117</v>
      </c>
      <c r="C69" s="77"/>
      <c r="D69" s="77"/>
      <c r="E69" s="77"/>
      <c r="F69" s="77"/>
      <c r="G69" s="77"/>
      <c r="H69" s="77"/>
      <c r="I69" s="19"/>
      <c r="J69" s="25"/>
      <c r="L69" s="21"/>
      <c r="M69" s="22"/>
      <c r="N69" s="23"/>
    </row>
    <row r="70" spans="1:14" ht="15.75" hidden="1" customHeight="1">
      <c r="A70" s="31">
        <v>16</v>
      </c>
      <c r="B70" s="93" t="s">
        <v>118</v>
      </c>
      <c r="C70" s="17"/>
      <c r="D70" s="15"/>
      <c r="E70" s="87"/>
      <c r="F70" s="13">
        <v>1</v>
      </c>
      <c r="G70" s="13">
        <v>10041.700000000001</v>
      </c>
      <c r="H70" s="103">
        <f>G70*F70/1000</f>
        <v>10.041700000000001</v>
      </c>
      <c r="I70" s="13">
        <f>G70</f>
        <v>10041.700000000001</v>
      </c>
      <c r="J70" s="25"/>
      <c r="L70" s="21"/>
      <c r="M70" s="22"/>
      <c r="N70" s="23"/>
    </row>
    <row r="71" spans="1:14" ht="15.75" hidden="1" customHeight="1">
      <c r="A71" s="31"/>
      <c r="B71" s="49" t="s">
        <v>72</v>
      </c>
      <c r="C71" s="49"/>
      <c r="D71" s="49"/>
      <c r="E71" s="19"/>
      <c r="F71" s="19"/>
      <c r="G71" s="31"/>
      <c r="H71" s="31"/>
      <c r="I71" s="19"/>
      <c r="J71" s="25"/>
      <c r="L71" s="21"/>
      <c r="M71" s="22"/>
      <c r="N71" s="23"/>
    </row>
    <row r="72" spans="1:14" ht="15.75" hidden="1" customHeight="1">
      <c r="A72" s="31">
        <v>30</v>
      </c>
      <c r="B72" s="15" t="s">
        <v>73</v>
      </c>
      <c r="C72" s="17" t="s">
        <v>74</v>
      </c>
      <c r="D72" s="15" t="s">
        <v>65</v>
      </c>
      <c r="E72" s="19">
        <v>5</v>
      </c>
      <c r="F72" s="13">
        <v>0.5</v>
      </c>
      <c r="G72" s="13">
        <v>501.62</v>
      </c>
      <c r="H72" s="103">
        <f t="shared" ref="H72:H74" si="14">SUM(F72*G72/1000)</f>
        <v>0.25080999999999998</v>
      </c>
      <c r="I72" s="13">
        <f>G72*1.1</f>
        <v>551.78200000000004</v>
      </c>
      <c r="J72" s="25"/>
      <c r="L72" s="21"/>
      <c r="M72" s="22"/>
      <c r="N72" s="23"/>
    </row>
    <row r="73" spans="1:14" ht="15.75" hidden="1" customHeight="1">
      <c r="A73" s="31"/>
      <c r="B73" s="15" t="s">
        <v>130</v>
      </c>
      <c r="C73" s="17" t="s">
        <v>87</v>
      </c>
      <c r="D73" s="15"/>
      <c r="E73" s="19">
        <v>1</v>
      </c>
      <c r="F73" s="86">
        <f>E73</f>
        <v>1</v>
      </c>
      <c r="G73" s="13">
        <v>852.99</v>
      </c>
      <c r="H73" s="103">
        <f t="shared" si="14"/>
        <v>0.85299000000000003</v>
      </c>
      <c r="I73" s="13">
        <v>0</v>
      </c>
      <c r="J73" s="25"/>
      <c r="L73" s="21"/>
      <c r="M73" s="22"/>
      <c r="N73" s="23"/>
    </row>
    <row r="74" spans="1:14" ht="15.75" hidden="1" customHeight="1">
      <c r="A74" s="31"/>
      <c r="B74" s="15" t="s">
        <v>131</v>
      </c>
      <c r="C74" s="17" t="s">
        <v>87</v>
      </c>
      <c r="D74" s="15"/>
      <c r="E74" s="19">
        <v>1</v>
      </c>
      <c r="F74" s="96">
        <f>SUM(E74)</f>
        <v>1</v>
      </c>
      <c r="G74" s="13">
        <v>358.51</v>
      </c>
      <c r="H74" s="103">
        <f t="shared" si="14"/>
        <v>0.35851</v>
      </c>
      <c r="I74" s="13">
        <v>0</v>
      </c>
      <c r="J74" s="25"/>
      <c r="L74" s="21"/>
      <c r="M74" s="22"/>
      <c r="N74" s="23"/>
    </row>
    <row r="75" spans="1:14" ht="15.75" hidden="1" customHeight="1">
      <c r="A75" s="31"/>
      <c r="B75" s="50" t="s">
        <v>75</v>
      </c>
      <c r="C75" s="38"/>
      <c r="D75" s="31"/>
      <c r="E75" s="19"/>
      <c r="F75" s="19"/>
      <c r="G75" s="37" t="s">
        <v>119</v>
      </c>
      <c r="H75" s="37"/>
      <c r="I75" s="19"/>
      <c r="J75" s="25"/>
      <c r="L75" s="21"/>
      <c r="M75" s="22"/>
      <c r="N75" s="23"/>
    </row>
    <row r="76" spans="1:14" ht="15.75" hidden="1" customHeight="1">
      <c r="A76" s="31">
        <v>12</v>
      </c>
      <c r="B76" s="52" t="s">
        <v>120</v>
      </c>
      <c r="C76" s="17" t="s">
        <v>76</v>
      </c>
      <c r="D76" s="15"/>
      <c r="E76" s="19"/>
      <c r="F76" s="13">
        <v>0.3</v>
      </c>
      <c r="G76" s="13">
        <v>2759.44</v>
      </c>
      <c r="H76" s="103">
        <f t="shared" ref="H76" si="15">SUM(F76*G76/1000)</f>
        <v>0.82783200000000001</v>
      </c>
      <c r="I76" s="13">
        <v>0</v>
      </c>
      <c r="J76" s="25"/>
      <c r="L76" s="21"/>
      <c r="M76" s="22"/>
      <c r="N76" s="23"/>
    </row>
    <row r="77" spans="1:14" ht="15.75" customHeight="1">
      <c r="A77" s="143"/>
      <c r="B77" s="151" t="s">
        <v>215</v>
      </c>
      <c r="C77" s="38"/>
      <c r="D77" s="124"/>
      <c r="E77" s="18"/>
      <c r="F77" s="70"/>
      <c r="G77" s="37"/>
      <c r="H77" s="144"/>
      <c r="I77" s="145"/>
      <c r="J77" s="25"/>
      <c r="L77" s="21"/>
      <c r="M77" s="22"/>
      <c r="N77" s="23"/>
    </row>
    <row r="78" spans="1:14" ht="15.75" customHeight="1">
      <c r="A78" s="143">
        <v>28</v>
      </c>
      <c r="B78" s="124" t="s">
        <v>216</v>
      </c>
      <c r="C78" s="41" t="s">
        <v>217</v>
      </c>
      <c r="D78" s="124"/>
      <c r="E78" s="18">
        <v>2581.1999999999998</v>
      </c>
      <c r="F78" s="37">
        <f>E78*12</f>
        <v>30974.399999999998</v>
      </c>
      <c r="G78" s="37">
        <v>2.4900000000000002</v>
      </c>
      <c r="H78" s="144"/>
      <c r="I78" s="145">
        <f>G78*F78/12</f>
        <v>6427.1879999999992</v>
      </c>
      <c r="J78" s="25"/>
      <c r="L78" s="21"/>
      <c r="M78" s="22"/>
      <c r="N78" s="23"/>
    </row>
    <row r="79" spans="1:14" ht="15.75" customHeight="1">
      <c r="A79" s="159" t="s">
        <v>135</v>
      </c>
      <c r="B79" s="160"/>
      <c r="C79" s="160"/>
      <c r="D79" s="160"/>
      <c r="E79" s="160"/>
      <c r="F79" s="160"/>
      <c r="G79" s="160"/>
      <c r="H79" s="160"/>
      <c r="I79" s="161"/>
      <c r="J79" s="25"/>
      <c r="L79" s="21"/>
      <c r="M79" s="22"/>
      <c r="N79" s="23"/>
    </row>
    <row r="80" spans="1:14" ht="15.75" customHeight="1">
      <c r="A80" s="31">
        <v>29</v>
      </c>
      <c r="B80" s="93" t="s">
        <v>121</v>
      </c>
      <c r="C80" s="17" t="s">
        <v>55</v>
      </c>
      <c r="D80" s="106"/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30</v>
      </c>
      <c r="B81" s="15" t="s">
        <v>77</v>
      </c>
      <c r="C81" s="17"/>
      <c r="D81" s="106"/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53"/>
      <c r="B82" s="39" t="s">
        <v>79</v>
      </c>
      <c r="C82" s="41"/>
      <c r="D82" s="16"/>
      <c r="E82" s="16"/>
      <c r="F82" s="16"/>
      <c r="G82" s="19"/>
      <c r="H82" s="19"/>
      <c r="I82" s="33">
        <f>I81+I80+I61+I57+I51+I50+I49+I48+I47+I46+I45+I44+I43+I42+I32+I31+I30+I27+I26+I25+I24+I23+I22+I21+I20+I19+I18+I17+I16+I78</f>
        <v>42018.711378566673</v>
      </c>
    </row>
    <row r="83" spans="1:22" ht="15.75" customHeight="1">
      <c r="A83" s="162" t="s">
        <v>60</v>
      </c>
      <c r="B83" s="163"/>
      <c r="C83" s="163"/>
      <c r="D83" s="163"/>
      <c r="E83" s="163"/>
      <c r="F83" s="163"/>
      <c r="G83" s="163"/>
      <c r="H83" s="163"/>
      <c r="I83" s="164"/>
    </row>
    <row r="84" spans="1:22" ht="34.5" customHeight="1">
      <c r="A84" s="31">
        <v>31</v>
      </c>
      <c r="B84" s="122" t="s">
        <v>180</v>
      </c>
      <c r="C84" s="123" t="s">
        <v>181</v>
      </c>
      <c r="D84" s="52" t="s">
        <v>212</v>
      </c>
      <c r="E84" s="13"/>
      <c r="F84" s="13">
        <v>368</v>
      </c>
      <c r="G84" s="37">
        <v>1367</v>
      </c>
      <c r="H84" s="103" t="e">
        <f>#REF!*#REF!/1000</f>
        <v>#REF!</v>
      </c>
      <c r="I84" s="13">
        <f>G84*2</f>
        <v>2734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31.5" customHeight="1">
      <c r="A85" s="31">
        <v>32</v>
      </c>
      <c r="B85" s="122" t="s">
        <v>182</v>
      </c>
      <c r="C85" s="123" t="s">
        <v>38</v>
      </c>
      <c r="D85" s="52"/>
      <c r="E85" s="13"/>
      <c r="F85" s="13">
        <v>3</v>
      </c>
      <c r="G85" s="37">
        <v>3914.31</v>
      </c>
      <c r="H85" s="103">
        <f t="shared" ref="H85" si="16">G85*F85/1000</f>
        <v>11.742929999999999</v>
      </c>
      <c r="I85" s="13">
        <f>G85*0.01</f>
        <v>39.143099999999997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16.5" customHeight="1">
      <c r="A86" s="31">
        <v>33</v>
      </c>
      <c r="B86" s="122" t="s">
        <v>81</v>
      </c>
      <c r="C86" s="123" t="s">
        <v>87</v>
      </c>
      <c r="D86" s="17"/>
      <c r="E86" s="13"/>
      <c r="F86" s="13"/>
      <c r="G86" s="37">
        <v>207.55</v>
      </c>
      <c r="H86" s="103"/>
      <c r="I86" s="13">
        <f>G86*1</f>
        <v>207.55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6.5" customHeight="1">
      <c r="A87" s="31">
        <v>34</v>
      </c>
      <c r="B87" s="122" t="s">
        <v>95</v>
      </c>
      <c r="C87" s="123" t="s">
        <v>87</v>
      </c>
      <c r="D87" s="52"/>
      <c r="E87" s="13"/>
      <c r="F87" s="13"/>
      <c r="G87" s="37">
        <v>58.39</v>
      </c>
      <c r="H87" s="103"/>
      <c r="I87" s="13">
        <f>G87*1</f>
        <v>58.39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5.75" customHeight="1">
      <c r="A88" s="31"/>
      <c r="B88" s="46" t="s">
        <v>52</v>
      </c>
      <c r="C88" s="42"/>
      <c r="D88" s="54"/>
      <c r="E88" s="42">
        <v>1</v>
      </c>
      <c r="F88" s="42"/>
      <c r="G88" s="42"/>
      <c r="H88" s="42"/>
      <c r="I88" s="33">
        <f>SUM(I84:I87)</f>
        <v>3039.0830999999998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2" ht="15.75" customHeight="1">
      <c r="A89" s="31"/>
      <c r="B89" s="52" t="s">
        <v>78</v>
      </c>
      <c r="C89" s="16"/>
      <c r="D89" s="16"/>
      <c r="E89" s="43"/>
      <c r="F89" s="43"/>
      <c r="G89" s="44"/>
      <c r="H89" s="44"/>
      <c r="I89" s="18">
        <v>0</v>
      </c>
    </row>
    <row r="90" spans="1:22" ht="15.75" customHeight="1">
      <c r="A90" s="55"/>
      <c r="B90" s="47" t="s">
        <v>138</v>
      </c>
      <c r="C90" s="36"/>
      <c r="D90" s="36"/>
      <c r="E90" s="36"/>
      <c r="F90" s="36"/>
      <c r="G90" s="36"/>
      <c r="H90" s="36"/>
      <c r="I90" s="45">
        <f>I82+I88</f>
        <v>45057.794478566677</v>
      </c>
    </row>
    <row r="91" spans="1:22" ht="15.75" customHeight="1">
      <c r="A91" s="158" t="s">
        <v>226</v>
      </c>
      <c r="B91" s="158"/>
      <c r="C91" s="158"/>
      <c r="D91" s="158"/>
      <c r="E91" s="158"/>
      <c r="F91" s="158"/>
      <c r="G91" s="158"/>
      <c r="H91" s="158"/>
      <c r="I91" s="158"/>
    </row>
    <row r="92" spans="1:22" ht="15.75" customHeight="1">
      <c r="A92" s="79"/>
      <c r="B92" s="171" t="s">
        <v>227</v>
      </c>
      <c r="C92" s="171"/>
      <c r="D92" s="171"/>
      <c r="E92" s="171"/>
      <c r="F92" s="171"/>
      <c r="G92" s="171"/>
      <c r="H92" s="91"/>
      <c r="I92" s="3"/>
    </row>
    <row r="93" spans="1:22" ht="15.75" customHeight="1">
      <c r="A93" s="72"/>
      <c r="B93" s="172" t="s">
        <v>6</v>
      </c>
      <c r="C93" s="172"/>
      <c r="D93" s="172"/>
      <c r="E93" s="172"/>
      <c r="F93" s="172"/>
      <c r="G93" s="172"/>
      <c r="H93" s="26"/>
      <c r="I93" s="5"/>
    </row>
    <row r="94" spans="1:22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2" ht="15.75" customHeight="1">
      <c r="A95" s="173" t="s">
        <v>7</v>
      </c>
      <c r="B95" s="173"/>
      <c r="C95" s="173"/>
      <c r="D95" s="173"/>
      <c r="E95" s="173"/>
      <c r="F95" s="173"/>
      <c r="G95" s="173"/>
      <c r="H95" s="173"/>
      <c r="I95" s="173"/>
    </row>
    <row r="96" spans="1:22" ht="15.75" customHeight="1">
      <c r="A96" s="173" t="s">
        <v>8</v>
      </c>
      <c r="B96" s="173"/>
      <c r="C96" s="173"/>
      <c r="D96" s="173"/>
      <c r="E96" s="173"/>
      <c r="F96" s="173"/>
      <c r="G96" s="173"/>
      <c r="H96" s="173"/>
      <c r="I96" s="173"/>
    </row>
    <row r="97" spans="1:9" ht="15.75" customHeight="1">
      <c r="A97" s="176" t="s">
        <v>61</v>
      </c>
      <c r="B97" s="176"/>
      <c r="C97" s="176"/>
      <c r="D97" s="176"/>
      <c r="E97" s="176"/>
      <c r="F97" s="176"/>
      <c r="G97" s="176"/>
      <c r="H97" s="176"/>
      <c r="I97" s="176"/>
    </row>
    <row r="98" spans="1:9" ht="15.75" customHeight="1">
      <c r="A98" s="11"/>
    </row>
    <row r="99" spans="1:9" ht="15.75" customHeight="1">
      <c r="A99" s="177" t="s">
        <v>9</v>
      </c>
      <c r="B99" s="177"/>
      <c r="C99" s="177"/>
      <c r="D99" s="177"/>
      <c r="E99" s="177"/>
      <c r="F99" s="177"/>
      <c r="G99" s="177"/>
      <c r="H99" s="177"/>
      <c r="I99" s="177"/>
    </row>
    <row r="100" spans="1:9" ht="15.75" customHeight="1">
      <c r="A100" s="4"/>
    </row>
    <row r="101" spans="1:9" ht="15.75" customHeight="1">
      <c r="B101" s="75" t="s">
        <v>10</v>
      </c>
      <c r="C101" s="178" t="s">
        <v>86</v>
      </c>
      <c r="D101" s="178"/>
      <c r="E101" s="178"/>
      <c r="F101" s="89"/>
      <c r="I101" s="74"/>
    </row>
    <row r="102" spans="1:9" ht="15.75" customHeight="1">
      <c r="A102" s="72"/>
      <c r="C102" s="172" t="s">
        <v>11</v>
      </c>
      <c r="D102" s="172"/>
      <c r="E102" s="172"/>
      <c r="F102" s="26"/>
      <c r="I102" s="73" t="s">
        <v>12</v>
      </c>
    </row>
    <row r="103" spans="1:9" ht="15.75" customHeight="1">
      <c r="A103" s="27"/>
      <c r="C103" s="12"/>
      <c r="D103" s="12"/>
      <c r="G103" s="12"/>
      <c r="H103" s="12"/>
    </row>
    <row r="104" spans="1:9" ht="15.75" customHeight="1">
      <c r="B104" s="75" t="s">
        <v>13</v>
      </c>
      <c r="C104" s="179"/>
      <c r="D104" s="179"/>
      <c r="E104" s="179"/>
      <c r="F104" s="90"/>
      <c r="I104" s="74"/>
    </row>
    <row r="105" spans="1:9" ht="15.75" customHeight="1">
      <c r="A105" s="72"/>
      <c r="C105" s="175" t="s">
        <v>11</v>
      </c>
      <c r="D105" s="175"/>
      <c r="E105" s="175"/>
      <c r="F105" s="72"/>
      <c r="I105" s="73" t="s">
        <v>12</v>
      </c>
    </row>
    <row r="106" spans="1:9" ht="15.75" customHeight="1">
      <c r="A106" s="4" t="s">
        <v>14</v>
      </c>
    </row>
    <row r="107" spans="1:9">
      <c r="A107" s="174" t="s">
        <v>15</v>
      </c>
      <c r="B107" s="174"/>
      <c r="C107" s="174"/>
      <c r="D107" s="174"/>
      <c r="E107" s="174"/>
      <c r="F107" s="174"/>
      <c r="G107" s="174"/>
      <c r="H107" s="174"/>
      <c r="I107" s="174"/>
    </row>
    <row r="108" spans="1:9" ht="45" customHeight="1">
      <c r="A108" s="170" t="s">
        <v>16</v>
      </c>
      <c r="B108" s="170"/>
      <c r="C108" s="170"/>
      <c r="D108" s="170"/>
      <c r="E108" s="170"/>
      <c r="F108" s="170"/>
      <c r="G108" s="170"/>
      <c r="H108" s="170"/>
      <c r="I108" s="170"/>
    </row>
    <row r="109" spans="1:9" ht="30" customHeight="1">
      <c r="A109" s="170" t="s">
        <v>17</v>
      </c>
      <c r="B109" s="170"/>
      <c r="C109" s="170"/>
      <c r="D109" s="170"/>
      <c r="E109" s="170"/>
      <c r="F109" s="170"/>
      <c r="G109" s="170"/>
      <c r="H109" s="170"/>
      <c r="I109" s="170"/>
    </row>
    <row r="110" spans="1:9" ht="30" customHeight="1">
      <c r="A110" s="170" t="s">
        <v>21</v>
      </c>
      <c r="B110" s="170"/>
      <c r="C110" s="170"/>
      <c r="D110" s="170"/>
      <c r="E110" s="170"/>
      <c r="F110" s="170"/>
      <c r="G110" s="170"/>
      <c r="H110" s="170"/>
      <c r="I110" s="170"/>
    </row>
    <row r="111" spans="1:9" ht="15" customHeight="1">
      <c r="A111" s="170" t="s">
        <v>20</v>
      </c>
      <c r="B111" s="170"/>
      <c r="C111" s="170"/>
      <c r="D111" s="170"/>
      <c r="E111" s="170"/>
      <c r="F111" s="170"/>
      <c r="G111" s="170"/>
      <c r="H111" s="170"/>
      <c r="I111" s="170"/>
    </row>
  </sheetData>
  <autoFilter ref="I12:I82"/>
  <mergeCells count="28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8:I28"/>
    <mergeCell ref="A41:I41"/>
    <mergeCell ref="A52:I52"/>
    <mergeCell ref="A79:I79"/>
    <mergeCell ref="A83:I83"/>
    <mergeCell ref="A91:I91"/>
    <mergeCell ref="B92:G92"/>
    <mergeCell ref="B93:G93"/>
    <mergeCell ref="A95:I95"/>
    <mergeCell ref="A96:I96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93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B87" sqref="B87:I8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5" t="s">
        <v>147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122</v>
      </c>
      <c r="B4" s="166"/>
      <c r="C4" s="166"/>
      <c r="D4" s="166"/>
      <c r="E4" s="166"/>
      <c r="F4" s="166"/>
      <c r="G4" s="166"/>
      <c r="H4" s="166"/>
      <c r="I4" s="166"/>
    </row>
    <row r="5" spans="1:13" ht="15.75" customHeight="1">
      <c r="A5" s="165" t="s">
        <v>183</v>
      </c>
      <c r="B5" s="169"/>
      <c r="C5" s="169"/>
      <c r="D5" s="169"/>
      <c r="E5" s="169"/>
      <c r="F5" s="169"/>
      <c r="G5" s="169"/>
      <c r="H5" s="169"/>
      <c r="I5" s="169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2">
        <v>43646</v>
      </c>
      <c r="J6" s="2"/>
      <c r="K6" s="2"/>
      <c r="L6" s="2"/>
      <c r="M6" s="2"/>
    </row>
    <row r="7" spans="1:13" ht="15.75" customHeight="1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7" t="s">
        <v>160</v>
      </c>
      <c r="B8" s="167"/>
      <c r="C8" s="167"/>
      <c r="D8" s="167"/>
      <c r="E8" s="167"/>
      <c r="F8" s="167"/>
      <c r="G8" s="167"/>
      <c r="H8" s="167"/>
      <c r="I8" s="167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8" t="s">
        <v>152</v>
      </c>
      <c r="B10" s="168"/>
      <c r="C10" s="168"/>
      <c r="D10" s="168"/>
      <c r="E10" s="168"/>
      <c r="F10" s="168"/>
      <c r="G10" s="168"/>
      <c r="H10" s="168"/>
      <c r="I10" s="16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59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1">
        <v>1</v>
      </c>
      <c r="B16" s="93" t="s">
        <v>85</v>
      </c>
      <c r="C16" s="94" t="s">
        <v>90</v>
      </c>
      <c r="D16" s="93" t="s">
        <v>186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7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99</v>
      </c>
      <c r="C17" s="94" t="s">
        <v>90</v>
      </c>
      <c r="D17" s="93" t="s">
        <v>187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100</v>
      </c>
      <c r="C18" s="94" t="s">
        <v>90</v>
      </c>
      <c r="D18" s="93" t="s">
        <v>188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123</v>
      </c>
      <c r="C19" s="94" t="s">
        <v>124</v>
      </c>
      <c r="D19" s="93" t="s">
        <v>125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89</v>
      </c>
      <c r="C20" s="94" t="s">
        <v>90</v>
      </c>
      <c r="D20" s="93" t="s">
        <v>189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97</v>
      </c>
      <c r="C21" s="94" t="s">
        <v>90</v>
      </c>
      <c r="D21" s="93" t="s">
        <v>190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91</v>
      </c>
      <c r="C22" s="94" t="s">
        <v>53</v>
      </c>
      <c r="D22" s="93" t="s">
        <v>125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92</v>
      </c>
      <c r="C23" s="94" t="s">
        <v>53</v>
      </c>
      <c r="D23" s="93" t="s">
        <v>125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93</v>
      </c>
      <c r="C24" s="94" t="s">
        <v>53</v>
      </c>
      <c r="D24" s="93" t="s">
        <v>126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98</v>
      </c>
      <c r="C25" s="94" t="s">
        <v>90</v>
      </c>
      <c r="D25" s="93" t="s">
        <v>54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94</v>
      </c>
      <c r="C26" s="94" t="s">
        <v>53</v>
      </c>
      <c r="D26" s="93" t="s">
        <v>125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185</v>
      </c>
      <c r="C27" s="40" t="s">
        <v>25</v>
      </c>
      <c r="D27" s="34" t="s">
        <v>191</v>
      </c>
      <c r="E27" s="140">
        <v>4.83</v>
      </c>
      <c r="F27" s="127">
        <f>SUM(E27*258)</f>
        <v>1246.1400000000001</v>
      </c>
      <c r="G27" s="127">
        <v>10.39</v>
      </c>
      <c r="H27" s="97">
        <f t="shared" si="0"/>
        <v>12.947394600000001</v>
      </c>
      <c r="I27" s="13">
        <f>F27/12*G27</f>
        <v>1078.9495500000003</v>
      </c>
      <c r="J27" s="8"/>
      <c r="K27" s="8"/>
      <c r="L27" s="8"/>
      <c r="M27" s="8"/>
    </row>
    <row r="28" spans="1:13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7</v>
      </c>
      <c r="B30" s="93" t="s">
        <v>101</v>
      </c>
      <c r="C30" s="94" t="s">
        <v>102</v>
      </c>
      <c r="D30" s="93" t="s">
        <v>187</v>
      </c>
      <c r="E30" s="96">
        <v>1167.4000000000001</v>
      </c>
      <c r="F30" s="96">
        <f>SUM(E30*52/1000)</f>
        <v>60.704800000000006</v>
      </c>
      <c r="G30" s="96">
        <v>155.88999999999999</v>
      </c>
      <c r="H30" s="97">
        <f t="shared" ref="H30:H32" si="1">SUM(F30*G30/1000)</f>
        <v>9.4632712720000001</v>
      </c>
      <c r="I30" s="13">
        <f>F30/6*G30</f>
        <v>1577.2118786666665</v>
      </c>
      <c r="J30" s="24"/>
      <c r="K30" s="8"/>
      <c r="L30" s="8"/>
      <c r="M30" s="8"/>
    </row>
    <row r="31" spans="1:13" ht="31.5" customHeight="1">
      <c r="A31" s="41">
        <v>8</v>
      </c>
      <c r="B31" s="93" t="s">
        <v>136</v>
      </c>
      <c r="C31" s="94" t="s">
        <v>102</v>
      </c>
      <c r="D31" s="93" t="s">
        <v>186</v>
      </c>
      <c r="E31" s="96">
        <v>540.04999999999995</v>
      </c>
      <c r="F31" s="96">
        <f>SUM(E31*78/1000)</f>
        <v>42.123899999999992</v>
      </c>
      <c r="G31" s="96">
        <v>258.63</v>
      </c>
      <c r="H31" s="97">
        <f t="shared" si="1"/>
        <v>10.894504256999998</v>
      </c>
      <c r="I31" s="13">
        <f t="shared" ref="I31" si="2">F31/6*G31</f>
        <v>1815.7507094999996</v>
      </c>
      <c r="J31" s="24"/>
      <c r="K31" s="8"/>
      <c r="L31" s="8"/>
      <c r="M31" s="8"/>
    </row>
    <row r="32" spans="1:13" ht="15.75" hidden="1" customHeight="1">
      <c r="A32" s="41">
        <v>16</v>
      </c>
      <c r="B32" s="93" t="s">
        <v>27</v>
      </c>
      <c r="C32" s="94" t="s">
        <v>102</v>
      </c>
      <c r="D32" s="93" t="s">
        <v>54</v>
      </c>
      <c r="E32" s="96">
        <v>1167.4000000000001</v>
      </c>
      <c r="F32" s="96">
        <f>SUM(E32/1000)</f>
        <v>1.1674</v>
      </c>
      <c r="G32" s="96">
        <v>3020.33</v>
      </c>
      <c r="H32" s="97">
        <f t="shared" si="1"/>
        <v>3.5259332420000002</v>
      </c>
      <c r="I32" s="13">
        <f>F32*G32</f>
        <v>3525.9332420000001</v>
      </c>
      <c r="J32" s="24"/>
      <c r="K32" s="8"/>
      <c r="L32" s="8"/>
      <c r="M32" s="8"/>
    </row>
    <row r="33" spans="1:13" ht="15.75" hidden="1" customHeight="1">
      <c r="A33" s="41">
        <v>4</v>
      </c>
      <c r="B33" s="93" t="s">
        <v>64</v>
      </c>
      <c r="C33" s="94" t="s">
        <v>32</v>
      </c>
      <c r="D33" s="93" t="s">
        <v>65</v>
      </c>
      <c r="E33" s="95"/>
      <c r="F33" s="96">
        <v>3</v>
      </c>
      <c r="G33" s="96">
        <v>191.32</v>
      </c>
      <c r="H33" s="97">
        <f t="shared" ref="H33" si="3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3" t="s">
        <v>26</v>
      </c>
      <c r="C35" s="94" t="s">
        <v>31</v>
      </c>
      <c r="D35" s="93"/>
      <c r="E35" s="95"/>
      <c r="F35" s="96">
        <v>6</v>
      </c>
      <c r="G35" s="96">
        <v>1527.2</v>
      </c>
      <c r="H35" s="97">
        <f t="shared" ref="H35:H40" si="4">SUM(F35*G35/1000)</f>
        <v>9.1632000000000016</v>
      </c>
      <c r="I35" s="13">
        <f t="shared" ref="I35:I40" si="5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3" t="s">
        <v>66</v>
      </c>
      <c r="C36" s="94" t="s">
        <v>29</v>
      </c>
      <c r="D36" s="93" t="s">
        <v>127</v>
      </c>
      <c r="E36" s="96">
        <v>1080.0999999999999</v>
      </c>
      <c r="F36" s="96">
        <f>SUM(E36*30/1000)</f>
        <v>32.402999999999999</v>
      </c>
      <c r="G36" s="96">
        <v>2102.6999999999998</v>
      </c>
      <c r="H36" s="97">
        <f t="shared" si="4"/>
        <v>68.13378809999999</v>
      </c>
      <c r="I36" s="13">
        <f t="shared" si="5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3" t="s">
        <v>67</v>
      </c>
      <c r="C37" s="94" t="s">
        <v>29</v>
      </c>
      <c r="D37" s="93" t="s">
        <v>106</v>
      </c>
      <c r="E37" s="96">
        <v>45</v>
      </c>
      <c r="F37" s="96">
        <f>SUM(E37*155/1000)</f>
        <v>6.9749999999999996</v>
      </c>
      <c r="G37" s="96">
        <v>350.75</v>
      </c>
      <c r="H37" s="97">
        <f t="shared" si="4"/>
        <v>2.4464812499999997</v>
      </c>
      <c r="I37" s="13">
        <f t="shared" si="5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3" t="s">
        <v>82</v>
      </c>
      <c r="C38" s="94" t="s">
        <v>102</v>
      </c>
      <c r="D38" s="93" t="s">
        <v>68</v>
      </c>
      <c r="E38" s="96">
        <v>45</v>
      </c>
      <c r="F38" s="96">
        <f>SUM(E38*70/1000)</f>
        <v>3.15</v>
      </c>
      <c r="G38" s="96">
        <v>5803.28</v>
      </c>
      <c r="H38" s="97">
        <f t="shared" si="4"/>
        <v>18.280331999999998</v>
      </c>
      <c r="I38" s="13">
        <f t="shared" si="5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3" t="s">
        <v>107</v>
      </c>
      <c r="C39" s="94" t="s">
        <v>102</v>
      </c>
      <c r="D39" s="93" t="s">
        <v>69</v>
      </c>
      <c r="E39" s="96">
        <v>45</v>
      </c>
      <c r="F39" s="96">
        <f>SUM(E39*45/1000)</f>
        <v>2.0249999999999999</v>
      </c>
      <c r="G39" s="96">
        <v>428.7</v>
      </c>
      <c r="H39" s="97">
        <f t="shared" si="4"/>
        <v>0.86811749999999999</v>
      </c>
      <c r="I39" s="13">
        <f t="shared" si="5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3" t="s">
        <v>70</v>
      </c>
      <c r="C40" s="94" t="s">
        <v>32</v>
      </c>
      <c r="D40" s="93"/>
      <c r="E40" s="95"/>
      <c r="F40" s="96">
        <v>0.6</v>
      </c>
      <c r="G40" s="96">
        <v>798</v>
      </c>
      <c r="H40" s="97">
        <f t="shared" si="4"/>
        <v>0.47879999999999995</v>
      </c>
      <c r="I40" s="13">
        <f t="shared" si="5"/>
        <v>79.8</v>
      </c>
      <c r="J40" s="24"/>
      <c r="K40" s="8"/>
      <c r="L40" s="8"/>
      <c r="M40" s="8"/>
    </row>
    <row r="41" spans="1:13" ht="15.75" hidden="1" customHeight="1">
      <c r="A41" s="155" t="s">
        <v>133</v>
      </c>
      <c r="B41" s="156"/>
      <c r="C41" s="156"/>
      <c r="D41" s="156"/>
      <c r="E41" s="156"/>
      <c r="F41" s="156"/>
      <c r="G41" s="156"/>
      <c r="H41" s="156"/>
      <c r="I41" s="157"/>
      <c r="J41" s="24"/>
      <c r="K41" s="8"/>
      <c r="L41" s="8"/>
      <c r="M41" s="8"/>
    </row>
    <row r="42" spans="1:13" ht="15.75" hidden="1" customHeight="1">
      <c r="A42" s="41">
        <v>18</v>
      </c>
      <c r="B42" s="93" t="s">
        <v>108</v>
      </c>
      <c r="C42" s="94" t="s">
        <v>102</v>
      </c>
      <c r="D42" s="93" t="s">
        <v>42</v>
      </c>
      <c r="E42" s="95">
        <v>965.8</v>
      </c>
      <c r="F42" s="96">
        <f>SUM(E42*2/1000)</f>
        <v>1.9316</v>
      </c>
      <c r="G42" s="13">
        <v>849.49</v>
      </c>
      <c r="H42" s="97">
        <f t="shared" ref="H42:H51" si="6">SUM(F42*G42/1000)</f>
        <v>1.640874884</v>
      </c>
      <c r="I42" s="13">
        <f t="shared" ref="I42:I45" si="7">F42/2*G42</f>
        <v>820.43744200000003</v>
      </c>
      <c r="J42" s="24"/>
      <c r="K42" s="8"/>
    </row>
    <row r="43" spans="1:13" ht="15.75" hidden="1" customHeight="1">
      <c r="A43" s="41">
        <v>19</v>
      </c>
      <c r="B43" s="93" t="s">
        <v>35</v>
      </c>
      <c r="C43" s="94" t="s">
        <v>102</v>
      </c>
      <c r="D43" s="93" t="s">
        <v>42</v>
      </c>
      <c r="E43" s="95">
        <v>36</v>
      </c>
      <c r="F43" s="96">
        <f>SUM(E43*2/1000)</f>
        <v>7.1999999999999995E-2</v>
      </c>
      <c r="G43" s="13">
        <v>579.48</v>
      </c>
      <c r="H43" s="97">
        <f t="shared" si="6"/>
        <v>4.1722559999999999E-2</v>
      </c>
      <c r="I43" s="13">
        <f t="shared" si="7"/>
        <v>20.861280000000001</v>
      </c>
      <c r="J43" s="25"/>
    </row>
    <row r="44" spans="1:13" ht="15.75" hidden="1" customHeight="1">
      <c r="A44" s="41">
        <v>20</v>
      </c>
      <c r="B44" s="93" t="s">
        <v>36</v>
      </c>
      <c r="C44" s="94" t="s">
        <v>102</v>
      </c>
      <c r="D44" s="93" t="s">
        <v>42</v>
      </c>
      <c r="E44" s="95">
        <v>1197.7</v>
      </c>
      <c r="F44" s="96">
        <f>SUM(E44*2/1000)</f>
        <v>2.3954</v>
      </c>
      <c r="G44" s="13">
        <v>579.48</v>
      </c>
      <c r="H44" s="97">
        <f t="shared" si="6"/>
        <v>1.3880863919999999</v>
      </c>
      <c r="I44" s="13">
        <f t="shared" si="7"/>
        <v>694.04319599999997</v>
      </c>
      <c r="J44" s="25"/>
    </row>
    <row r="45" spans="1:13" ht="15.75" hidden="1" customHeight="1">
      <c r="A45" s="41">
        <v>21</v>
      </c>
      <c r="B45" s="93" t="s">
        <v>37</v>
      </c>
      <c r="C45" s="94" t="s">
        <v>102</v>
      </c>
      <c r="D45" s="93" t="s">
        <v>42</v>
      </c>
      <c r="E45" s="95">
        <v>2275.92</v>
      </c>
      <c r="F45" s="96">
        <f>SUM(E45*2/1000)</f>
        <v>4.5518400000000003</v>
      </c>
      <c r="G45" s="13">
        <v>606.77</v>
      </c>
      <c r="H45" s="97">
        <f t="shared" si="6"/>
        <v>2.7619199567999999</v>
      </c>
      <c r="I45" s="13">
        <f t="shared" si="7"/>
        <v>1380.9599784</v>
      </c>
      <c r="J45" s="25"/>
    </row>
    <row r="46" spans="1:13" ht="15.75" hidden="1" customHeight="1">
      <c r="A46" s="41">
        <v>22</v>
      </c>
      <c r="B46" s="93" t="s">
        <v>33</v>
      </c>
      <c r="C46" s="94" t="s">
        <v>34</v>
      </c>
      <c r="D46" s="93" t="s">
        <v>42</v>
      </c>
      <c r="E46" s="95">
        <v>81.709999999999994</v>
      </c>
      <c r="F46" s="96">
        <f>SUM(E46*2/100)</f>
        <v>1.6341999999999999</v>
      </c>
      <c r="G46" s="13">
        <v>68.56</v>
      </c>
      <c r="H46" s="97">
        <f t="shared" si="6"/>
        <v>0.11204075199999999</v>
      </c>
      <c r="I46" s="13">
        <f>F46/2*G46</f>
        <v>56.020375999999999</v>
      </c>
      <c r="J46" s="25"/>
    </row>
    <row r="47" spans="1:13" ht="15.75" hidden="1" customHeight="1">
      <c r="A47" s="41">
        <v>23</v>
      </c>
      <c r="B47" s="93" t="s">
        <v>56</v>
      </c>
      <c r="C47" s="94" t="s">
        <v>102</v>
      </c>
      <c r="D47" s="93" t="s">
        <v>137</v>
      </c>
      <c r="E47" s="95">
        <v>1711.8</v>
      </c>
      <c r="F47" s="96">
        <f>SUM(E47*5/1000)</f>
        <v>8.5589999999999993</v>
      </c>
      <c r="G47" s="13">
        <v>1213.55</v>
      </c>
      <c r="H47" s="97">
        <f t="shared" si="6"/>
        <v>10.386774449999999</v>
      </c>
      <c r="I47" s="13">
        <f>F47/5*G47</f>
        <v>2077.3548899999996</v>
      </c>
      <c r="J47" s="25"/>
    </row>
    <row r="48" spans="1:13" ht="31.5" hidden="1" customHeight="1">
      <c r="A48" s="41">
        <v>14</v>
      </c>
      <c r="B48" s="93" t="s">
        <v>109</v>
      </c>
      <c r="C48" s="94" t="s">
        <v>102</v>
      </c>
      <c r="D48" s="93" t="s">
        <v>42</v>
      </c>
      <c r="E48" s="95">
        <v>1711.8</v>
      </c>
      <c r="F48" s="96">
        <f>SUM(E48*2/1000)</f>
        <v>3.4236</v>
      </c>
      <c r="G48" s="13">
        <v>1213.55</v>
      </c>
      <c r="H48" s="97">
        <f t="shared" si="6"/>
        <v>4.1547097800000001</v>
      </c>
      <c r="I48" s="13">
        <f>F48/2*G48</f>
        <v>2077.3548900000001</v>
      </c>
      <c r="J48" s="25"/>
    </row>
    <row r="49" spans="1:14" ht="31.5" hidden="1" customHeight="1">
      <c r="A49" s="41">
        <v>15</v>
      </c>
      <c r="B49" s="93" t="s">
        <v>110</v>
      </c>
      <c r="C49" s="94" t="s">
        <v>38</v>
      </c>
      <c r="D49" s="93" t="s">
        <v>42</v>
      </c>
      <c r="E49" s="95">
        <v>15</v>
      </c>
      <c r="F49" s="96">
        <f>SUM(E49*2/100)</f>
        <v>0.3</v>
      </c>
      <c r="G49" s="13">
        <v>2730.49</v>
      </c>
      <c r="H49" s="97">
        <f t="shared" si="6"/>
        <v>0.81914699999999996</v>
      </c>
      <c r="I49" s="13">
        <f t="shared" ref="I49:I50" si="8">F49/2*G49</f>
        <v>409.57349999999997</v>
      </c>
      <c r="J49" s="25"/>
    </row>
    <row r="50" spans="1:14" ht="15.75" hidden="1" customHeight="1">
      <c r="A50" s="41">
        <v>16</v>
      </c>
      <c r="B50" s="93" t="s">
        <v>39</v>
      </c>
      <c r="C50" s="94" t="s">
        <v>40</v>
      </c>
      <c r="D50" s="93" t="s">
        <v>42</v>
      </c>
      <c r="E50" s="95">
        <v>1</v>
      </c>
      <c r="F50" s="96">
        <v>0.02</v>
      </c>
      <c r="G50" s="13">
        <v>5322.15</v>
      </c>
      <c r="H50" s="97">
        <f t="shared" si="6"/>
        <v>0.106443</v>
      </c>
      <c r="I50" s="13">
        <f t="shared" si="8"/>
        <v>53.221499999999999</v>
      </c>
      <c r="J50" s="25"/>
      <c r="L50" s="21"/>
      <c r="M50" s="22"/>
      <c r="N50" s="23"/>
    </row>
    <row r="51" spans="1:14" ht="15.75" hidden="1" customHeight="1">
      <c r="A51" s="41">
        <v>11</v>
      </c>
      <c r="B51" s="93" t="s">
        <v>41</v>
      </c>
      <c r="C51" s="94" t="s">
        <v>87</v>
      </c>
      <c r="D51" s="93" t="s">
        <v>71</v>
      </c>
      <c r="E51" s="95">
        <v>90</v>
      </c>
      <c r="F51" s="96">
        <f>SUM(E51)*3</f>
        <v>270</v>
      </c>
      <c r="G51" s="13">
        <v>65.67</v>
      </c>
      <c r="H51" s="97">
        <f t="shared" si="6"/>
        <v>17.730900000000002</v>
      </c>
      <c r="I51" s="13">
        <f>E51*G51</f>
        <v>5910.3</v>
      </c>
      <c r="J51" s="25"/>
      <c r="L51" s="21"/>
      <c r="M51" s="22"/>
      <c r="N51" s="23"/>
    </row>
    <row r="52" spans="1:14" ht="15.75" customHeight="1">
      <c r="A52" s="155" t="s">
        <v>134</v>
      </c>
      <c r="B52" s="156"/>
      <c r="C52" s="156"/>
      <c r="D52" s="156"/>
      <c r="E52" s="156"/>
      <c r="F52" s="156"/>
      <c r="G52" s="156"/>
      <c r="H52" s="156"/>
      <c r="I52" s="157"/>
      <c r="J52" s="25"/>
      <c r="L52" s="21"/>
      <c r="M52" s="22"/>
      <c r="N52" s="23"/>
    </row>
    <row r="53" spans="1:14" ht="15.75" hidden="1" customHeight="1">
      <c r="A53" s="53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3" t="s">
        <v>111</v>
      </c>
      <c r="C54" s="94" t="s">
        <v>90</v>
      </c>
      <c r="D54" s="93" t="s">
        <v>112</v>
      </c>
      <c r="E54" s="95">
        <v>96.58</v>
      </c>
      <c r="F54" s="96">
        <f>SUM(E54*6/100)</f>
        <v>5.7948000000000004</v>
      </c>
      <c r="G54" s="13">
        <v>1547.28</v>
      </c>
      <c r="H54" s="97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9" t="s">
        <v>44</v>
      </c>
      <c r="C55" s="40"/>
      <c r="D55" s="34"/>
      <c r="E55" s="19"/>
      <c r="F55" s="87"/>
      <c r="G55" s="37"/>
      <c r="H55" s="70"/>
      <c r="I55" s="20"/>
      <c r="J55" s="25"/>
      <c r="L55" s="21"/>
      <c r="M55" s="22"/>
      <c r="N55" s="23"/>
    </row>
    <row r="56" spans="1:14" ht="15.75" hidden="1" customHeight="1">
      <c r="A56" s="41"/>
      <c r="B56" s="93" t="s">
        <v>45</v>
      </c>
      <c r="C56" s="94" t="s">
        <v>90</v>
      </c>
      <c r="D56" s="93" t="s">
        <v>54</v>
      </c>
      <c r="E56" s="95">
        <v>855.9</v>
      </c>
      <c r="F56" s="97">
        <v>8.6</v>
      </c>
      <c r="G56" s="13">
        <v>747.3</v>
      </c>
      <c r="H56" s="101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9</v>
      </c>
      <c r="B57" s="93" t="s">
        <v>88</v>
      </c>
      <c r="C57" s="94" t="s">
        <v>25</v>
      </c>
      <c r="D57" s="93" t="s">
        <v>190</v>
      </c>
      <c r="E57" s="95">
        <v>256</v>
      </c>
      <c r="F57" s="97">
        <v>1560</v>
      </c>
      <c r="G57" s="13">
        <v>1.4</v>
      </c>
      <c r="H57" s="101">
        <f>F57*G57/1000</f>
        <v>2.1840000000000002</v>
      </c>
      <c r="I57" s="13">
        <f>F57/12*G57</f>
        <v>182</v>
      </c>
      <c r="J57" s="25"/>
      <c r="L57" s="21"/>
      <c r="M57" s="22"/>
      <c r="N57" s="23"/>
    </row>
    <row r="58" spans="1:14" ht="15.75" hidden="1" customHeight="1">
      <c r="A58" s="41"/>
      <c r="B58" s="69" t="s">
        <v>128</v>
      </c>
      <c r="C58" s="40"/>
      <c r="D58" s="34"/>
      <c r="E58" s="19"/>
      <c r="F58" s="87"/>
      <c r="G58" s="71"/>
      <c r="H58" s="70"/>
      <c r="I58" s="20"/>
      <c r="J58" s="25"/>
      <c r="L58" s="21"/>
      <c r="M58" s="22"/>
      <c r="N58" s="23"/>
    </row>
    <row r="59" spans="1:14" ht="15.75" hidden="1" customHeight="1">
      <c r="A59" s="41"/>
      <c r="B59" s="93" t="s">
        <v>129</v>
      </c>
      <c r="C59" s="94" t="s">
        <v>87</v>
      </c>
      <c r="D59" s="93" t="s">
        <v>65</v>
      </c>
      <c r="E59" s="95">
        <v>2</v>
      </c>
      <c r="F59" s="96">
        <f>SUM(E59)</f>
        <v>2</v>
      </c>
      <c r="G59" s="102">
        <v>237.75</v>
      </c>
      <c r="H59" s="97">
        <f t="shared" ref="H59" si="9">SUM(F59*G59/1000)</f>
        <v>0.47549999999999998</v>
      </c>
      <c r="I59" s="13">
        <v>0</v>
      </c>
      <c r="J59" s="25"/>
      <c r="L59" s="21"/>
      <c r="M59" s="22"/>
      <c r="N59" s="23"/>
    </row>
    <row r="60" spans="1:14" ht="15.75" customHeight="1">
      <c r="A60" s="41"/>
      <c r="B60" s="77" t="s">
        <v>46</v>
      </c>
      <c r="C60" s="17"/>
      <c r="D60" s="16"/>
      <c r="E60" s="16"/>
      <c r="F60" s="88"/>
      <c r="G60" s="65"/>
      <c r="H60" s="70"/>
      <c r="I60" s="19"/>
      <c r="J60" s="25"/>
      <c r="L60" s="21"/>
      <c r="M60" s="22"/>
      <c r="N60" s="23"/>
    </row>
    <row r="61" spans="1:14" ht="15.75" hidden="1" customHeight="1">
      <c r="A61" s="41">
        <v>23</v>
      </c>
      <c r="B61" s="15" t="s">
        <v>47</v>
      </c>
      <c r="C61" s="17" t="s">
        <v>87</v>
      </c>
      <c r="D61" s="93" t="s">
        <v>65</v>
      </c>
      <c r="E61" s="19">
        <v>10</v>
      </c>
      <c r="F61" s="96">
        <v>10</v>
      </c>
      <c r="G61" s="13">
        <v>222.4</v>
      </c>
      <c r="H61" s="103">
        <f t="shared" ref="H61:H68" si="10">SUM(F61*G61/1000)</f>
        <v>2.2240000000000002</v>
      </c>
      <c r="I61" s="13">
        <v>0</v>
      </c>
      <c r="J61" s="25"/>
      <c r="L61" s="21"/>
      <c r="M61" s="22"/>
      <c r="N61" s="23"/>
    </row>
    <row r="62" spans="1:14" ht="15.75" hidden="1" customHeight="1">
      <c r="A62" s="31">
        <v>29</v>
      </c>
      <c r="B62" s="15" t="s">
        <v>48</v>
      </c>
      <c r="C62" s="17" t="s">
        <v>87</v>
      </c>
      <c r="D62" s="93" t="s">
        <v>65</v>
      </c>
      <c r="E62" s="19">
        <v>5</v>
      </c>
      <c r="F62" s="96">
        <v>5</v>
      </c>
      <c r="G62" s="13">
        <v>75.25</v>
      </c>
      <c r="H62" s="103">
        <f t="shared" si="10"/>
        <v>0.37624999999999997</v>
      </c>
      <c r="I62" s="13">
        <v>0</v>
      </c>
      <c r="J62" s="25"/>
      <c r="L62" s="21"/>
      <c r="M62" s="22"/>
      <c r="N62" s="23"/>
    </row>
    <row r="63" spans="1:14" ht="15.75" customHeight="1">
      <c r="A63" s="31">
        <v>10</v>
      </c>
      <c r="B63" s="15" t="s">
        <v>49</v>
      </c>
      <c r="C63" s="17" t="s">
        <v>113</v>
      </c>
      <c r="D63" s="15"/>
      <c r="E63" s="95">
        <v>13018</v>
      </c>
      <c r="F63" s="13">
        <f>SUM(E63/100)</f>
        <v>130.18</v>
      </c>
      <c r="G63" s="13">
        <v>212.15</v>
      </c>
      <c r="H63" s="103">
        <f t="shared" si="10"/>
        <v>27.617687</v>
      </c>
      <c r="I63" s="13">
        <f>F63*G63</f>
        <v>27617.687000000002</v>
      </c>
      <c r="J63" s="25"/>
      <c r="L63" s="21"/>
      <c r="M63" s="22"/>
      <c r="N63" s="23"/>
    </row>
    <row r="64" spans="1:14" ht="15.75" customHeight="1">
      <c r="A64" s="31">
        <v>11</v>
      </c>
      <c r="B64" s="15" t="s">
        <v>50</v>
      </c>
      <c r="C64" s="17" t="s">
        <v>114</v>
      </c>
      <c r="D64" s="15"/>
      <c r="E64" s="95">
        <v>13018</v>
      </c>
      <c r="F64" s="13">
        <f>SUM(E64/1000)</f>
        <v>13.018000000000001</v>
      </c>
      <c r="G64" s="13">
        <v>165.21</v>
      </c>
      <c r="H64" s="103">
        <f t="shared" si="10"/>
        <v>2.1507037800000002</v>
      </c>
      <c r="I64" s="13">
        <f t="shared" ref="I64:I68" si="11">F64*G64</f>
        <v>2150.7037800000003</v>
      </c>
      <c r="J64" s="25"/>
      <c r="L64" s="21"/>
      <c r="M64" s="22"/>
      <c r="N64" s="23"/>
    </row>
    <row r="65" spans="1:14" ht="15.75" customHeight="1">
      <c r="A65" s="31">
        <v>12</v>
      </c>
      <c r="B65" s="15" t="s">
        <v>51</v>
      </c>
      <c r="C65" s="17" t="s">
        <v>76</v>
      </c>
      <c r="D65" s="15"/>
      <c r="E65" s="95">
        <v>1279</v>
      </c>
      <c r="F65" s="13">
        <f>SUM(E65/100)</f>
        <v>12.79</v>
      </c>
      <c r="G65" s="13">
        <v>2074.63</v>
      </c>
      <c r="H65" s="103">
        <f t="shared" si="10"/>
        <v>26.534517700000002</v>
      </c>
      <c r="I65" s="13">
        <f t="shared" si="11"/>
        <v>26534.5177</v>
      </c>
      <c r="J65" s="25"/>
      <c r="L65" s="21"/>
      <c r="M65" s="22"/>
      <c r="N65" s="23"/>
    </row>
    <row r="66" spans="1:14" ht="15.75" customHeight="1">
      <c r="A66" s="31">
        <v>13</v>
      </c>
      <c r="B66" s="104" t="s">
        <v>115</v>
      </c>
      <c r="C66" s="17" t="s">
        <v>32</v>
      </c>
      <c r="D66" s="15"/>
      <c r="E66" s="95">
        <v>12</v>
      </c>
      <c r="F66" s="13">
        <f>SUM(E66)</f>
        <v>12</v>
      </c>
      <c r="G66" s="13">
        <v>45.32</v>
      </c>
      <c r="H66" s="103">
        <f t="shared" si="10"/>
        <v>0.54383999999999999</v>
      </c>
      <c r="I66" s="13">
        <f t="shared" si="11"/>
        <v>543.84</v>
      </c>
      <c r="J66" s="25"/>
      <c r="L66" s="21"/>
      <c r="M66" s="22"/>
      <c r="N66" s="23"/>
    </row>
    <row r="67" spans="1:14" ht="15.75" customHeight="1">
      <c r="A67" s="31">
        <v>14</v>
      </c>
      <c r="B67" s="104" t="s">
        <v>116</v>
      </c>
      <c r="C67" s="17" t="s">
        <v>32</v>
      </c>
      <c r="D67" s="15"/>
      <c r="E67" s="95">
        <v>12</v>
      </c>
      <c r="F67" s="13">
        <f>SUM(E67)</f>
        <v>12</v>
      </c>
      <c r="G67" s="13">
        <v>42.28</v>
      </c>
      <c r="H67" s="103">
        <f t="shared" si="10"/>
        <v>0.50736000000000003</v>
      </c>
      <c r="I67" s="13">
        <f t="shared" si="11"/>
        <v>507.36</v>
      </c>
      <c r="J67" s="25"/>
      <c r="L67" s="21"/>
      <c r="M67" s="22"/>
      <c r="N67" s="23"/>
    </row>
    <row r="68" spans="1:14" ht="15.75" hidden="1" customHeight="1">
      <c r="A68" s="31">
        <v>13</v>
      </c>
      <c r="B68" s="15" t="s">
        <v>57</v>
      </c>
      <c r="C68" s="17" t="s">
        <v>58</v>
      </c>
      <c r="D68" s="15" t="s">
        <v>54</v>
      </c>
      <c r="E68" s="19">
        <v>1</v>
      </c>
      <c r="F68" s="96">
        <f>SUM(E68)</f>
        <v>1</v>
      </c>
      <c r="G68" s="13">
        <v>49.88</v>
      </c>
      <c r="H68" s="103">
        <f t="shared" si="10"/>
        <v>4.9880000000000001E-2</v>
      </c>
      <c r="I68" s="13">
        <f t="shared" si="11"/>
        <v>49.88</v>
      </c>
      <c r="J68" s="25"/>
      <c r="L68" s="21"/>
      <c r="M68" s="22"/>
      <c r="N68" s="23"/>
    </row>
    <row r="69" spans="1:14" ht="15.75" hidden="1" customHeight="1">
      <c r="A69" s="53"/>
      <c r="B69" s="77" t="s">
        <v>117</v>
      </c>
      <c r="C69" s="77"/>
      <c r="D69" s="77"/>
      <c r="E69" s="77"/>
      <c r="F69" s="77"/>
      <c r="G69" s="77"/>
      <c r="H69" s="77"/>
      <c r="I69" s="19"/>
      <c r="J69" s="25"/>
      <c r="L69" s="21"/>
      <c r="M69" s="22"/>
      <c r="N69" s="23"/>
    </row>
    <row r="70" spans="1:14" ht="15.75" hidden="1" customHeight="1">
      <c r="A70" s="31">
        <v>16</v>
      </c>
      <c r="B70" s="152" t="s">
        <v>118</v>
      </c>
      <c r="C70" s="17"/>
      <c r="D70" s="15"/>
      <c r="E70" s="87"/>
      <c r="F70" s="13">
        <v>1</v>
      </c>
      <c r="G70" s="13">
        <v>10041.700000000001</v>
      </c>
      <c r="H70" s="103">
        <f>G70*F70/1000</f>
        <v>10.041700000000001</v>
      </c>
      <c r="I70" s="13">
        <f>G70</f>
        <v>10041.700000000001</v>
      </c>
      <c r="J70" s="25"/>
      <c r="L70" s="21"/>
      <c r="M70" s="22"/>
      <c r="N70" s="23"/>
    </row>
    <row r="71" spans="1:14" ht="15.75" customHeight="1">
      <c r="A71" s="31"/>
      <c r="B71" s="151" t="s">
        <v>215</v>
      </c>
      <c r="C71" s="38"/>
      <c r="D71" s="124"/>
      <c r="E71" s="18"/>
      <c r="F71" s="70"/>
      <c r="G71" s="37"/>
      <c r="H71" s="144"/>
      <c r="I71" s="145"/>
      <c r="J71" s="25"/>
      <c r="L71" s="21"/>
      <c r="M71" s="22"/>
      <c r="N71" s="23"/>
    </row>
    <row r="72" spans="1:14" ht="15.75" customHeight="1">
      <c r="A72" s="31">
        <v>15</v>
      </c>
      <c r="B72" s="124" t="s">
        <v>216</v>
      </c>
      <c r="C72" s="41" t="s">
        <v>217</v>
      </c>
      <c r="D72" s="124"/>
      <c r="E72" s="18">
        <v>2581.1999999999998</v>
      </c>
      <c r="F72" s="37">
        <f>E72*12</f>
        <v>30974.399999999998</v>
      </c>
      <c r="G72" s="37">
        <v>2.4900000000000002</v>
      </c>
      <c r="H72" s="144"/>
      <c r="I72" s="145">
        <f>G72*F72/12</f>
        <v>6427.1879999999992</v>
      </c>
      <c r="J72" s="25"/>
      <c r="L72" s="21"/>
      <c r="M72" s="22"/>
      <c r="N72" s="23"/>
    </row>
    <row r="73" spans="1:14" ht="15.75" customHeight="1">
      <c r="A73" s="31"/>
      <c r="B73" s="49" t="s">
        <v>72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customHeight="1">
      <c r="A74" s="31">
        <v>16</v>
      </c>
      <c r="B74" s="15" t="s">
        <v>73</v>
      </c>
      <c r="C74" s="17" t="s">
        <v>74</v>
      </c>
      <c r="D74" s="15" t="s">
        <v>201</v>
      </c>
      <c r="E74" s="19">
        <v>5</v>
      </c>
      <c r="F74" s="13">
        <v>0.5</v>
      </c>
      <c r="G74" s="13">
        <v>501.62</v>
      </c>
      <c r="H74" s="103">
        <f t="shared" ref="H74:H76" si="12">SUM(F74*G74/1000)</f>
        <v>0.25080999999999998</v>
      </c>
      <c r="I74" s="13">
        <f>G74*0.2</f>
        <v>100.32400000000001</v>
      </c>
      <c r="J74" s="25"/>
      <c r="L74" s="21"/>
      <c r="M74" s="22"/>
      <c r="N74" s="23"/>
    </row>
    <row r="75" spans="1:14" ht="15.75" hidden="1" customHeight="1">
      <c r="A75" s="31"/>
      <c r="B75" s="15" t="s">
        <v>130</v>
      </c>
      <c r="C75" s="17" t="s">
        <v>87</v>
      </c>
      <c r="D75" s="15"/>
      <c r="E75" s="19">
        <v>1</v>
      </c>
      <c r="F75" s="86">
        <f>E75</f>
        <v>1</v>
      </c>
      <c r="G75" s="13">
        <v>852.99</v>
      </c>
      <c r="H75" s="103">
        <f t="shared" si="12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131</v>
      </c>
      <c r="C76" s="17" t="s">
        <v>87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2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75</v>
      </c>
      <c r="C77" s="38"/>
      <c r="D77" s="31"/>
      <c r="E77" s="19"/>
      <c r="F77" s="19"/>
      <c r="G77" s="37" t="s">
        <v>119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120</v>
      </c>
      <c r="C78" s="17" t="s">
        <v>76</v>
      </c>
      <c r="D78" s="15"/>
      <c r="E78" s="19"/>
      <c r="F78" s="13">
        <v>0.3</v>
      </c>
      <c r="G78" s="13">
        <v>2759.44</v>
      </c>
      <c r="H78" s="103">
        <f t="shared" ref="H78" si="13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9" t="s">
        <v>135</v>
      </c>
      <c r="B79" s="160"/>
      <c r="C79" s="160"/>
      <c r="D79" s="160"/>
      <c r="E79" s="160"/>
      <c r="F79" s="160"/>
      <c r="G79" s="160"/>
      <c r="H79" s="160"/>
      <c r="I79" s="161"/>
      <c r="J79" s="25"/>
      <c r="L79" s="21"/>
      <c r="M79" s="22"/>
      <c r="N79" s="23"/>
    </row>
    <row r="80" spans="1:14" ht="15.75" customHeight="1">
      <c r="A80" s="31">
        <v>17</v>
      </c>
      <c r="B80" s="93" t="s">
        <v>121</v>
      </c>
      <c r="C80" s="17" t="s">
        <v>55</v>
      </c>
      <c r="D80" s="106"/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18</v>
      </c>
      <c r="B81" s="15" t="s">
        <v>77</v>
      </c>
      <c r="C81" s="17"/>
      <c r="D81" s="106"/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53"/>
      <c r="B82" s="39" t="s">
        <v>79</v>
      </c>
      <c r="C82" s="41"/>
      <c r="D82" s="16"/>
      <c r="E82" s="16"/>
      <c r="F82" s="16"/>
      <c r="G82" s="19"/>
      <c r="H82" s="19"/>
      <c r="I82" s="33">
        <f>I81+I80+I74+I67+I66+I65+I64+I63+I57+I31+I30+I27+I21+I20+I18+I17+I16+I72</f>
        <v>84561.731974166687</v>
      </c>
    </row>
    <row r="83" spans="1:22" ht="15.75" customHeight="1">
      <c r="A83" s="162" t="s">
        <v>60</v>
      </c>
      <c r="B83" s="163"/>
      <c r="C83" s="163"/>
      <c r="D83" s="163"/>
      <c r="E83" s="163"/>
      <c r="F83" s="163"/>
      <c r="G83" s="163"/>
      <c r="H83" s="163"/>
      <c r="I83" s="164"/>
    </row>
    <row r="84" spans="1:22" ht="15.75" customHeight="1">
      <c r="A84" s="31">
        <v>19</v>
      </c>
      <c r="B84" s="125" t="s">
        <v>141</v>
      </c>
      <c r="C84" s="41" t="s">
        <v>142</v>
      </c>
      <c r="D84" s="52"/>
      <c r="E84" s="13"/>
      <c r="F84" s="13">
        <v>368</v>
      </c>
      <c r="G84" s="37">
        <v>1730</v>
      </c>
      <c r="H84" s="103" t="e">
        <f>#REF!*#REF!/1000</f>
        <v>#REF!</v>
      </c>
      <c r="I84" s="13">
        <f>G84*2.5</f>
        <v>4325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34.5" customHeight="1">
      <c r="A85" s="31">
        <v>20</v>
      </c>
      <c r="B85" s="122" t="s">
        <v>184</v>
      </c>
      <c r="C85" s="123" t="s">
        <v>155</v>
      </c>
      <c r="D85" s="52" t="s">
        <v>213</v>
      </c>
      <c r="E85" s="13"/>
      <c r="F85" s="13">
        <v>4.9000000000000004</v>
      </c>
      <c r="G85" s="37">
        <v>6499.12</v>
      </c>
      <c r="H85" s="103">
        <f t="shared" ref="H85:H86" si="14">G85*F85/1000</f>
        <v>31.845688000000003</v>
      </c>
      <c r="I85" s="13">
        <f>G85*1.731</f>
        <v>11249.976720000001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15.75" customHeight="1">
      <c r="A86" s="31">
        <v>21</v>
      </c>
      <c r="B86" s="122" t="s">
        <v>165</v>
      </c>
      <c r="C86" s="123" t="s">
        <v>83</v>
      </c>
      <c r="D86" s="52"/>
      <c r="E86" s="13"/>
      <c r="F86" s="13">
        <v>8</v>
      </c>
      <c r="G86" s="37">
        <v>214.07</v>
      </c>
      <c r="H86" s="103">
        <f t="shared" si="14"/>
        <v>1.7125599999999999</v>
      </c>
      <c r="I86" s="13">
        <f>G86*1</f>
        <v>214.07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5.75" customHeight="1">
      <c r="A87" s="31">
        <v>22</v>
      </c>
      <c r="B87" s="122" t="s">
        <v>95</v>
      </c>
      <c r="C87" s="123" t="s">
        <v>87</v>
      </c>
      <c r="D87" s="52"/>
      <c r="E87" s="13"/>
      <c r="F87" s="13"/>
      <c r="G87" s="37">
        <v>58.39</v>
      </c>
      <c r="H87" s="103"/>
      <c r="I87" s="13">
        <f>G87*1</f>
        <v>58.39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5.75" customHeight="1">
      <c r="A88" s="31"/>
      <c r="B88" s="46" t="s">
        <v>52</v>
      </c>
      <c r="C88" s="42"/>
      <c r="D88" s="54"/>
      <c r="E88" s="42">
        <v>1</v>
      </c>
      <c r="F88" s="42"/>
      <c r="G88" s="42"/>
      <c r="H88" s="42"/>
      <c r="I88" s="33">
        <f>SUM(I84:I87)</f>
        <v>15847.43672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2" ht="15.75" customHeight="1">
      <c r="A89" s="31"/>
      <c r="B89" s="52" t="s">
        <v>78</v>
      </c>
      <c r="C89" s="16"/>
      <c r="D89" s="16"/>
      <c r="E89" s="43"/>
      <c r="F89" s="43"/>
      <c r="G89" s="44"/>
      <c r="H89" s="44"/>
      <c r="I89" s="18">
        <v>0</v>
      </c>
    </row>
    <row r="90" spans="1:22" ht="15.75" customHeight="1">
      <c r="A90" s="55"/>
      <c r="B90" s="47" t="s">
        <v>138</v>
      </c>
      <c r="C90" s="36"/>
      <c r="D90" s="36"/>
      <c r="E90" s="36"/>
      <c r="F90" s="36"/>
      <c r="G90" s="36"/>
      <c r="H90" s="36"/>
      <c r="I90" s="45">
        <f>I82+I88</f>
        <v>100409.16869416668</v>
      </c>
    </row>
    <row r="91" spans="1:22" ht="15.75" customHeight="1">
      <c r="A91" s="158" t="s">
        <v>228</v>
      </c>
      <c r="B91" s="158"/>
      <c r="C91" s="158"/>
      <c r="D91" s="158"/>
      <c r="E91" s="158"/>
      <c r="F91" s="158"/>
      <c r="G91" s="158"/>
      <c r="H91" s="158"/>
      <c r="I91" s="158"/>
    </row>
    <row r="92" spans="1:22" ht="15.75" customHeight="1">
      <c r="A92" s="79"/>
      <c r="B92" s="171" t="s">
        <v>229</v>
      </c>
      <c r="C92" s="171"/>
      <c r="D92" s="171"/>
      <c r="E92" s="171"/>
      <c r="F92" s="171"/>
      <c r="G92" s="171"/>
      <c r="H92" s="91"/>
      <c r="I92" s="3"/>
    </row>
    <row r="93" spans="1:22" ht="15.75" customHeight="1">
      <c r="A93" s="72"/>
      <c r="B93" s="172" t="s">
        <v>6</v>
      </c>
      <c r="C93" s="172"/>
      <c r="D93" s="172"/>
      <c r="E93" s="172"/>
      <c r="F93" s="172"/>
      <c r="G93" s="172"/>
      <c r="H93" s="26"/>
      <c r="I93" s="5"/>
    </row>
    <row r="94" spans="1:22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2" ht="15.75" customHeight="1">
      <c r="A95" s="173" t="s">
        <v>7</v>
      </c>
      <c r="B95" s="173"/>
      <c r="C95" s="173"/>
      <c r="D95" s="173"/>
      <c r="E95" s="173"/>
      <c r="F95" s="173"/>
      <c r="G95" s="173"/>
      <c r="H95" s="173"/>
      <c r="I95" s="173"/>
    </row>
    <row r="96" spans="1:22" ht="15.75" customHeight="1">
      <c r="A96" s="173" t="s">
        <v>8</v>
      </c>
      <c r="B96" s="173"/>
      <c r="C96" s="173"/>
      <c r="D96" s="173"/>
      <c r="E96" s="173"/>
      <c r="F96" s="173"/>
      <c r="G96" s="173"/>
      <c r="H96" s="173"/>
      <c r="I96" s="173"/>
    </row>
    <row r="97" spans="1:9" ht="15.75" customHeight="1">
      <c r="A97" s="176" t="s">
        <v>61</v>
      </c>
      <c r="B97" s="176"/>
      <c r="C97" s="176"/>
      <c r="D97" s="176"/>
      <c r="E97" s="176"/>
      <c r="F97" s="176"/>
      <c r="G97" s="176"/>
      <c r="H97" s="176"/>
      <c r="I97" s="176"/>
    </row>
    <row r="98" spans="1:9" ht="15.75" customHeight="1">
      <c r="A98" s="11"/>
    </row>
    <row r="99" spans="1:9" ht="15.75" customHeight="1">
      <c r="A99" s="177" t="s">
        <v>9</v>
      </c>
      <c r="B99" s="177"/>
      <c r="C99" s="177"/>
      <c r="D99" s="177"/>
      <c r="E99" s="177"/>
      <c r="F99" s="177"/>
      <c r="G99" s="177"/>
      <c r="H99" s="177"/>
      <c r="I99" s="177"/>
    </row>
    <row r="100" spans="1:9" ht="15.75" customHeight="1">
      <c r="A100" s="4"/>
    </row>
    <row r="101" spans="1:9" ht="15.75" customHeight="1">
      <c r="B101" s="75" t="s">
        <v>10</v>
      </c>
      <c r="C101" s="178" t="s">
        <v>86</v>
      </c>
      <c r="D101" s="178"/>
      <c r="E101" s="178"/>
      <c r="F101" s="89"/>
      <c r="I101" s="74"/>
    </row>
    <row r="102" spans="1:9" ht="15.75" customHeight="1">
      <c r="A102" s="72"/>
      <c r="C102" s="172" t="s">
        <v>11</v>
      </c>
      <c r="D102" s="172"/>
      <c r="E102" s="172"/>
      <c r="F102" s="26"/>
      <c r="I102" s="73" t="s">
        <v>12</v>
      </c>
    </row>
    <row r="103" spans="1:9" ht="15.75" customHeight="1">
      <c r="A103" s="27"/>
      <c r="C103" s="12"/>
      <c r="D103" s="12"/>
      <c r="G103" s="12"/>
      <c r="H103" s="12"/>
    </row>
    <row r="104" spans="1:9" ht="15.75" customHeight="1">
      <c r="B104" s="75" t="s">
        <v>13</v>
      </c>
      <c r="C104" s="179"/>
      <c r="D104" s="179"/>
      <c r="E104" s="179"/>
      <c r="F104" s="90"/>
      <c r="I104" s="74"/>
    </row>
    <row r="105" spans="1:9" ht="15.75" customHeight="1">
      <c r="A105" s="72"/>
      <c r="C105" s="175" t="s">
        <v>11</v>
      </c>
      <c r="D105" s="175"/>
      <c r="E105" s="175"/>
      <c r="F105" s="72"/>
      <c r="I105" s="73" t="s">
        <v>12</v>
      </c>
    </row>
    <row r="106" spans="1:9" ht="15.75" customHeight="1">
      <c r="A106" s="4" t="s">
        <v>14</v>
      </c>
    </row>
    <row r="107" spans="1:9">
      <c r="A107" s="174" t="s">
        <v>15</v>
      </c>
      <c r="B107" s="174"/>
      <c r="C107" s="174"/>
      <c r="D107" s="174"/>
      <c r="E107" s="174"/>
      <c r="F107" s="174"/>
      <c r="G107" s="174"/>
      <c r="H107" s="174"/>
      <c r="I107" s="174"/>
    </row>
    <row r="108" spans="1:9" ht="45" customHeight="1">
      <c r="A108" s="170" t="s">
        <v>16</v>
      </c>
      <c r="B108" s="170"/>
      <c r="C108" s="170"/>
      <c r="D108" s="170"/>
      <c r="E108" s="170"/>
      <c r="F108" s="170"/>
      <c r="G108" s="170"/>
      <c r="H108" s="170"/>
      <c r="I108" s="170"/>
    </row>
    <row r="109" spans="1:9" ht="30" customHeight="1">
      <c r="A109" s="170" t="s">
        <v>17</v>
      </c>
      <c r="B109" s="170"/>
      <c r="C109" s="170"/>
      <c r="D109" s="170"/>
      <c r="E109" s="170"/>
      <c r="F109" s="170"/>
      <c r="G109" s="170"/>
      <c r="H109" s="170"/>
      <c r="I109" s="170"/>
    </row>
    <row r="110" spans="1:9" ht="30" customHeight="1">
      <c r="A110" s="170" t="s">
        <v>21</v>
      </c>
      <c r="B110" s="170"/>
      <c r="C110" s="170"/>
      <c r="D110" s="170"/>
      <c r="E110" s="170"/>
      <c r="F110" s="170"/>
      <c r="G110" s="170"/>
      <c r="H110" s="170"/>
      <c r="I110" s="170"/>
    </row>
    <row r="111" spans="1:9" ht="15" customHeight="1">
      <c r="A111" s="170" t="s">
        <v>20</v>
      </c>
      <c r="B111" s="170"/>
      <c r="C111" s="170"/>
      <c r="D111" s="170"/>
      <c r="E111" s="170"/>
      <c r="F111" s="170"/>
      <c r="G111" s="170"/>
      <c r="H111" s="170"/>
      <c r="I111" s="170"/>
    </row>
  </sheetData>
  <autoFilter ref="I12:I82"/>
  <mergeCells count="28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8:I28"/>
    <mergeCell ref="A41:I41"/>
    <mergeCell ref="A52:I52"/>
    <mergeCell ref="A79:I79"/>
    <mergeCell ref="A83:I83"/>
    <mergeCell ref="A91:I91"/>
    <mergeCell ref="B92:G92"/>
    <mergeCell ref="B93:G93"/>
    <mergeCell ref="A95:I95"/>
    <mergeCell ref="A96:I96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J8" sqref="J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5" t="s">
        <v>148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122</v>
      </c>
      <c r="B4" s="166"/>
      <c r="C4" s="166"/>
      <c r="D4" s="166"/>
      <c r="E4" s="166"/>
      <c r="F4" s="166"/>
      <c r="G4" s="166"/>
      <c r="H4" s="166"/>
      <c r="I4" s="166"/>
    </row>
    <row r="5" spans="1:13" ht="15.75" customHeight="1">
      <c r="A5" s="165" t="s">
        <v>270</v>
      </c>
      <c r="B5" s="169"/>
      <c r="C5" s="169"/>
      <c r="D5" s="169"/>
      <c r="E5" s="169"/>
      <c r="F5" s="169"/>
      <c r="G5" s="169"/>
      <c r="H5" s="169"/>
      <c r="I5" s="169"/>
      <c r="J5" s="2"/>
      <c r="K5" s="2"/>
      <c r="L5" s="2"/>
      <c r="M5" s="2"/>
    </row>
    <row r="6" spans="1:13" ht="15.75" customHeight="1">
      <c r="A6" s="2"/>
      <c r="B6" s="84"/>
      <c r="C6" s="84"/>
      <c r="D6" s="84"/>
      <c r="E6" s="84"/>
      <c r="F6" s="84"/>
      <c r="G6" s="84"/>
      <c r="H6" s="84"/>
      <c r="I6" s="32">
        <v>43677</v>
      </c>
      <c r="J6" s="2"/>
      <c r="K6" s="2"/>
      <c r="L6" s="2"/>
      <c r="M6" s="2"/>
    </row>
    <row r="7" spans="1:13" ht="15.75" customHeight="1">
      <c r="B7" s="85"/>
      <c r="C7" s="85"/>
      <c r="D7" s="8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7" t="s">
        <v>160</v>
      </c>
      <c r="B8" s="167"/>
      <c r="C8" s="167"/>
      <c r="D8" s="167"/>
      <c r="E8" s="167"/>
      <c r="F8" s="167"/>
      <c r="G8" s="167"/>
      <c r="H8" s="167"/>
      <c r="I8" s="167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8" t="s">
        <v>152</v>
      </c>
      <c r="B10" s="168"/>
      <c r="C10" s="168"/>
      <c r="D10" s="168"/>
      <c r="E10" s="168"/>
      <c r="F10" s="168"/>
      <c r="G10" s="168"/>
      <c r="H10" s="168"/>
      <c r="I10" s="16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59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1">
        <v>1</v>
      </c>
      <c r="B16" s="93" t="s">
        <v>85</v>
      </c>
      <c r="C16" s="94" t="s">
        <v>90</v>
      </c>
      <c r="D16" s="93" t="s">
        <v>186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7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99</v>
      </c>
      <c r="C17" s="94" t="s">
        <v>90</v>
      </c>
      <c r="D17" s="93" t="s">
        <v>187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100</v>
      </c>
      <c r="C18" s="94" t="s">
        <v>90</v>
      </c>
      <c r="D18" s="93" t="s">
        <v>188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123</v>
      </c>
      <c r="C19" s="94" t="s">
        <v>124</v>
      </c>
      <c r="D19" s="93" t="s">
        <v>125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89</v>
      </c>
      <c r="C20" s="94" t="s">
        <v>90</v>
      </c>
      <c r="D20" s="93" t="s">
        <v>189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97</v>
      </c>
      <c r="C21" s="94" t="s">
        <v>90</v>
      </c>
      <c r="D21" s="93" t="s">
        <v>190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91</v>
      </c>
      <c r="C22" s="94" t="s">
        <v>53</v>
      </c>
      <c r="D22" s="93" t="s">
        <v>125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92</v>
      </c>
      <c r="C23" s="94" t="s">
        <v>53</v>
      </c>
      <c r="D23" s="93" t="s">
        <v>125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93</v>
      </c>
      <c r="C24" s="94" t="s">
        <v>53</v>
      </c>
      <c r="D24" s="93" t="s">
        <v>126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98</v>
      </c>
      <c r="C25" s="94" t="s">
        <v>90</v>
      </c>
      <c r="D25" s="93" t="s">
        <v>54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94</v>
      </c>
      <c r="C26" s="94" t="s">
        <v>53</v>
      </c>
      <c r="D26" s="93" t="s">
        <v>125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185</v>
      </c>
      <c r="C27" s="40" t="s">
        <v>25</v>
      </c>
      <c r="D27" s="34" t="s">
        <v>191</v>
      </c>
      <c r="E27" s="140">
        <v>4.83</v>
      </c>
      <c r="F27" s="127">
        <f>SUM(E27*258)</f>
        <v>1246.1400000000001</v>
      </c>
      <c r="G27" s="127">
        <v>10.39</v>
      </c>
      <c r="H27" s="97">
        <f t="shared" si="0"/>
        <v>12.947394600000001</v>
      </c>
      <c r="I27" s="13">
        <f>F27/12*G27</f>
        <v>1078.9495500000003</v>
      </c>
      <c r="J27" s="8"/>
      <c r="K27" s="8"/>
      <c r="L27" s="8"/>
      <c r="M27" s="8"/>
    </row>
    <row r="28" spans="1:13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7</v>
      </c>
      <c r="B30" s="93" t="s">
        <v>101</v>
      </c>
      <c r="C30" s="94" t="s">
        <v>102</v>
      </c>
      <c r="D30" s="93" t="s">
        <v>187</v>
      </c>
      <c r="E30" s="96">
        <v>1167.4000000000001</v>
      </c>
      <c r="F30" s="96">
        <f>SUM(E30*52/1000)</f>
        <v>60.704800000000006</v>
      </c>
      <c r="G30" s="96">
        <v>155.88999999999999</v>
      </c>
      <c r="H30" s="97">
        <f t="shared" ref="H30:H32" si="1">SUM(F30*G30/1000)</f>
        <v>9.4632712720000001</v>
      </c>
      <c r="I30" s="13">
        <f>F30/6*G30</f>
        <v>1577.2118786666665</v>
      </c>
      <c r="J30" s="24"/>
      <c r="K30" s="8"/>
      <c r="L30" s="8"/>
      <c r="M30" s="8"/>
    </row>
    <row r="31" spans="1:13" ht="31.5" customHeight="1">
      <c r="A31" s="41">
        <v>8</v>
      </c>
      <c r="B31" s="93" t="s">
        <v>136</v>
      </c>
      <c r="C31" s="94" t="s">
        <v>102</v>
      </c>
      <c r="D31" s="93" t="s">
        <v>186</v>
      </c>
      <c r="E31" s="96">
        <v>540.04999999999995</v>
      </c>
      <c r="F31" s="96">
        <f>SUM(E31*78/1000)</f>
        <v>42.123899999999992</v>
      </c>
      <c r="G31" s="96">
        <v>258.63</v>
      </c>
      <c r="H31" s="97">
        <f t="shared" si="1"/>
        <v>10.894504256999998</v>
      </c>
      <c r="I31" s="13">
        <f t="shared" ref="I31" si="2">F31/6*G31</f>
        <v>1815.7507094999996</v>
      </c>
      <c r="J31" s="24"/>
      <c r="K31" s="8"/>
      <c r="L31" s="8"/>
      <c r="M31" s="8"/>
    </row>
    <row r="32" spans="1:13" ht="15.75" hidden="1" customHeight="1">
      <c r="A32" s="41">
        <v>16</v>
      </c>
      <c r="B32" s="93" t="s">
        <v>27</v>
      </c>
      <c r="C32" s="94" t="s">
        <v>102</v>
      </c>
      <c r="D32" s="93" t="s">
        <v>54</v>
      </c>
      <c r="E32" s="96">
        <v>1167.4000000000001</v>
      </c>
      <c r="F32" s="96">
        <f>SUM(E32/1000)</f>
        <v>1.1674</v>
      </c>
      <c r="G32" s="96">
        <v>3020.33</v>
      </c>
      <c r="H32" s="97">
        <f t="shared" si="1"/>
        <v>3.5259332420000002</v>
      </c>
      <c r="I32" s="13">
        <f>F32*G32</f>
        <v>3525.9332420000001</v>
      </c>
      <c r="J32" s="24"/>
      <c r="K32" s="8"/>
      <c r="L32" s="8"/>
      <c r="M32" s="8"/>
    </row>
    <row r="33" spans="1:13" ht="15.75" hidden="1" customHeight="1">
      <c r="A33" s="41">
        <v>4</v>
      </c>
      <c r="B33" s="93" t="s">
        <v>64</v>
      </c>
      <c r="C33" s="94" t="s">
        <v>32</v>
      </c>
      <c r="D33" s="93" t="s">
        <v>65</v>
      </c>
      <c r="E33" s="95"/>
      <c r="F33" s="96">
        <v>3</v>
      </c>
      <c r="G33" s="96">
        <v>191.32</v>
      </c>
      <c r="H33" s="97">
        <f t="shared" ref="H33" si="3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3" t="s">
        <v>26</v>
      </c>
      <c r="C35" s="94" t="s">
        <v>31</v>
      </c>
      <c r="D35" s="93"/>
      <c r="E35" s="95"/>
      <c r="F35" s="96">
        <v>6</v>
      </c>
      <c r="G35" s="96">
        <v>1527.2</v>
      </c>
      <c r="H35" s="97">
        <f t="shared" ref="H35:H40" si="4">SUM(F35*G35/1000)</f>
        <v>9.1632000000000016</v>
      </c>
      <c r="I35" s="13">
        <f t="shared" ref="I35:I40" si="5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3" t="s">
        <v>66</v>
      </c>
      <c r="C36" s="94" t="s">
        <v>29</v>
      </c>
      <c r="D36" s="93" t="s">
        <v>127</v>
      </c>
      <c r="E36" s="96">
        <v>1080.0999999999999</v>
      </c>
      <c r="F36" s="96">
        <f>SUM(E36*30/1000)</f>
        <v>32.402999999999999</v>
      </c>
      <c r="G36" s="96">
        <v>2102.6999999999998</v>
      </c>
      <c r="H36" s="97">
        <f t="shared" si="4"/>
        <v>68.13378809999999</v>
      </c>
      <c r="I36" s="13">
        <f t="shared" si="5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3" t="s">
        <v>67</v>
      </c>
      <c r="C37" s="94" t="s">
        <v>29</v>
      </c>
      <c r="D37" s="93" t="s">
        <v>106</v>
      </c>
      <c r="E37" s="96">
        <v>45</v>
      </c>
      <c r="F37" s="96">
        <f>SUM(E37*155/1000)</f>
        <v>6.9749999999999996</v>
      </c>
      <c r="G37" s="96">
        <v>350.75</v>
      </c>
      <c r="H37" s="97">
        <f t="shared" si="4"/>
        <v>2.4464812499999997</v>
      </c>
      <c r="I37" s="13">
        <f t="shared" si="5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3" t="s">
        <v>82</v>
      </c>
      <c r="C38" s="94" t="s">
        <v>102</v>
      </c>
      <c r="D38" s="93" t="s">
        <v>68</v>
      </c>
      <c r="E38" s="96">
        <v>45</v>
      </c>
      <c r="F38" s="96">
        <f>SUM(E38*70/1000)</f>
        <v>3.15</v>
      </c>
      <c r="G38" s="96">
        <v>5803.28</v>
      </c>
      <c r="H38" s="97">
        <f t="shared" si="4"/>
        <v>18.280331999999998</v>
      </c>
      <c r="I38" s="13">
        <f t="shared" si="5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3" t="s">
        <v>107</v>
      </c>
      <c r="C39" s="94" t="s">
        <v>102</v>
      </c>
      <c r="D39" s="93" t="s">
        <v>69</v>
      </c>
      <c r="E39" s="96">
        <v>45</v>
      </c>
      <c r="F39" s="96">
        <f>SUM(E39*45/1000)</f>
        <v>2.0249999999999999</v>
      </c>
      <c r="G39" s="96">
        <v>428.7</v>
      </c>
      <c r="H39" s="97">
        <f t="shared" si="4"/>
        <v>0.86811749999999999</v>
      </c>
      <c r="I39" s="13">
        <f t="shared" si="5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3" t="s">
        <v>70</v>
      </c>
      <c r="C40" s="94" t="s">
        <v>32</v>
      </c>
      <c r="D40" s="93"/>
      <c r="E40" s="95"/>
      <c r="F40" s="96">
        <v>0.6</v>
      </c>
      <c r="G40" s="96">
        <v>798</v>
      </c>
      <c r="H40" s="97">
        <f t="shared" si="4"/>
        <v>0.47879999999999995</v>
      </c>
      <c r="I40" s="13">
        <f t="shared" si="5"/>
        <v>79.8</v>
      </c>
      <c r="J40" s="24"/>
      <c r="K40" s="8"/>
      <c r="L40" s="8"/>
      <c r="M40" s="8"/>
    </row>
    <row r="41" spans="1:13" ht="15.75" hidden="1" customHeight="1">
      <c r="A41" s="155" t="s">
        <v>133</v>
      </c>
      <c r="B41" s="156"/>
      <c r="C41" s="156"/>
      <c r="D41" s="156"/>
      <c r="E41" s="156"/>
      <c r="F41" s="156"/>
      <c r="G41" s="156"/>
      <c r="H41" s="156"/>
      <c r="I41" s="157"/>
      <c r="J41" s="24"/>
      <c r="K41" s="8"/>
      <c r="L41" s="8"/>
      <c r="M41" s="8"/>
    </row>
    <row r="42" spans="1:13" ht="15.75" hidden="1" customHeight="1">
      <c r="A42" s="41">
        <v>18</v>
      </c>
      <c r="B42" s="93" t="s">
        <v>108</v>
      </c>
      <c r="C42" s="94" t="s">
        <v>102</v>
      </c>
      <c r="D42" s="93" t="s">
        <v>42</v>
      </c>
      <c r="E42" s="95">
        <v>965.8</v>
      </c>
      <c r="F42" s="96">
        <f>SUM(E42*2/1000)</f>
        <v>1.9316</v>
      </c>
      <c r="G42" s="13">
        <v>849.49</v>
      </c>
      <c r="H42" s="97">
        <f t="shared" ref="H42:H51" si="6">SUM(F42*G42/1000)</f>
        <v>1.640874884</v>
      </c>
      <c r="I42" s="13">
        <f t="shared" ref="I42:I45" si="7">F42/2*G42</f>
        <v>820.43744200000003</v>
      </c>
      <c r="J42" s="24"/>
      <c r="K42" s="8"/>
    </row>
    <row r="43" spans="1:13" ht="15.75" hidden="1" customHeight="1">
      <c r="A43" s="41">
        <v>19</v>
      </c>
      <c r="B43" s="93" t="s">
        <v>35</v>
      </c>
      <c r="C43" s="94" t="s">
        <v>102</v>
      </c>
      <c r="D43" s="93" t="s">
        <v>42</v>
      </c>
      <c r="E43" s="95">
        <v>36</v>
      </c>
      <c r="F43" s="96">
        <f>SUM(E43*2/1000)</f>
        <v>7.1999999999999995E-2</v>
      </c>
      <c r="G43" s="13">
        <v>579.48</v>
      </c>
      <c r="H43" s="97">
        <f t="shared" si="6"/>
        <v>4.1722559999999999E-2</v>
      </c>
      <c r="I43" s="13">
        <f t="shared" si="7"/>
        <v>20.861280000000001</v>
      </c>
      <c r="J43" s="25"/>
    </row>
    <row r="44" spans="1:13" ht="15.75" hidden="1" customHeight="1">
      <c r="A44" s="41">
        <v>20</v>
      </c>
      <c r="B44" s="93" t="s">
        <v>36</v>
      </c>
      <c r="C44" s="94" t="s">
        <v>102</v>
      </c>
      <c r="D44" s="93" t="s">
        <v>42</v>
      </c>
      <c r="E44" s="95">
        <v>1197.7</v>
      </c>
      <c r="F44" s="96">
        <f>SUM(E44*2/1000)</f>
        <v>2.3954</v>
      </c>
      <c r="G44" s="13">
        <v>579.48</v>
      </c>
      <c r="H44" s="97">
        <f t="shared" si="6"/>
        <v>1.3880863919999999</v>
      </c>
      <c r="I44" s="13">
        <f t="shared" si="7"/>
        <v>694.04319599999997</v>
      </c>
      <c r="J44" s="25"/>
    </row>
    <row r="45" spans="1:13" ht="15.75" hidden="1" customHeight="1">
      <c r="A45" s="41">
        <v>21</v>
      </c>
      <c r="B45" s="93" t="s">
        <v>37</v>
      </c>
      <c r="C45" s="94" t="s">
        <v>102</v>
      </c>
      <c r="D45" s="93" t="s">
        <v>42</v>
      </c>
      <c r="E45" s="95">
        <v>2275.92</v>
      </c>
      <c r="F45" s="96">
        <f>SUM(E45*2/1000)</f>
        <v>4.5518400000000003</v>
      </c>
      <c r="G45" s="13">
        <v>606.77</v>
      </c>
      <c r="H45" s="97">
        <f t="shared" si="6"/>
        <v>2.7619199567999999</v>
      </c>
      <c r="I45" s="13">
        <f t="shared" si="7"/>
        <v>1380.9599784</v>
      </c>
      <c r="J45" s="25"/>
    </row>
    <row r="46" spans="1:13" ht="15.75" hidden="1" customHeight="1">
      <c r="A46" s="41">
        <v>22</v>
      </c>
      <c r="B46" s="93" t="s">
        <v>33</v>
      </c>
      <c r="C46" s="94" t="s">
        <v>34</v>
      </c>
      <c r="D46" s="93" t="s">
        <v>42</v>
      </c>
      <c r="E46" s="95">
        <v>81.709999999999994</v>
      </c>
      <c r="F46" s="96">
        <f>SUM(E46*2/100)</f>
        <v>1.6341999999999999</v>
      </c>
      <c r="G46" s="13">
        <v>68.56</v>
      </c>
      <c r="H46" s="97">
        <f t="shared" si="6"/>
        <v>0.11204075199999999</v>
      </c>
      <c r="I46" s="13">
        <f>F46/2*G46</f>
        <v>56.020375999999999</v>
      </c>
      <c r="J46" s="25"/>
    </row>
    <row r="47" spans="1:13" ht="15.75" hidden="1" customHeight="1">
      <c r="A47" s="41">
        <v>23</v>
      </c>
      <c r="B47" s="93" t="s">
        <v>56</v>
      </c>
      <c r="C47" s="94" t="s">
        <v>102</v>
      </c>
      <c r="D47" s="93" t="s">
        <v>137</v>
      </c>
      <c r="E47" s="95">
        <v>1711.8</v>
      </c>
      <c r="F47" s="96">
        <f>SUM(E47*5/1000)</f>
        <v>8.5589999999999993</v>
      </c>
      <c r="G47" s="13">
        <v>1213.55</v>
      </c>
      <c r="H47" s="97">
        <f t="shared" si="6"/>
        <v>10.386774449999999</v>
      </c>
      <c r="I47" s="13">
        <f>F47/5*G47</f>
        <v>2077.3548899999996</v>
      </c>
      <c r="J47" s="25"/>
    </row>
    <row r="48" spans="1:13" ht="31.5" hidden="1" customHeight="1">
      <c r="A48" s="41">
        <v>14</v>
      </c>
      <c r="B48" s="93" t="s">
        <v>109</v>
      </c>
      <c r="C48" s="94" t="s">
        <v>102</v>
      </c>
      <c r="D48" s="93" t="s">
        <v>42</v>
      </c>
      <c r="E48" s="95">
        <v>1711.8</v>
      </c>
      <c r="F48" s="96">
        <f>SUM(E48*2/1000)</f>
        <v>3.4236</v>
      </c>
      <c r="G48" s="13">
        <v>1213.55</v>
      </c>
      <c r="H48" s="97">
        <f t="shared" si="6"/>
        <v>4.1547097800000001</v>
      </c>
      <c r="I48" s="13">
        <f>F48/2*G48</f>
        <v>2077.3548900000001</v>
      </c>
      <c r="J48" s="25"/>
    </row>
    <row r="49" spans="1:14" ht="31.5" hidden="1" customHeight="1">
      <c r="A49" s="41">
        <v>15</v>
      </c>
      <c r="B49" s="93" t="s">
        <v>110</v>
      </c>
      <c r="C49" s="94" t="s">
        <v>38</v>
      </c>
      <c r="D49" s="93" t="s">
        <v>42</v>
      </c>
      <c r="E49" s="95">
        <v>15</v>
      </c>
      <c r="F49" s="96">
        <f>SUM(E49*2/100)</f>
        <v>0.3</v>
      </c>
      <c r="G49" s="13">
        <v>2730.49</v>
      </c>
      <c r="H49" s="97">
        <f t="shared" si="6"/>
        <v>0.81914699999999996</v>
      </c>
      <c r="I49" s="13">
        <f t="shared" ref="I49:I50" si="8">F49/2*G49</f>
        <v>409.57349999999997</v>
      </c>
      <c r="J49" s="25"/>
    </row>
    <row r="50" spans="1:14" ht="15.75" hidden="1" customHeight="1">
      <c r="A50" s="41">
        <v>16</v>
      </c>
      <c r="B50" s="93" t="s">
        <v>39</v>
      </c>
      <c r="C50" s="94" t="s">
        <v>40</v>
      </c>
      <c r="D50" s="93" t="s">
        <v>42</v>
      </c>
      <c r="E50" s="95">
        <v>1</v>
      </c>
      <c r="F50" s="96">
        <v>0.02</v>
      </c>
      <c r="G50" s="13">
        <v>5322.15</v>
      </c>
      <c r="H50" s="97">
        <f t="shared" si="6"/>
        <v>0.106443</v>
      </c>
      <c r="I50" s="13">
        <f t="shared" si="8"/>
        <v>53.221499999999999</v>
      </c>
      <c r="J50" s="25"/>
      <c r="L50" s="21"/>
      <c r="M50" s="22"/>
      <c r="N50" s="23"/>
    </row>
    <row r="51" spans="1:14" ht="15.75" hidden="1" customHeight="1">
      <c r="A51" s="41">
        <v>11</v>
      </c>
      <c r="B51" s="93" t="s">
        <v>41</v>
      </c>
      <c r="C51" s="94" t="s">
        <v>87</v>
      </c>
      <c r="D51" s="93" t="s">
        <v>71</v>
      </c>
      <c r="E51" s="95">
        <v>90</v>
      </c>
      <c r="F51" s="96">
        <f>SUM(E51)*3</f>
        <v>270</v>
      </c>
      <c r="G51" s="13">
        <v>65.67</v>
      </c>
      <c r="H51" s="97">
        <f t="shared" si="6"/>
        <v>17.730900000000002</v>
      </c>
      <c r="I51" s="13">
        <f>E51*G51</f>
        <v>5910.3</v>
      </c>
      <c r="J51" s="25"/>
      <c r="L51" s="21"/>
      <c r="M51" s="22"/>
      <c r="N51" s="23"/>
    </row>
    <row r="52" spans="1:14" ht="15.75" customHeight="1">
      <c r="A52" s="155" t="s">
        <v>144</v>
      </c>
      <c r="B52" s="156"/>
      <c r="C52" s="156"/>
      <c r="D52" s="156"/>
      <c r="E52" s="156"/>
      <c r="F52" s="156"/>
      <c r="G52" s="156"/>
      <c r="H52" s="156"/>
      <c r="I52" s="157"/>
      <c r="J52" s="25"/>
      <c r="L52" s="21"/>
      <c r="M52" s="22"/>
      <c r="N52" s="23"/>
    </row>
    <row r="53" spans="1:14" ht="15.75" hidden="1" customHeight="1">
      <c r="A53" s="92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3" t="s">
        <v>111</v>
      </c>
      <c r="C54" s="94" t="s">
        <v>90</v>
      </c>
      <c r="D54" s="93" t="s">
        <v>112</v>
      </c>
      <c r="E54" s="95">
        <v>96.58</v>
      </c>
      <c r="F54" s="96">
        <f>SUM(E54*6/100)</f>
        <v>5.7948000000000004</v>
      </c>
      <c r="G54" s="13">
        <v>1547.28</v>
      </c>
      <c r="H54" s="97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9" t="s">
        <v>44</v>
      </c>
      <c r="C55" s="40"/>
      <c r="D55" s="34"/>
      <c r="E55" s="19"/>
      <c r="F55" s="87"/>
      <c r="G55" s="37"/>
      <c r="H55" s="70"/>
      <c r="I55" s="20"/>
      <c r="J55" s="25"/>
      <c r="L55" s="21"/>
      <c r="M55" s="22"/>
      <c r="N55" s="23"/>
    </row>
    <row r="56" spans="1:14" ht="15.75" hidden="1" customHeight="1">
      <c r="A56" s="41"/>
      <c r="B56" s="93" t="s">
        <v>45</v>
      </c>
      <c r="C56" s="94" t="s">
        <v>90</v>
      </c>
      <c r="D56" s="93" t="s">
        <v>54</v>
      </c>
      <c r="E56" s="95">
        <v>855.9</v>
      </c>
      <c r="F56" s="97">
        <v>8.6</v>
      </c>
      <c r="G56" s="13">
        <v>747.3</v>
      </c>
      <c r="H56" s="101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9</v>
      </c>
      <c r="B57" s="93" t="s">
        <v>88</v>
      </c>
      <c r="C57" s="94" t="s">
        <v>25</v>
      </c>
      <c r="D57" s="93" t="s">
        <v>190</v>
      </c>
      <c r="E57" s="95">
        <v>256</v>
      </c>
      <c r="F57" s="97">
        <v>1560</v>
      </c>
      <c r="G57" s="13">
        <v>1.4</v>
      </c>
      <c r="H57" s="101">
        <f>F57*G57/1000</f>
        <v>2.1840000000000002</v>
      </c>
      <c r="I57" s="13">
        <f>F57/12*G57</f>
        <v>182</v>
      </c>
      <c r="J57" s="25"/>
      <c r="L57" s="21"/>
      <c r="M57" s="22"/>
      <c r="N57" s="23"/>
    </row>
    <row r="58" spans="1:14" ht="15.75" hidden="1" customHeight="1">
      <c r="A58" s="41"/>
      <c r="B58" s="69" t="s">
        <v>128</v>
      </c>
      <c r="C58" s="40"/>
      <c r="D58" s="34"/>
      <c r="E58" s="19"/>
      <c r="F58" s="87"/>
      <c r="G58" s="71"/>
      <c r="H58" s="70"/>
      <c r="I58" s="20"/>
      <c r="J58" s="25"/>
      <c r="L58" s="21"/>
      <c r="M58" s="22"/>
      <c r="N58" s="23"/>
    </row>
    <row r="59" spans="1:14" ht="15.75" hidden="1" customHeight="1">
      <c r="A59" s="41"/>
      <c r="B59" s="93" t="s">
        <v>129</v>
      </c>
      <c r="C59" s="94" t="s">
        <v>87</v>
      </c>
      <c r="D59" s="93" t="s">
        <v>65</v>
      </c>
      <c r="E59" s="95">
        <v>2</v>
      </c>
      <c r="F59" s="96">
        <f>SUM(E59)</f>
        <v>2</v>
      </c>
      <c r="G59" s="102">
        <v>237.75</v>
      </c>
      <c r="H59" s="97">
        <f t="shared" ref="H59" si="9">SUM(F59*G59/1000)</f>
        <v>0.47549999999999998</v>
      </c>
      <c r="I59" s="13">
        <v>0</v>
      </c>
      <c r="J59" s="25"/>
      <c r="L59" s="21"/>
      <c r="M59" s="22"/>
      <c r="N59" s="23"/>
    </row>
    <row r="60" spans="1:14" ht="13.5" hidden="1" customHeight="1">
      <c r="A60" s="41"/>
      <c r="B60" s="83" t="s">
        <v>46</v>
      </c>
      <c r="C60" s="17"/>
      <c r="D60" s="16"/>
      <c r="E60" s="16"/>
      <c r="F60" s="88"/>
      <c r="G60" s="65"/>
      <c r="H60" s="70"/>
      <c r="I60" s="19"/>
      <c r="J60" s="25"/>
      <c r="L60" s="21"/>
      <c r="M60" s="22"/>
      <c r="N60" s="23"/>
    </row>
    <row r="61" spans="1:14" ht="22.5" hidden="1" customHeight="1">
      <c r="A61" s="41">
        <v>12</v>
      </c>
      <c r="B61" s="15" t="s">
        <v>47</v>
      </c>
      <c r="C61" s="17" t="s">
        <v>87</v>
      </c>
      <c r="D61" s="93" t="s">
        <v>188</v>
      </c>
      <c r="E61" s="19">
        <v>10</v>
      </c>
      <c r="F61" s="96">
        <v>10</v>
      </c>
      <c r="G61" s="13">
        <v>222.4</v>
      </c>
      <c r="H61" s="103">
        <f t="shared" ref="H61:H68" si="10">SUM(F61*G61/1000)</f>
        <v>2.2240000000000002</v>
      </c>
      <c r="I61" s="13">
        <f>G61*2</f>
        <v>444.8</v>
      </c>
      <c r="J61" s="25"/>
      <c r="L61" s="21"/>
      <c r="M61" s="22"/>
      <c r="N61" s="23"/>
    </row>
    <row r="62" spans="1:14" ht="24.75" hidden="1" customHeight="1">
      <c r="A62" s="31">
        <v>29</v>
      </c>
      <c r="B62" s="15" t="s">
        <v>48</v>
      </c>
      <c r="C62" s="17" t="s">
        <v>87</v>
      </c>
      <c r="D62" s="93" t="s">
        <v>65</v>
      </c>
      <c r="E62" s="19">
        <v>5</v>
      </c>
      <c r="F62" s="96">
        <v>5</v>
      </c>
      <c r="G62" s="13">
        <v>75.25</v>
      </c>
      <c r="H62" s="103">
        <f t="shared" si="10"/>
        <v>0.37624999999999997</v>
      </c>
      <c r="I62" s="13">
        <v>0</v>
      </c>
      <c r="J62" s="25"/>
      <c r="L62" s="21"/>
      <c r="M62" s="22"/>
      <c r="N62" s="23"/>
    </row>
    <row r="63" spans="1:14" ht="19.5" hidden="1" customHeight="1">
      <c r="A63" s="31">
        <v>25</v>
      </c>
      <c r="B63" s="15" t="s">
        <v>49</v>
      </c>
      <c r="C63" s="17" t="s">
        <v>113</v>
      </c>
      <c r="D63" s="15" t="s">
        <v>54</v>
      </c>
      <c r="E63" s="95">
        <v>13018</v>
      </c>
      <c r="F63" s="13">
        <f>SUM(E63/100)</f>
        <v>130.18</v>
      </c>
      <c r="G63" s="13">
        <v>212.15</v>
      </c>
      <c r="H63" s="103">
        <f t="shared" si="10"/>
        <v>27.617687</v>
      </c>
      <c r="I63" s="13">
        <f>F63*G63</f>
        <v>27617.687000000002</v>
      </c>
      <c r="J63" s="25"/>
      <c r="L63" s="21"/>
      <c r="M63" s="22"/>
      <c r="N63" s="23"/>
    </row>
    <row r="64" spans="1:14" ht="24" hidden="1" customHeight="1">
      <c r="A64" s="31">
        <v>26</v>
      </c>
      <c r="B64" s="15" t="s">
        <v>50</v>
      </c>
      <c r="C64" s="17" t="s">
        <v>114</v>
      </c>
      <c r="D64" s="15"/>
      <c r="E64" s="95">
        <v>13018</v>
      </c>
      <c r="F64" s="13">
        <f>SUM(E64/1000)</f>
        <v>13.018000000000001</v>
      </c>
      <c r="G64" s="13">
        <v>165.21</v>
      </c>
      <c r="H64" s="103">
        <f t="shared" si="10"/>
        <v>2.1507037800000002</v>
      </c>
      <c r="I64" s="13">
        <f t="shared" ref="I64:I68" si="11">F64*G64</f>
        <v>2150.7037800000003</v>
      </c>
      <c r="J64" s="25"/>
      <c r="L64" s="21"/>
      <c r="M64" s="22"/>
      <c r="N64" s="23"/>
    </row>
    <row r="65" spans="1:14" ht="22.5" hidden="1" customHeight="1">
      <c r="A65" s="31">
        <v>27</v>
      </c>
      <c r="B65" s="15" t="s">
        <v>51</v>
      </c>
      <c r="C65" s="17" t="s">
        <v>76</v>
      </c>
      <c r="D65" s="15" t="s">
        <v>54</v>
      </c>
      <c r="E65" s="95">
        <v>1279</v>
      </c>
      <c r="F65" s="13">
        <f>SUM(E65/100)</f>
        <v>12.79</v>
      </c>
      <c r="G65" s="13">
        <v>2074.63</v>
      </c>
      <c r="H65" s="103">
        <f t="shared" si="10"/>
        <v>26.534517700000002</v>
      </c>
      <c r="I65" s="13">
        <f t="shared" si="11"/>
        <v>26534.5177</v>
      </c>
      <c r="J65" s="25"/>
      <c r="L65" s="21"/>
      <c r="M65" s="22"/>
      <c r="N65" s="23"/>
    </row>
    <row r="66" spans="1:14" ht="22.5" hidden="1" customHeight="1">
      <c r="A66" s="31">
        <v>28</v>
      </c>
      <c r="B66" s="104" t="s">
        <v>115</v>
      </c>
      <c r="C66" s="17" t="s">
        <v>32</v>
      </c>
      <c r="D66" s="15"/>
      <c r="E66" s="95">
        <v>12</v>
      </c>
      <c r="F66" s="13">
        <f>SUM(E66)</f>
        <v>12</v>
      </c>
      <c r="G66" s="13">
        <v>45.32</v>
      </c>
      <c r="H66" s="103">
        <f t="shared" si="10"/>
        <v>0.54383999999999999</v>
      </c>
      <c r="I66" s="13">
        <f t="shared" si="11"/>
        <v>543.84</v>
      </c>
      <c r="J66" s="25"/>
      <c r="L66" s="21"/>
      <c r="M66" s="22"/>
      <c r="N66" s="23"/>
    </row>
    <row r="67" spans="1:14" ht="23.25" hidden="1" customHeight="1">
      <c r="A67" s="31">
        <v>29</v>
      </c>
      <c r="B67" s="104" t="s">
        <v>116</v>
      </c>
      <c r="C67" s="17" t="s">
        <v>32</v>
      </c>
      <c r="D67" s="15"/>
      <c r="E67" s="95">
        <v>12</v>
      </c>
      <c r="F67" s="13">
        <f>SUM(E67)</f>
        <v>12</v>
      </c>
      <c r="G67" s="13">
        <v>42.28</v>
      </c>
      <c r="H67" s="103">
        <f t="shared" si="10"/>
        <v>0.50736000000000003</v>
      </c>
      <c r="I67" s="13">
        <f t="shared" si="11"/>
        <v>507.36</v>
      </c>
      <c r="J67" s="25"/>
      <c r="L67" s="21"/>
      <c r="M67" s="22"/>
      <c r="N67" s="23"/>
    </row>
    <row r="68" spans="1:14" ht="24" hidden="1" customHeight="1">
      <c r="A68" s="31">
        <v>13</v>
      </c>
      <c r="B68" s="15" t="s">
        <v>57</v>
      </c>
      <c r="C68" s="17" t="s">
        <v>58</v>
      </c>
      <c r="D68" s="15" t="s">
        <v>54</v>
      </c>
      <c r="E68" s="19">
        <v>1</v>
      </c>
      <c r="F68" s="96">
        <f>SUM(E68)</f>
        <v>1</v>
      </c>
      <c r="G68" s="13">
        <v>49.88</v>
      </c>
      <c r="H68" s="103">
        <f t="shared" si="10"/>
        <v>4.9880000000000001E-2</v>
      </c>
      <c r="I68" s="13">
        <f t="shared" si="11"/>
        <v>49.88</v>
      </c>
      <c r="J68" s="25"/>
      <c r="L68" s="21"/>
      <c r="M68" s="22"/>
      <c r="N68" s="23"/>
    </row>
    <row r="69" spans="1:14" ht="21.75" hidden="1" customHeight="1">
      <c r="A69" s="92"/>
      <c r="B69" s="83" t="s">
        <v>117</v>
      </c>
      <c r="C69" s="83"/>
      <c r="D69" s="83"/>
      <c r="E69" s="83"/>
      <c r="F69" s="83"/>
      <c r="G69" s="83"/>
      <c r="H69" s="83"/>
      <c r="I69" s="19"/>
      <c r="J69" s="25"/>
      <c r="L69" s="21"/>
      <c r="M69" s="22"/>
      <c r="N69" s="23"/>
    </row>
    <row r="70" spans="1:14" ht="19.5" hidden="1" customHeight="1">
      <c r="A70" s="31">
        <v>16</v>
      </c>
      <c r="B70" s="93" t="s">
        <v>118</v>
      </c>
      <c r="C70" s="17"/>
      <c r="D70" s="15"/>
      <c r="E70" s="87"/>
      <c r="F70" s="13">
        <v>1</v>
      </c>
      <c r="G70" s="13">
        <v>10041.700000000001</v>
      </c>
      <c r="H70" s="103">
        <f>G70*F70/1000</f>
        <v>10.041700000000001</v>
      </c>
      <c r="I70" s="13">
        <f>G70</f>
        <v>10041.700000000001</v>
      </c>
      <c r="J70" s="25"/>
      <c r="L70" s="21"/>
      <c r="M70" s="22"/>
      <c r="N70" s="23"/>
    </row>
    <row r="71" spans="1:14" ht="18.75" hidden="1" customHeight="1">
      <c r="A71" s="31"/>
      <c r="B71" s="49" t="s">
        <v>72</v>
      </c>
      <c r="C71" s="49"/>
      <c r="D71" s="49"/>
      <c r="E71" s="19"/>
      <c r="F71" s="19"/>
      <c r="G71" s="31"/>
      <c r="H71" s="31"/>
      <c r="I71" s="19"/>
      <c r="J71" s="25"/>
      <c r="L71" s="21"/>
      <c r="M71" s="22"/>
      <c r="N71" s="23"/>
    </row>
    <row r="72" spans="1:14" ht="16.5" hidden="1" customHeight="1">
      <c r="A72" s="31">
        <v>12</v>
      </c>
      <c r="B72" s="15" t="s">
        <v>73</v>
      </c>
      <c r="C72" s="17" t="s">
        <v>74</v>
      </c>
      <c r="D72" s="15" t="s">
        <v>65</v>
      </c>
      <c r="E72" s="19">
        <v>5</v>
      </c>
      <c r="F72" s="13">
        <v>0.5</v>
      </c>
      <c r="G72" s="13">
        <v>501.62</v>
      </c>
      <c r="H72" s="103">
        <f t="shared" ref="H72:H74" si="12">SUM(F72*G72/1000)</f>
        <v>0.25080999999999998</v>
      </c>
      <c r="I72" s="13">
        <f>G72*0.1</f>
        <v>50.162000000000006</v>
      </c>
      <c r="J72" s="25"/>
      <c r="L72" s="21"/>
      <c r="M72" s="22"/>
      <c r="N72" s="23"/>
    </row>
    <row r="73" spans="1:14" ht="16.5" hidden="1" customHeight="1">
      <c r="A73" s="31"/>
      <c r="B73" s="15" t="s">
        <v>130</v>
      </c>
      <c r="C73" s="17" t="s">
        <v>87</v>
      </c>
      <c r="D73" s="15"/>
      <c r="E73" s="19">
        <v>1</v>
      </c>
      <c r="F73" s="86">
        <f>E73</f>
        <v>1</v>
      </c>
      <c r="G73" s="13">
        <v>852.99</v>
      </c>
      <c r="H73" s="103">
        <f t="shared" si="12"/>
        <v>0.85299000000000003</v>
      </c>
      <c r="I73" s="13">
        <v>0</v>
      </c>
      <c r="J73" s="25"/>
      <c r="L73" s="21"/>
      <c r="M73" s="22"/>
      <c r="N73" s="23"/>
    </row>
    <row r="74" spans="1:14" ht="15" hidden="1" customHeight="1">
      <c r="A74" s="31"/>
      <c r="B74" s="15" t="s">
        <v>131</v>
      </c>
      <c r="C74" s="17" t="s">
        <v>87</v>
      </c>
      <c r="D74" s="15"/>
      <c r="E74" s="19">
        <v>1</v>
      </c>
      <c r="F74" s="96">
        <f>SUM(E74)</f>
        <v>1</v>
      </c>
      <c r="G74" s="13">
        <v>358.51</v>
      </c>
      <c r="H74" s="103">
        <f t="shared" si="12"/>
        <v>0.35851</v>
      </c>
      <c r="I74" s="13">
        <v>0</v>
      </c>
      <c r="J74" s="25"/>
      <c r="L74" s="21"/>
      <c r="M74" s="22"/>
      <c r="N74" s="23"/>
    </row>
    <row r="75" spans="1:14" ht="17.25" hidden="1" customHeight="1">
      <c r="A75" s="31"/>
      <c r="B75" s="50" t="s">
        <v>75</v>
      </c>
      <c r="C75" s="38"/>
      <c r="D75" s="31"/>
      <c r="E75" s="19"/>
      <c r="F75" s="19"/>
      <c r="G75" s="37" t="s">
        <v>119</v>
      </c>
      <c r="H75" s="37"/>
      <c r="I75" s="19"/>
      <c r="J75" s="25"/>
      <c r="L75" s="21"/>
      <c r="M75" s="22"/>
      <c r="N75" s="23"/>
    </row>
    <row r="76" spans="1:14" ht="18" hidden="1" customHeight="1">
      <c r="A76" s="31">
        <v>12</v>
      </c>
      <c r="B76" s="52" t="s">
        <v>120</v>
      </c>
      <c r="C76" s="17" t="s">
        <v>76</v>
      </c>
      <c r="D76" s="15"/>
      <c r="E76" s="19"/>
      <c r="F76" s="13">
        <v>0.3</v>
      </c>
      <c r="G76" s="13">
        <v>2759.44</v>
      </c>
      <c r="H76" s="103">
        <f t="shared" ref="H76" si="13">SUM(F76*G76/1000)</f>
        <v>0.82783200000000001</v>
      </c>
      <c r="I76" s="13">
        <v>0</v>
      </c>
      <c r="J76" s="25"/>
      <c r="L76" s="21"/>
      <c r="M76" s="22"/>
      <c r="N76" s="23"/>
    </row>
    <row r="77" spans="1:14" ht="18" customHeight="1">
      <c r="A77" s="143"/>
      <c r="B77" s="151" t="s">
        <v>215</v>
      </c>
      <c r="C77" s="38"/>
      <c r="D77" s="124"/>
      <c r="E77" s="18"/>
      <c r="F77" s="70"/>
      <c r="G77" s="37"/>
      <c r="H77" s="144"/>
      <c r="I77" s="145"/>
      <c r="J77" s="25"/>
      <c r="L77" s="21"/>
      <c r="M77" s="22"/>
      <c r="N77" s="23"/>
    </row>
    <row r="78" spans="1:14" ht="18" customHeight="1">
      <c r="A78" s="143">
        <v>10</v>
      </c>
      <c r="B78" s="124" t="s">
        <v>216</v>
      </c>
      <c r="C78" s="41" t="s">
        <v>217</v>
      </c>
      <c r="D78" s="124"/>
      <c r="E78" s="18">
        <v>2581.1999999999998</v>
      </c>
      <c r="F78" s="37">
        <f>E78*12</f>
        <v>30974.399999999998</v>
      </c>
      <c r="G78" s="37">
        <v>2.4900000000000002</v>
      </c>
      <c r="H78" s="144"/>
      <c r="I78" s="145">
        <f>G78*F78/12</f>
        <v>6427.1879999999992</v>
      </c>
      <c r="J78" s="25"/>
      <c r="L78" s="21"/>
      <c r="M78" s="22"/>
      <c r="N78" s="23"/>
    </row>
    <row r="79" spans="1:14" ht="15.75" customHeight="1">
      <c r="A79" s="159" t="s">
        <v>145</v>
      </c>
      <c r="B79" s="160"/>
      <c r="C79" s="160"/>
      <c r="D79" s="160"/>
      <c r="E79" s="160"/>
      <c r="F79" s="160"/>
      <c r="G79" s="160"/>
      <c r="H79" s="160"/>
      <c r="I79" s="161"/>
      <c r="J79" s="25"/>
      <c r="L79" s="21"/>
      <c r="M79" s="22"/>
      <c r="N79" s="23"/>
    </row>
    <row r="80" spans="1:14" ht="15.75" customHeight="1">
      <c r="A80" s="31">
        <v>11</v>
      </c>
      <c r="B80" s="93" t="s">
        <v>121</v>
      </c>
      <c r="C80" s="17" t="s">
        <v>55</v>
      </c>
      <c r="D80" s="106"/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12</v>
      </c>
      <c r="B81" s="15" t="s">
        <v>77</v>
      </c>
      <c r="C81" s="17"/>
      <c r="D81" s="106"/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92"/>
      <c r="B82" s="39" t="s">
        <v>79</v>
      </c>
      <c r="C82" s="41"/>
      <c r="D82" s="16"/>
      <c r="E82" s="16"/>
      <c r="F82" s="16"/>
      <c r="G82" s="19"/>
      <c r="H82" s="19"/>
      <c r="I82" s="33">
        <f>I81+I80+I57+I31+I30+I27+I21+I20+I18+I17+I16+I78</f>
        <v>27107.299494166666</v>
      </c>
    </row>
    <row r="83" spans="1:22" ht="15.75" customHeight="1">
      <c r="A83" s="162" t="s">
        <v>60</v>
      </c>
      <c r="B83" s="163"/>
      <c r="C83" s="163"/>
      <c r="D83" s="163"/>
      <c r="E83" s="163"/>
      <c r="F83" s="163"/>
      <c r="G83" s="163"/>
      <c r="H83" s="163"/>
      <c r="I83" s="164"/>
    </row>
    <row r="84" spans="1:22" ht="15.75" customHeight="1">
      <c r="A84" s="31">
        <v>13</v>
      </c>
      <c r="B84" s="125" t="s">
        <v>202</v>
      </c>
      <c r="C84" s="41" t="s">
        <v>124</v>
      </c>
      <c r="D84" s="52"/>
      <c r="E84" s="13"/>
      <c r="F84" s="13">
        <v>368</v>
      </c>
      <c r="G84" s="37">
        <v>2494.86</v>
      </c>
      <c r="H84" s="103" t="e">
        <f>#REF!*#REF!/1000</f>
        <v>#REF!</v>
      </c>
      <c r="I84" s="13">
        <f>G84*0.06</f>
        <v>149.69159999999999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s="134" customFormat="1" ht="33.75" customHeight="1">
      <c r="A85" s="31">
        <v>14</v>
      </c>
      <c r="B85" s="122" t="s">
        <v>184</v>
      </c>
      <c r="C85" s="123" t="s">
        <v>155</v>
      </c>
      <c r="D85" s="66" t="s">
        <v>214</v>
      </c>
      <c r="E85" s="37"/>
      <c r="F85" s="37">
        <v>4</v>
      </c>
      <c r="G85" s="37">
        <v>6499.12</v>
      </c>
      <c r="H85" s="105">
        <f>G85*F85/1000</f>
        <v>25.996479999999998</v>
      </c>
      <c r="I85" s="13">
        <f>G85*0.924</f>
        <v>6005.1868800000002</v>
      </c>
      <c r="J85" s="135"/>
      <c r="K85" s="135"/>
      <c r="L85" s="136"/>
      <c r="M85" s="136"/>
      <c r="N85" s="136"/>
      <c r="O85" s="136"/>
      <c r="P85" s="136"/>
      <c r="Q85" s="136"/>
      <c r="R85" s="136"/>
      <c r="S85" s="136"/>
      <c r="T85" s="136"/>
      <c r="U85" s="136"/>
    </row>
    <row r="86" spans="1:22" ht="15.75" hidden="1" customHeight="1">
      <c r="A86" s="31"/>
      <c r="B86" s="67"/>
      <c r="C86" s="68"/>
      <c r="D86" s="66"/>
      <c r="E86" s="37"/>
      <c r="F86" s="37"/>
      <c r="G86" s="37"/>
      <c r="H86" s="105"/>
      <c r="I86" s="13"/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5.75" hidden="1" customHeight="1">
      <c r="A87" s="31"/>
      <c r="B87" s="67"/>
      <c r="C87" s="68"/>
      <c r="D87" s="66"/>
      <c r="E87" s="37"/>
      <c r="F87" s="37"/>
      <c r="G87" s="37"/>
      <c r="H87" s="105"/>
      <c r="I87" s="13"/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5.75" hidden="1" customHeight="1">
      <c r="A88" s="31">
        <v>17</v>
      </c>
      <c r="B88" s="67"/>
      <c r="C88" s="107"/>
      <c r="D88" s="66"/>
      <c r="E88" s="37"/>
      <c r="F88" s="37">
        <v>1</v>
      </c>
      <c r="G88" s="37"/>
      <c r="H88" s="105">
        <f t="shared" ref="H88" si="14">G88*F88/1000</f>
        <v>0</v>
      </c>
      <c r="I88" s="13"/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33.75" customHeight="1">
      <c r="A89" s="31">
        <v>15</v>
      </c>
      <c r="B89" s="122" t="s">
        <v>182</v>
      </c>
      <c r="C89" s="123" t="s">
        <v>38</v>
      </c>
      <c r="D89" s="66"/>
      <c r="E89" s="37"/>
      <c r="F89" s="37"/>
      <c r="G89" s="37">
        <v>3914.31</v>
      </c>
      <c r="H89" s="105"/>
      <c r="I89" s="13">
        <f>G89*0.01</f>
        <v>39.143099999999997</v>
      </c>
      <c r="J89" s="27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2" ht="15.75" customHeight="1">
      <c r="A90" s="31">
        <v>16</v>
      </c>
      <c r="B90" s="122" t="s">
        <v>95</v>
      </c>
      <c r="C90" s="123" t="s">
        <v>87</v>
      </c>
      <c r="D90" s="66"/>
      <c r="E90" s="37"/>
      <c r="F90" s="37"/>
      <c r="G90" s="37">
        <v>58.39</v>
      </c>
      <c r="H90" s="105"/>
      <c r="I90" s="13">
        <f>G90*1</f>
        <v>58.39</v>
      </c>
      <c r="J90" s="27"/>
      <c r="K90" s="27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2" ht="33" customHeight="1">
      <c r="A91" s="31">
        <v>17</v>
      </c>
      <c r="B91" s="122" t="s">
        <v>203</v>
      </c>
      <c r="C91" s="123" t="s">
        <v>96</v>
      </c>
      <c r="D91" s="66"/>
      <c r="E91" s="37"/>
      <c r="F91" s="37"/>
      <c r="G91" s="37">
        <v>561.86</v>
      </c>
      <c r="H91" s="105"/>
      <c r="I91" s="13">
        <f>G91*1</f>
        <v>561.86</v>
      </c>
      <c r="J91" s="27"/>
      <c r="K91" s="27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2" ht="30" customHeight="1">
      <c r="A92" s="31">
        <v>18</v>
      </c>
      <c r="B92" s="122" t="s">
        <v>204</v>
      </c>
      <c r="C92" s="123" t="s">
        <v>205</v>
      </c>
      <c r="D92" s="66"/>
      <c r="E92" s="37"/>
      <c r="F92" s="37"/>
      <c r="G92" s="37">
        <v>59.21</v>
      </c>
      <c r="H92" s="105"/>
      <c r="I92" s="13">
        <f>G92*1</f>
        <v>59.21</v>
      </c>
      <c r="J92" s="27"/>
      <c r="K92" s="27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2" ht="15.75" customHeight="1">
      <c r="A93" s="31"/>
      <c r="B93" s="46" t="s">
        <v>52</v>
      </c>
      <c r="C93" s="42"/>
      <c r="D93" s="54"/>
      <c r="E93" s="42">
        <v>1</v>
      </c>
      <c r="F93" s="42"/>
      <c r="G93" s="42"/>
      <c r="H93" s="42"/>
      <c r="I93" s="33">
        <f>SUM(I84:I92)</f>
        <v>6873.4815800000006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1:22" ht="15.75" customHeight="1">
      <c r="A94" s="31"/>
      <c r="B94" s="52" t="s">
        <v>78</v>
      </c>
      <c r="C94" s="16"/>
      <c r="D94" s="16"/>
      <c r="E94" s="43"/>
      <c r="F94" s="43"/>
      <c r="G94" s="44"/>
      <c r="H94" s="44"/>
      <c r="I94" s="18">
        <v>0</v>
      </c>
    </row>
    <row r="95" spans="1:22" ht="15.75" customHeight="1">
      <c r="A95" s="55"/>
      <c r="B95" s="47" t="s">
        <v>138</v>
      </c>
      <c r="C95" s="36"/>
      <c r="D95" s="36"/>
      <c r="E95" s="36"/>
      <c r="F95" s="36"/>
      <c r="G95" s="36"/>
      <c r="H95" s="36"/>
      <c r="I95" s="45">
        <f>I82+I93</f>
        <v>33980.781074166669</v>
      </c>
    </row>
    <row r="96" spans="1:22" ht="15.75" customHeight="1">
      <c r="A96" s="158" t="s">
        <v>230</v>
      </c>
      <c r="B96" s="158"/>
      <c r="C96" s="158"/>
      <c r="D96" s="158"/>
      <c r="E96" s="158"/>
      <c r="F96" s="158"/>
      <c r="G96" s="158"/>
      <c r="H96" s="158"/>
      <c r="I96" s="158"/>
    </row>
    <row r="97" spans="1:9" ht="15.75" customHeight="1">
      <c r="A97" s="79"/>
      <c r="B97" s="171" t="s">
        <v>231</v>
      </c>
      <c r="C97" s="171"/>
      <c r="D97" s="171"/>
      <c r="E97" s="171"/>
      <c r="F97" s="171"/>
      <c r="G97" s="171"/>
      <c r="H97" s="91"/>
      <c r="I97" s="3"/>
    </row>
    <row r="98" spans="1:9" ht="15.75" customHeight="1">
      <c r="A98" s="82"/>
      <c r="B98" s="172" t="s">
        <v>6</v>
      </c>
      <c r="C98" s="172"/>
      <c r="D98" s="172"/>
      <c r="E98" s="172"/>
      <c r="F98" s="172"/>
      <c r="G98" s="172"/>
      <c r="H98" s="26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73" t="s">
        <v>7</v>
      </c>
      <c r="B100" s="173"/>
      <c r="C100" s="173"/>
      <c r="D100" s="173"/>
      <c r="E100" s="173"/>
      <c r="F100" s="173"/>
      <c r="G100" s="173"/>
      <c r="H100" s="173"/>
      <c r="I100" s="173"/>
    </row>
    <row r="101" spans="1:9" ht="15.75" customHeight="1">
      <c r="A101" s="173" t="s">
        <v>8</v>
      </c>
      <c r="B101" s="173"/>
      <c r="C101" s="173"/>
      <c r="D101" s="173"/>
      <c r="E101" s="173"/>
      <c r="F101" s="173"/>
      <c r="G101" s="173"/>
      <c r="H101" s="173"/>
      <c r="I101" s="173"/>
    </row>
    <row r="102" spans="1:9" ht="15.75" customHeight="1">
      <c r="A102" s="176" t="s">
        <v>61</v>
      </c>
      <c r="B102" s="176"/>
      <c r="C102" s="176"/>
      <c r="D102" s="176"/>
      <c r="E102" s="176"/>
      <c r="F102" s="176"/>
      <c r="G102" s="176"/>
      <c r="H102" s="176"/>
      <c r="I102" s="176"/>
    </row>
    <row r="103" spans="1:9" ht="15.75" customHeight="1">
      <c r="A103" s="11"/>
    </row>
    <row r="104" spans="1:9" ht="15.75" customHeight="1">
      <c r="A104" s="177" t="s">
        <v>9</v>
      </c>
      <c r="B104" s="177"/>
      <c r="C104" s="177"/>
      <c r="D104" s="177"/>
      <c r="E104" s="177"/>
      <c r="F104" s="177"/>
      <c r="G104" s="177"/>
      <c r="H104" s="177"/>
      <c r="I104" s="177"/>
    </row>
    <row r="105" spans="1:9" ht="15.75" customHeight="1">
      <c r="A105" s="4"/>
    </row>
    <row r="106" spans="1:9" ht="15.75" customHeight="1">
      <c r="B106" s="85" t="s">
        <v>10</v>
      </c>
      <c r="C106" s="178" t="s">
        <v>86</v>
      </c>
      <c r="D106" s="178"/>
      <c r="E106" s="178"/>
      <c r="F106" s="89"/>
      <c r="I106" s="81"/>
    </row>
    <row r="107" spans="1:9" ht="15.75" customHeight="1">
      <c r="A107" s="82"/>
      <c r="C107" s="172" t="s">
        <v>11</v>
      </c>
      <c r="D107" s="172"/>
      <c r="E107" s="172"/>
      <c r="F107" s="26"/>
      <c r="I107" s="80" t="s">
        <v>12</v>
      </c>
    </row>
    <row r="108" spans="1:9" ht="15.75" customHeight="1">
      <c r="A108" s="27"/>
      <c r="C108" s="12"/>
      <c r="D108" s="12"/>
      <c r="G108" s="12"/>
      <c r="H108" s="12"/>
    </row>
    <row r="109" spans="1:9" ht="15.75" customHeight="1">
      <c r="B109" s="85" t="s">
        <v>13</v>
      </c>
      <c r="C109" s="179"/>
      <c r="D109" s="179"/>
      <c r="E109" s="179"/>
      <c r="F109" s="90"/>
      <c r="I109" s="81"/>
    </row>
    <row r="110" spans="1:9" ht="15.75" customHeight="1">
      <c r="A110" s="82"/>
      <c r="C110" s="175" t="s">
        <v>11</v>
      </c>
      <c r="D110" s="175"/>
      <c r="E110" s="175"/>
      <c r="F110" s="82"/>
      <c r="I110" s="80" t="s">
        <v>12</v>
      </c>
    </row>
    <row r="111" spans="1:9" ht="15.75" customHeight="1">
      <c r="A111" s="4" t="s">
        <v>14</v>
      </c>
    </row>
    <row r="112" spans="1:9">
      <c r="A112" s="174" t="s">
        <v>15</v>
      </c>
      <c r="B112" s="174"/>
      <c r="C112" s="174"/>
      <c r="D112" s="174"/>
      <c r="E112" s="174"/>
      <c r="F112" s="174"/>
      <c r="G112" s="174"/>
      <c r="H112" s="174"/>
      <c r="I112" s="174"/>
    </row>
    <row r="113" spans="1:9" ht="45" customHeight="1">
      <c r="A113" s="170" t="s">
        <v>16</v>
      </c>
      <c r="B113" s="170"/>
      <c r="C113" s="170"/>
      <c r="D113" s="170"/>
      <c r="E113" s="170"/>
      <c r="F113" s="170"/>
      <c r="G113" s="170"/>
      <c r="H113" s="170"/>
      <c r="I113" s="170"/>
    </row>
    <row r="114" spans="1:9" ht="30" customHeight="1">
      <c r="A114" s="170" t="s">
        <v>17</v>
      </c>
      <c r="B114" s="170"/>
      <c r="C114" s="170"/>
      <c r="D114" s="170"/>
      <c r="E114" s="170"/>
      <c r="F114" s="170"/>
      <c r="G114" s="170"/>
      <c r="H114" s="170"/>
      <c r="I114" s="170"/>
    </row>
    <row r="115" spans="1:9" ht="30" customHeight="1">
      <c r="A115" s="170" t="s">
        <v>21</v>
      </c>
      <c r="B115" s="170"/>
      <c r="C115" s="170"/>
      <c r="D115" s="170"/>
      <c r="E115" s="170"/>
      <c r="F115" s="170"/>
      <c r="G115" s="170"/>
      <c r="H115" s="170"/>
      <c r="I115" s="170"/>
    </row>
    <row r="116" spans="1:9" ht="15" customHeight="1">
      <c r="A116" s="170" t="s">
        <v>20</v>
      </c>
      <c r="B116" s="170"/>
      <c r="C116" s="170"/>
      <c r="D116" s="170"/>
      <c r="E116" s="170"/>
      <c r="F116" s="170"/>
      <c r="G116" s="170"/>
      <c r="H116" s="170"/>
      <c r="I116" s="170"/>
    </row>
  </sheetData>
  <autoFilter ref="I12:I82"/>
  <mergeCells count="28">
    <mergeCell ref="A14:I14"/>
    <mergeCell ref="A3:I3"/>
    <mergeCell ref="A4:I4"/>
    <mergeCell ref="A5:I5"/>
    <mergeCell ref="A8:I8"/>
    <mergeCell ref="A10:I10"/>
    <mergeCell ref="A102:I102"/>
    <mergeCell ref="A15:I15"/>
    <mergeCell ref="A28:I28"/>
    <mergeCell ref="A41:I41"/>
    <mergeCell ref="A52:I52"/>
    <mergeCell ref="A79:I79"/>
    <mergeCell ref="A83:I83"/>
    <mergeCell ref="A96:I96"/>
    <mergeCell ref="B97:G97"/>
    <mergeCell ref="B98:G98"/>
    <mergeCell ref="A100:I100"/>
    <mergeCell ref="A101:I101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B30" sqref="B30:I3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5" t="s">
        <v>149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122</v>
      </c>
      <c r="B4" s="166"/>
      <c r="C4" s="166"/>
      <c r="D4" s="166"/>
      <c r="E4" s="166"/>
      <c r="F4" s="166"/>
      <c r="G4" s="166"/>
      <c r="H4" s="166"/>
      <c r="I4" s="166"/>
    </row>
    <row r="5" spans="1:13" ht="15.75" customHeight="1">
      <c r="A5" s="165" t="s">
        <v>206</v>
      </c>
      <c r="B5" s="169"/>
      <c r="C5" s="169"/>
      <c r="D5" s="169"/>
      <c r="E5" s="169"/>
      <c r="F5" s="169"/>
      <c r="G5" s="169"/>
      <c r="H5" s="169"/>
      <c r="I5" s="169"/>
      <c r="J5" s="2"/>
      <c r="K5" s="2"/>
      <c r="L5" s="2"/>
      <c r="M5" s="2"/>
    </row>
    <row r="6" spans="1:13" ht="15.75" customHeight="1">
      <c r="A6" s="2"/>
      <c r="B6" s="84"/>
      <c r="C6" s="84"/>
      <c r="D6" s="84"/>
      <c r="E6" s="84"/>
      <c r="F6" s="84"/>
      <c r="G6" s="84"/>
      <c r="H6" s="84"/>
      <c r="I6" s="32">
        <v>43708</v>
      </c>
      <c r="J6" s="2"/>
      <c r="K6" s="2"/>
      <c r="L6" s="2"/>
      <c r="M6" s="2"/>
    </row>
    <row r="7" spans="1:13" ht="15.75" customHeight="1">
      <c r="B7" s="85"/>
      <c r="C7" s="85"/>
      <c r="D7" s="8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7" t="s">
        <v>160</v>
      </c>
      <c r="B8" s="167"/>
      <c r="C8" s="167"/>
      <c r="D8" s="167"/>
      <c r="E8" s="167"/>
      <c r="F8" s="167"/>
      <c r="G8" s="167"/>
      <c r="H8" s="167"/>
      <c r="I8" s="167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8" t="s">
        <v>152</v>
      </c>
      <c r="B10" s="168"/>
      <c r="C10" s="168"/>
      <c r="D10" s="168"/>
      <c r="E10" s="168"/>
      <c r="F10" s="168"/>
      <c r="G10" s="168"/>
      <c r="H10" s="168"/>
      <c r="I10" s="16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59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1">
        <v>1</v>
      </c>
      <c r="B16" s="93" t="s">
        <v>85</v>
      </c>
      <c r="C16" s="94" t="s">
        <v>90</v>
      </c>
      <c r="D16" s="93" t="s">
        <v>186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7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99</v>
      </c>
      <c r="C17" s="94" t="s">
        <v>90</v>
      </c>
      <c r="D17" s="93" t="s">
        <v>187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100</v>
      </c>
      <c r="C18" s="94" t="s">
        <v>90</v>
      </c>
      <c r="D18" s="93" t="s">
        <v>188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123</v>
      </c>
      <c r="C19" s="94" t="s">
        <v>124</v>
      </c>
      <c r="D19" s="93" t="s">
        <v>125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89</v>
      </c>
      <c r="C20" s="94" t="s">
        <v>90</v>
      </c>
      <c r="D20" s="93" t="s">
        <v>189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97</v>
      </c>
      <c r="C21" s="94" t="s">
        <v>90</v>
      </c>
      <c r="D21" s="93" t="s">
        <v>190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91</v>
      </c>
      <c r="C22" s="94" t="s">
        <v>53</v>
      </c>
      <c r="D22" s="93" t="s">
        <v>125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92</v>
      </c>
      <c r="C23" s="94" t="s">
        <v>53</v>
      </c>
      <c r="D23" s="93" t="s">
        <v>125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93</v>
      </c>
      <c r="C24" s="94" t="s">
        <v>53</v>
      </c>
      <c r="D24" s="93" t="s">
        <v>126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98</v>
      </c>
      <c r="C25" s="94" t="s">
        <v>90</v>
      </c>
      <c r="D25" s="93" t="s">
        <v>54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94</v>
      </c>
      <c r="C26" s="94" t="s">
        <v>53</v>
      </c>
      <c r="D26" s="93" t="s">
        <v>125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185</v>
      </c>
      <c r="C27" s="40" t="s">
        <v>25</v>
      </c>
      <c r="D27" s="34" t="s">
        <v>191</v>
      </c>
      <c r="E27" s="140">
        <v>4.83</v>
      </c>
      <c r="F27" s="127">
        <f>SUM(E27*258)</f>
        <v>1246.1400000000001</v>
      </c>
      <c r="G27" s="127">
        <v>10.39</v>
      </c>
      <c r="H27" s="97">
        <f t="shared" si="0"/>
        <v>12.947394600000001</v>
      </c>
      <c r="I27" s="13">
        <f>F27/12*G27</f>
        <v>1078.9495500000003</v>
      </c>
      <c r="J27" s="8"/>
      <c r="K27" s="8"/>
      <c r="L27" s="8"/>
      <c r="M27" s="8"/>
    </row>
    <row r="28" spans="1:13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7</v>
      </c>
      <c r="B30" s="93" t="s">
        <v>101</v>
      </c>
      <c r="C30" s="94" t="s">
        <v>102</v>
      </c>
      <c r="D30" s="93" t="s">
        <v>187</v>
      </c>
      <c r="E30" s="96">
        <v>1167.4000000000001</v>
      </c>
      <c r="F30" s="96">
        <f>SUM(E30*52/1000)</f>
        <v>60.704800000000006</v>
      </c>
      <c r="G30" s="96">
        <v>155.88999999999999</v>
      </c>
      <c r="H30" s="97">
        <f t="shared" ref="H30:H31" si="1">SUM(F30*G30/1000)</f>
        <v>9.4632712720000001</v>
      </c>
      <c r="I30" s="13">
        <f>F30/6*G30</f>
        <v>1577.2118786666665</v>
      </c>
      <c r="J30" s="24"/>
      <c r="K30" s="8"/>
      <c r="L30" s="8"/>
      <c r="M30" s="8"/>
    </row>
    <row r="31" spans="1:13" ht="31.5" customHeight="1">
      <c r="A31" s="41">
        <v>8</v>
      </c>
      <c r="B31" s="93" t="s">
        <v>136</v>
      </c>
      <c r="C31" s="94" t="s">
        <v>102</v>
      </c>
      <c r="D31" s="93" t="s">
        <v>186</v>
      </c>
      <c r="E31" s="96">
        <v>540.04999999999995</v>
      </c>
      <c r="F31" s="96">
        <f>SUM(E31*78/1000)</f>
        <v>42.123899999999992</v>
      </c>
      <c r="G31" s="96">
        <v>258.63</v>
      </c>
      <c r="H31" s="97">
        <f t="shared" si="1"/>
        <v>10.894504256999998</v>
      </c>
      <c r="I31" s="13">
        <f t="shared" ref="I31" si="2">F31/6*G31</f>
        <v>1815.7507094999996</v>
      </c>
      <c r="J31" s="24"/>
      <c r="K31" s="8"/>
      <c r="L31" s="8"/>
      <c r="M31" s="8"/>
    </row>
    <row r="32" spans="1:13" ht="15.75" hidden="1" customHeight="1">
      <c r="A32" s="41">
        <v>16</v>
      </c>
      <c r="B32" s="93" t="s">
        <v>27</v>
      </c>
      <c r="C32" s="94" t="s">
        <v>102</v>
      </c>
      <c r="D32" s="93" t="s">
        <v>54</v>
      </c>
      <c r="E32" s="96">
        <v>1167.4000000000001</v>
      </c>
      <c r="F32" s="96">
        <f>SUM(E32/1000)</f>
        <v>1.1674</v>
      </c>
      <c r="G32" s="96">
        <v>3020.33</v>
      </c>
      <c r="H32" s="97">
        <f t="shared" ref="H32" si="3">SUM(F32*G32/1000)</f>
        <v>3.5259332420000002</v>
      </c>
      <c r="I32" s="13">
        <f>F32*G32</f>
        <v>3525.9332420000001</v>
      </c>
      <c r="J32" s="24"/>
      <c r="K32" s="8"/>
      <c r="L32" s="8"/>
      <c r="M32" s="8"/>
    </row>
    <row r="33" spans="1:13" ht="15.75" hidden="1" customHeight="1">
      <c r="A33" s="41">
        <v>4</v>
      </c>
      <c r="B33" s="93" t="s">
        <v>64</v>
      </c>
      <c r="C33" s="94" t="s">
        <v>32</v>
      </c>
      <c r="D33" s="93" t="s">
        <v>65</v>
      </c>
      <c r="E33" s="95"/>
      <c r="F33" s="96">
        <v>3</v>
      </c>
      <c r="G33" s="96">
        <v>191.32</v>
      </c>
      <c r="H33" s="97">
        <f t="shared" ref="H33" si="4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3" t="s">
        <v>26</v>
      </c>
      <c r="C35" s="94" t="s">
        <v>31</v>
      </c>
      <c r="D35" s="93"/>
      <c r="E35" s="95"/>
      <c r="F35" s="96">
        <v>6</v>
      </c>
      <c r="G35" s="96">
        <v>1527.2</v>
      </c>
      <c r="H35" s="97">
        <f t="shared" ref="H35:H40" si="5">SUM(F35*G35/1000)</f>
        <v>9.1632000000000016</v>
      </c>
      <c r="I35" s="13">
        <f t="shared" ref="I35:I40" si="6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3" t="s">
        <v>66</v>
      </c>
      <c r="C36" s="94" t="s">
        <v>29</v>
      </c>
      <c r="D36" s="93" t="s">
        <v>127</v>
      </c>
      <c r="E36" s="96">
        <v>1080.0999999999999</v>
      </c>
      <c r="F36" s="96">
        <f>SUM(E36*30/1000)</f>
        <v>32.402999999999999</v>
      </c>
      <c r="G36" s="96">
        <v>2102.6999999999998</v>
      </c>
      <c r="H36" s="97">
        <f t="shared" si="5"/>
        <v>68.13378809999999</v>
      </c>
      <c r="I36" s="13">
        <f t="shared" si="6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3" t="s">
        <v>67</v>
      </c>
      <c r="C37" s="94" t="s">
        <v>29</v>
      </c>
      <c r="D37" s="93" t="s">
        <v>106</v>
      </c>
      <c r="E37" s="96">
        <v>45</v>
      </c>
      <c r="F37" s="96">
        <f>SUM(E37*155/1000)</f>
        <v>6.9749999999999996</v>
      </c>
      <c r="G37" s="96">
        <v>350.75</v>
      </c>
      <c r="H37" s="97">
        <f t="shared" si="5"/>
        <v>2.4464812499999997</v>
      </c>
      <c r="I37" s="13">
        <f t="shared" si="6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3" t="s">
        <v>82</v>
      </c>
      <c r="C38" s="94" t="s">
        <v>102</v>
      </c>
      <c r="D38" s="93" t="s">
        <v>68</v>
      </c>
      <c r="E38" s="96">
        <v>45</v>
      </c>
      <c r="F38" s="96">
        <f>SUM(E38*70/1000)</f>
        <v>3.15</v>
      </c>
      <c r="G38" s="96">
        <v>5803.28</v>
      </c>
      <c r="H38" s="97">
        <f t="shared" si="5"/>
        <v>18.280331999999998</v>
      </c>
      <c r="I38" s="13">
        <f t="shared" si="6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3" t="s">
        <v>107</v>
      </c>
      <c r="C39" s="94" t="s">
        <v>102</v>
      </c>
      <c r="D39" s="93" t="s">
        <v>69</v>
      </c>
      <c r="E39" s="96">
        <v>45</v>
      </c>
      <c r="F39" s="96">
        <f>SUM(E39*45/1000)</f>
        <v>2.0249999999999999</v>
      </c>
      <c r="G39" s="96">
        <v>428.7</v>
      </c>
      <c r="H39" s="97">
        <f t="shared" si="5"/>
        <v>0.86811749999999999</v>
      </c>
      <c r="I39" s="13">
        <f t="shared" si="6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3" t="s">
        <v>70</v>
      </c>
      <c r="C40" s="94" t="s">
        <v>32</v>
      </c>
      <c r="D40" s="93"/>
      <c r="E40" s="95"/>
      <c r="F40" s="96">
        <v>0.6</v>
      </c>
      <c r="G40" s="96">
        <v>798</v>
      </c>
      <c r="H40" s="97">
        <f t="shared" si="5"/>
        <v>0.47879999999999995</v>
      </c>
      <c r="I40" s="13">
        <f t="shared" si="6"/>
        <v>79.8</v>
      </c>
      <c r="J40" s="24"/>
      <c r="K40" s="8"/>
      <c r="L40" s="8"/>
      <c r="M40" s="8"/>
    </row>
    <row r="41" spans="1:13" ht="15.75" customHeight="1">
      <c r="A41" s="155" t="s">
        <v>133</v>
      </c>
      <c r="B41" s="156"/>
      <c r="C41" s="156"/>
      <c r="D41" s="156"/>
      <c r="E41" s="156"/>
      <c r="F41" s="156"/>
      <c r="G41" s="156"/>
      <c r="H41" s="156"/>
      <c r="I41" s="157"/>
      <c r="J41" s="24"/>
      <c r="K41" s="8"/>
      <c r="L41" s="8"/>
      <c r="M41" s="8"/>
    </row>
    <row r="42" spans="1:13" ht="15.75" hidden="1" customHeight="1">
      <c r="A42" s="41">
        <v>18</v>
      </c>
      <c r="B42" s="93" t="s">
        <v>108</v>
      </c>
      <c r="C42" s="94" t="s">
        <v>102</v>
      </c>
      <c r="D42" s="93" t="s">
        <v>42</v>
      </c>
      <c r="E42" s="95">
        <v>965.8</v>
      </c>
      <c r="F42" s="96">
        <f>SUM(E42*2/1000)</f>
        <v>1.9316</v>
      </c>
      <c r="G42" s="13">
        <v>849.49</v>
      </c>
      <c r="H42" s="97">
        <f t="shared" ref="H42:H51" si="7">SUM(F42*G42/1000)</f>
        <v>1.640874884</v>
      </c>
      <c r="I42" s="13">
        <f t="shared" ref="I42:I45" si="8">F42/2*G42</f>
        <v>820.43744200000003</v>
      </c>
      <c r="J42" s="24"/>
      <c r="K42" s="8"/>
    </row>
    <row r="43" spans="1:13" ht="15.75" hidden="1" customHeight="1">
      <c r="A43" s="41">
        <v>19</v>
      </c>
      <c r="B43" s="93" t="s">
        <v>35</v>
      </c>
      <c r="C43" s="94" t="s">
        <v>102</v>
      </c>
      <c r="D43" s="93" t="s">
        <v>42</v>
      </c>
      <c r="E43" s="95">
        <v>36</v>
      </c>
      <c r="F43" s="96">
        <f>SUM(E43*2/1000)</f>
        <v>7.1999999999999995E-2</v>
      </c>
      <c r="G43" s="13">
        <v>579.48</v>
      </c>
      <c r="H43" s="97">
        <f t="shared" si="7"/>
        <v>4.1722559999999999E-2</v>
      </c>
      <c r="I43" s="13">
        <f t="shared" si="8"/>
        <v>20.861280000000001</v>
      </c>
      <c r="J43" s="25"/>
    </row>
    <row r="44" spans="1:13" ht="15.75" hidden="1" customHeight="1">
      <c r="A44" s="41">
        <v>20</v>
      </c>
      <c r="B44" s="93" t="s">
        <v>36</v>
      </c>
      <c r="C44" s="94" t="s">
        <v>102</v>
      </c>
      <c r="D44" s="93" t="s">
        <v>42</v>
      </c>
      <c r="E44" s="95">
        <v>1197.7</v>
      </c>
      <c r="F44" s="96">
        <f>SUM(E44*2/1000)</f>
        <v>2.3954</v>
      </c>
      <c r="G44" s="13">
        <v>579.48</v>
      </c>
      <c r="H44" s="97">
        <f t="shared" si="7"/>
        <v>1.3880863919999999</v>
      </c>
      <c r="I44" s="13">
        <f t="shared" si="8"/>
        <v>694.04319599999997</v>
      </c>
      <c r="J44" s="25"/>
    </row>
    <row r="45" spans="1:13" ht="15.75" hidden="1" customHeight="1">
      <c r="A45" s="41">
        <v>21</v>
      </c>
      <c r="B45" s="93" t="s">
        <v>37</v>
      </c>
      <c r="C45" s="94" t="s">
        <v>102</v>
      </c>
      <c r="D45" s="93" t="s">
        <v>42</v>
      </c>
      <c r="E45" s="95">
        <v>2275.92</v>
      </c>
      <c r="F45" s="96">
        <f>SUM(E45*2/1000)</f>
        <v>4.5518400000000003</v>
      </c>
      <c r="G45" s="13">
        <v>606.77</v>
      </c>
      <c r="H45" s="97">
        <f t="shared" si="7"/>
        <v>2.7619199567999999</v>
      </c>
      <c r="I45" s="13">
        <f t="shared" si="8"/>
        <v>1380.9599784</v>
      </c>
      <c r="J45" s="25"/>
    </row>
    <row r="46" spans="1:13" ht="15.75" hidden="1" customHeight="1">
      <c r="A46" s="41">
        <v>22</v>
      </c>
      <c r="B46" s="93" t="s">
        <v>33</v>
      </c>
      <c r="C46" s="94" t="s">
        <v>34</v>
      </c>
      <c r="D46" s="93" t="s">
        <v>42</v>
      </c>
      <c r="E46" s="95">
        <v>81.709999999999994</v>
      </c>
      <c r="F46" s="96">
        <f>SUM(E46*2/100)</f>
        <v>1.6341999999999999</v>
      </c>
      <c r="G46" s="13">
        <v>68.56</v>
      </c>
      <c r="H46" s="97">
        <f t="shared" si="7"/>
        <v>0.11204075199999999</v>
      </c>
      <c r="I46" s="13">
        <f>F46/2*G46</f>
        <v>56.020375999999999</v>
      </c>
      <c r="J46" s="25"/>
    </row>
    <row r="47" spans="1:13" ht="15.75" hidden="1" customHeight="1">
      <c r="A47" s="41">
        <v>23</v>
      </c>
      <c r="B47" s="93" t="s">
        <v>56</v>
      </c>
      <c r="C47" s="94" t="s">
        <v>102</v>
      </c>
      <c r="D47" s="93" t="s">
        <v>137</v>
      </c>
      <c r="E47" s="95">
        <v>1711.8</v>
      </c>
      <c r="F47" s="96">
        <f>SUM(E47*5/1000)</f>
        <v>8.5589999999999993</v>
      </c>
      <c r="G47" s="13">
        <v>1213.55</v>
      </c>
      <c r="H47" s="97">
        <f t="shared" si="7"/>
        <v>10.386774449999999</v>
      </c>
      <c r="I47" s="13">
        <f>F47/5*G47</f>
        <v>2077.3548899999996</v>
      </c>
      <c r="J47" s="25"/>
    </row>
    <row r="48" spans="1:13" ht="31.5" hidden="1" customHeight="1">
      <c r="A48" s="41">
        <v>14</v>
      </c>
      <c r="B48" s="93" t="s">
        <v>109</v>
      </c>
      <c r="C48" s="94" t="s">
        <v>102</v>
      </c>
      <c r="D48" s="93" t="s">
        <v>42</v>
      </c>
      <c r="E48" s="95">
        <v>1711.8</v>
      </c>
      <c r="F48" s="96">
        <f>SUM(E48*2/1000)</f>
        <v>3.4236</v>
      </c>
      <c r="G48" s="13">
        <v>1213.55</v>
      </c>
      <c r="H48" s="97">
        <f t="shared" si="7"/>
        <v>4.1547097800000001</v>
      </c>
      <c r="I48" s="13">
        <f>F48/2*G48</f>
        <v>2077.3548900000001</v>
      </c>
      <c r="J48" s="25"/>
    </row>
    <row r="49" spans="1:14" ht="31.5" hidden="1" customHeight="1">
      <c r="A49" s="41">
        <v>15</v>
      </c>
      <c r="B49" s="93" t="s">
        <v>110</v>
      </c>
      <c r="C49" s="94" t="s">
        <v>38</v>
      </c>
      <c r="D49" s="93" t="s">
        <v>42</v>
      </c>
      <c r="E49" s="95">
        <v>15</v>
      </c>
      <c r="F49" s="96">
        <f>SUM(E49*2/100)</f>
        <v>0.3</v>
      </c>
      <c r="G49" s="13">
        <v>2730.49</v>
      </c>
      <c r="H49" s="97">
        <f t="shared" si="7"/>
        <v>0.81914699999999996</v>
      </c>
      <c r="I49" s="13">
        <f t="shared" ref="I49:I50" si="9">F49/2*G49</f>
        <v>409.57349999999997</v>
      </c>
      <c r="J49" s="25"/>
    </row>
    <row r="50" spans="1:14" ht="15.75" hidden="1" customHeight="1">
      <c r="A50" s="41">
        <v>16</v>
      </c>
      <c r="B50" s="93" t="s">
        <v>39</v>
      </c>
      <c r="C50" s="94" t="s">
        <v>40</v>
      </c>
      <c r="D50" s="93" t="s">
        <v>42</v>
      </c>
      <c r="E50" s="95">
        <v>1</v>
      </c>
      <c r="F50" s="96">
        <v>0.02</v>
      </c>
      <c r="G50" s="13">
        <v>5322.15</v>
      </c>
      <c r="H50" s="97">
        <f t="shared" si="7"/>
        <v>0.106443</v>
      </c>
      <c r="I50" s="13">
        <f t="shared" si="9"/>
        <v>53.221499999999999</v>
      </c>
      <c r="J50" s="25"/>
      <c r="L50" s="21"/>
      <c r="M50" s="22"/>
      <c r="N50" s="23"/>
    </row>
    <row r="51" spans="1:14" ht="15.75" customHeight="1">
      <c r="A51" s="41">
        <v>9</v>
      </c>
      <c r="B51" s="93" t="s">
        <v>41</v>
      </c>
      <c r="C51" s="94" t="s">
        <v>87</v>
      </c>
      <c r="D51" s="141">
        <v>43692</v>
      </c>
      <c r="E51" s="95">
        <v>90</v>
      </c>
      <c r="F51" s="96">
        <f>SUM(E51)*3</f>
        <v>270</v>
      </c>
      <c r="G51" s="13">
        <v>65.67</v>
      </c>
      <c r="H51" s="97">
        <f t="shared" si="7"/>
        <v>17.730900000000002</v>
      </c>
      <c r="I51" s="13">
        <f>E51*G51/3</f>
        <v>1970.1000000000001</v>
      </c>
      <c r="J51" s="25"/>
      <c r="L51" s="21"/>
      <c r="M51" s="22"/>
      <c r="N51" s="23"/>
    </row>
    <row r="52" spans="1:14" ht="15.75" customHeight="1">
      <c r="A52" s="155" t="s">
        <v>134</v>
      </c>
      <c r="B52" s="156"/>
      <c r="C52" s="156"/>
      <c r="D52" s="156"/>
      <c r="E52" s="156"/>
      <c r="F52" s="156"/>
      <c r="G52" s="156"/>
      <c r="H52" s="156"/>
      <c r="I52" s="157"/>
      <c r="J52" s="25"/>
      <c r="L52" s="21"/>
      <c r="M52" s="22"/>
      <c r="N52" s="23"/>
    </row>
    <row r="53" spans="1:14" ht="15.75" hidden="1" customHeight="1">
      <c r="A53" s="92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3" t="s">
        <v>111</v>
      </c>
      <c r="C54" s="94" t="s">
        <v>90</v>
      </c>
      <c r="D54" s="93" t="s">
        <v>112</v>
      </c>
      <c r="E54" s="95">
        <v>96.58</v>
      </c>
      <c r="F54" s="96">
        <f>SUM(E54*6/100)</f>
        <v>5.7948000000000004</v>
      </c>
      <c r="G54" s="13">
        <v>1547.28</v>
      </c>
      <c r="H54" s="97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9" t="s">
        <v>44</v>
      </c>
      <c r="C55" s="40"/>
      <c r="D55" s="34"/>
      <c r="E55" s="19"/>
      <c r="F55" s="87"/>
      <c r="G55" s="37"/>
      <c r="H55" s="70"/>
      <c r="I55" s="20"/>
      <c r="J55" s="25"/>
      <c r="L55" s="21"/>
      <c r="M55" s="22"/>
      <c r="N55" s="23"/>
    </row>
    <row r="56" spans="1:14" ht="15.75" hidden="1" customHeight="1">
      <c r="A56" s="41"/>
      <c r="B56" s="93" t="s">
        <v>45</v>
      </c>
      <c r="C56" s="94" t="s">
        <v>90</v>
      </c>
      <c r="D56" s="93" t="s">
        <v>54</v>
      </c>
      <c r="E56" s="95">
        <v>855.9</v>
      </c>
      <c r="F56" s="97">
        <v>8.6</v>
      </c>
      <c r="G56" s="13">
        <v>747.3</v>
      </c>
      <c r="H56" s="101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10</v>
      </c>
      <c r="B57" s="93" t="s">
        <v>88</v>
      </c>
      <c r="C57" s="94" t="s">
        <v>25</v>
      </c>
      <c r="D57" s="93" t="s">
        <v>190</v>
      </c>
      <c r="E57" s="95">
        <v>256</v>
      </c>
      <c r="F57" s="97">
        <v>1560</v>
      </c>
      <c r="G57" s="13">
        <v>1.4</v>
      </c>
      <c r="H57" s="101">
        <f>F57*G57/1000</f>
        <v>2.1840000000000002</v>
      </c>
      <c r="I57" s="13">
        <f>F57/12*G57</f>
        <v>182</v>
      </c>
      <c r="J57" s="25"/>
      <c r="L57" s="21"/>
      <c r="M57" s="22"/>
      <c r="N57" s="23"/>
    </row>
    <row r="58" spans="1:14" ht="15.75" hidden="1" customHeight="1">
      <c r="A58" s="41"/>
      <c r="B58" s="69" t="s">
        <v>128</v>
      </c>
      <c r="C58" s="40"/>
      <c r="D58" s="34"/>
      <c r="E58" s="19"/>
      <c r="F58" s="87"/>
      <c r="G58" s="71"/>
      <c r="H58" s="70"/>
      <c r="I58" s="20"/>
      <c r="J58" s="25"/>
      <c r="L58" s="21"/>
      <c r="M58" s="22"/>
      <c r="N58" s="23"/>
    </row>
    <row r="59" spans="1:14" ht="15.75" hidden="1" customHeight="1">
      <c r="A59" s="41"/>
      <c r="B59" s="93" t="s">
        <v>129</v>
      </c>
      <c r="C59" s="94" t="s">
        <v>87</v>
      </c>
      <c r="D59" s="93" t="s">
        <v>65</v>
      </c>
      <c r="E59" s="95">
        <v>2</v>
      </c>
      <c r="F59" s="96">
        <f>SUM(E59)</f>
        <v>2</v>
      </c>
      <c r="G59" s="102">
        <v>237.75</v>
      </c>
      <c r="H59" s="97">
        <f t="shared" ref="H59" si="10">SUM(F59*G59/1000)</f>
        <v>0.47549999999999998</v>
      </c>
      <c r="I59" s="13">
        <v>0</v>
      </c>
      <c r="J59" s="25"/>
      <c r="L59" s="21"/>
      <c r="M59" s="22"/>
      <c r="N59" s="23"/>
    </row>
    <row r="60" spans="1:14" ht="15.75" customHeight="1">
      <c r="A60" s="41"/>
      <c r="B60" s="83" t="s">
        <v>46</v>
      </c>
      <c r="C60" s="17"/>
      <c r="D60" s="16"/>
      <c r="E60" s="16"/>
      <c r="F60" s="88"/>
      <c r="G60" s="65"/>
      <c r="H60" s="70"/>
      <c r="I60" s="19"/>
      <c r="J60" s="25"/>
      <c r="L60" s="21"/>
      <c r="M60" s="22"/>
      <c r="N60" s="23"/>
    </row>
    <row r="61" spans="1:14" ht="15.75" customHeight="1">
      <c r="A61" s="41">
        <v>11</v>
      </c>
      <c r="B61" s="15" t="s">
        <v>47</v>
      </c>
      <c r="C61" s="17" t="s">
        <v>87</v>
      </c>
      <c r="D61" s="93" t="s">
        <v>190</v>
      </c>
      <c r="E61" s="19">
        <v>10</v>
      </c>
      <c r="F61" s="96">
        <v>10</v>
      </c>
      <c r="G61" s="13">
        <v>222.4</v>
      </c>
      <c r="H61" s="103">
        <f t="shared" ref="H61:H68" si="11">SUM(F61*G61/1000)</f>
        <v>2.2240000000000002</v>
      </c>
      <c r="I61" s="13">
        <f>G61*1</f>
        <v>222.4</v>
      </c>
      <c r="J61" s="25"/>
      <c r="L61" s="21"/>
      <c r="M61" s="22"/>
      <c r="N61" s="23"/>
    </row>
    <row r="62" spans="1:14" ht="15.75" hidden="1" customHeight="1">
      <c r="A62" s="31">
        <v>29</v>
      </c>
      <c r="B62" s="15" t="s">
        <v>48</v>
      </c>
      <c r="C62" s="17" t="s">
        <v>87</v>
      </c>
      <c r="D62" s="93" t="s">
        <v>65</v>
      </c>
      <c r="E62" s="19">
        <v>5</v>
      </c>
      <c r="F62" s="96">
        <v>5</v>
      </c>
      <c r="G62" s="13">
        <v>75.25</v>
      </c>
      <c r="H62" s="103">
        <f t="shared" si="11"/>
        <v>0.37624999999999997</v>
      </c>
      <c r="I62" s="13">
        <v>0</v>
      </c>
      <c r="J62" s="25"/>
      <c r="L62" s="21"/>
      <c r="M62" s="22"/>
      <c r="N62" s="23"/>
    </row>
    <row r="63" spans="1:14" ht="15.75" hidden="1" customHeight="1">
      <c r="A63" s="31">
        <v>25</v>
      </c>
      <c r="B63" s="15" t="s">
        <v>49</v>
      </c>
      <c r="C63" s="17" t="s">
        <v>113</v>
      </c>
      <c r="D63" s="15" t="s">
        <v>54</v>
      </c>
      <c r="E63" s="95">
        <v>13018</v>
      </c>
      <c r="F63" s="13">
        <f>SUM(E63/100)</f>
        <v>130.18</v>
      </c>
      <c r="G63" s="13">
        <v>212.15</v>
      </c>
      <c r="H63" s="103">
        <f t="shared" si="11"/>
        <v>27.617687</v>
      </c>
      <c r="I63" s="13">
        <f>F63*G63</f>
        <v>27617.687000000002</v>
      </c>
      <c r="J63" s="25"/>
      <c r="L63" s="21"/>
      <c r="M63" s="22"/>
      <c r="N63" s="23"/>
    </row>
    <row r="64" spans="1:14" ht="15.75" hidden="1" customHeight="1">
      <c r="A64" s="31">
        <v>26</v>
      </c>
      <c r="B64" s="15" t="s">
        <v>50</v>
      </c>
      <c r="C64" s="17" t="s">
        <v>114</v>
      </c>
      <c r="D64" s="15"/>
      <c r="E64" s="95">
        <v>13018</v>
      </c>
      <c r="F64" s="13">
        <f>SUM(E64/1000)</f>
        <v>13.018000000000001</v>
      </c>
      <c r="G64" s="13">
        <v>165.21</v>
      </c>
      <c r="H64" s="103">
        <f t="shared" si="11"/>
        <v>2.1507037800000002</v>
      </c>
      <c r="I64" s="13">
        <f t="shared" ref="I64:I68" si="12">F64*G64</f>
        <v>2150.7037800000003</v>
      </c>
      <c r="J64" s="25"/>
      <c r="L64" s="21"/>
      <c r="M64" s="22"/>
      <c r="N64" s="23"/>
    </row>
    <row r="65" spans="1:14" ht="15.75" hidden="1" customHeight="1">
      <c r="A65" s="31">
        <v>27</v>
      </c>
      <c r="B65" s="15" t="s">
        <v>51</v>
      </c>
      <c r="C65" s="17" t="s">
        <v>76</v>
      </c>
      <c r="D65" s="15" t="s">
        <v>54</v>
      </c>
      <c r="E65" s="95">
        <v>1279</v>
      </c>
      <c r="F65" s="13">
        <f>SUM(E65/100)</f>
        <v>12.79</v>
      </c>
      <c r="G65" s="13">
        <v>2074.63</v>
      </c>
      <c r="H65" s="103">
        <f t="shared" si="11"/>
        <v>26.534517700000002</v>
      </c>
      <c r="I65" s="13">
        <f t="shared" si="12"/>
        <v>26534.5177</v>
      </c>
      <c r="J65" s="25"/>
      <c r="L65" s="21"/>
      <c r="M65" s="22"/>
      <c r="N65" s="23"/>
    </row>
    <row r="66" spans="1:14" ht="15.75" hidden="1" customHeight="1">
      <c r="A66" s="31">
        <v>28</v>
      </c>
      <c r="B66" s="104" t="s">
        <v>115</v>
      </c>
      <c r="C66" s="17" t="s">
        <v>32</v>
      </c>
      <c r="D66" s="15"/>
      <c r="E66" s="95">
        <v>12</v>
      </c>
      <c r="F66" s="13">
        <f>SUM(E66)</f>
        <v>12</v>
      </c>
      <c r="G66" s="13">
        <v>45.32</v>
      </c>
      <c r="H66" s="103">
        <f t="shared" si="11"/>
        <v>0.54383999999999999</v>
      </c>
      <c r="I66" s="13">
        <f t="shared" si="12"/>
        <v>543.84</v>
      </c>
      <c r="J66" s="25"/>
      <c r="L66" s="21"/>
      <c r="M66" s="22"/>
      <c r="N66" s="23"/>
    </row>
    <row r="67" spans="1:14" ht="15.75" hidden="1" customHeight="1">
      <c r="A67" s="31">
        <v>29</v>
      </c>
      <c r="B67" s="104" t="s">
        <v>116</v>
      </c>
      <c r="C67" s="17" t="s">
        <v>32</v>
      </c>
      <c r="D67" s="15"/>
      <c r="E67" s="95">
        <v>12</v>
      </c>
      <c r="F67" s="13">
        <f>SUM(E67)</f>
        <v>12</v>
      </c>
      <c r="G67" s="13">
        <v>42.28</v>
      </c>
      <c r="H67" s="103">
        <f t="shared" si="11"/>
        <v>0.50736000000000003</v>
      </c>
      <c r="I67" s="13">
        <f t="shared" si="12"/>
        <v>507.36</v>
      </c>
      <c r="J67" s="25"/>
      <c r="L67" s="21"/>
      <c r="M67" s="22"/>
      <c r="N67" s="23"/>
    </row>
    <row r="68" spans="1:14" ht="15.75" hidden="1" customHeight="1">
      <c r="A68" s="31">
        <v>13</v>
      </c>
      <c r="B68" s="15" t="s">
        <v>57</v>
      </c>
      <c r="C68" s="17" t="s">
        <v>58</v>
      </c>
      <c r="D68" s="15" t="s">
        <v>54</v>
      </c>
      <c r="E68" s="19">
        <v>1</v>
      </c>
      <c r="F68" s="96">
        <f>SUM(E68)</f>
        <v>1</v>
      </c>
      <c r="G68" s="13">
        <v>49.88</v>
      </c>
      <c r="H68" s="103">
        <f t="shared" si="11"/>
        <v>4.9880000000000001E-2</v>
      </c>
      <c r="I68" s="13">
        <f t="shared" si="12"/>
        <v>49.88</v>
      </c>
      <c r="J68" s="25"/>
      <c r="L68" s="21"/>
      <c r="M68" s="22"/>
      <c r="N68" s="23"/>
    </row>
    <row r="69" spans="1:14" ht="15.75" hidden="1" customHeight="1">
      <c r="A69" s="92"/>
      <c r="B69" s="83" t="s">
        <v>117</v>
      </c>
      <c r="C69" s="83"/>
      <c r="D69" s="83"/>
      <c r="E69" s="83"/>
      <c r="F69" s="83"/>
      <c r="G69" s="83"/>
      <c r="H69" s="83"/>
      <c r="I69" s="19"/>
      <c r="J69" s="25"/>
      <c r="L69" s="21"/>
      <c r="M69" s="22"/>
      <c r="N69" s="23"/>
    </row>
    <row r="70" spans="1:14" ht="15.75" hidden="1" customHeight="1">
      <c r="A70" s="31">
        <v>16</v>
      </c>
      <c r="B70" s="93" t="s">
        <v>118</v>
      </c>
      <c r="C70" s="17"/>
      <c r="D70" s="15"/>
      <c r="E70" s="87"/>
      <c r="F70" s="13">
        <v>1</v>
      </c>
      <c r="G70" s="13">
        <v>10041.700000000001</v>
      </c>
      <c r="H70" s="103">
        <f>G70*F70/1000</f>
        <v>10.041700000000001</v>
      </c>
      <c r="I70" s="13">
        <f>G70</f>
        <v>10041.700000000001</v>
      </c>
      <c r="J70" s="25"/>
      <c r="L70" s="21"/>
      <c r="M70" s="22"/>
      <c r="N70" s="23"/>
    </row>
    <row r="71" spans="1:14" ht="15.75" hidden="1" customHeight="1">
      <c r="A71" s="31"/>
      <c r="B71" s="49" t="s">
        <v>72</v>
      </c>
      <c r="C71" s="49"/>
      <c r="D71" s="49"/>
      <c r="E71" s="19"/>
      <c r="F71" s="19"/>
      <c r="G71" s="31"/>
      <c r="H71" s="31"/>
      <c r="I71" s="19"/>
      <c r="J71" s="25"/>
      <c r="L71" s="21"/>
      <c r="M71" s="22"/>
      <c r="N71" s="23"/>
    </row>
    <row r="72" spans="1:14" ht="15.75" hidden="1" customHeight="1">
      <c r="A72" s="31">
        <v>12</v>
      </c>
      <c r="B72" s="15" t="s">
        <v>73</v>
      </c>
      <c r="C72" s="17" t="s">
        <v>74</v>
      </c>
      <c r="D72" s="15" t="s">
        <v>65</v>
      </c>
      <c r="E72" s="19">
        <v>5</v>
      </c>
      <c r="F72" s="13">
        <v>0.5</v>
      </c>
      <c r="G72" s="13">
        <v>501.62</v>
      </c>
      <c r="H72" s="103">
        <f t="shared" ref="H72:H74" si="13">SUM(F72*G72/1000)</f>
        <v>0.25080999999999998</v>
      </c>
      <c r="I72" s="13">
        <f>G72*0.1</f>
        <v>50.162000000000006</v>
      </c>
      <c r="J72" s="25"/>
      <c r="L72" s="21"/>
      <c r="M72" s="22"/>
      <c r="N72" s="23"/>
    </row>
    <row r="73" spans="1:14" ht="15.75" hidden="1" customHeight="1">
      <c r="A73" s="31"/>
      <c r="B73" s="15" t="s">
        <v>130</v>
      </c>
      <c r="C73" s="17" t="s">
        <v>87</v>
      </c>
      <c r="D73" s="15"/>
      <c r="E73" s="19">
        <v>1</v>
      </c>
      <c r="F73" s="86">
        <f>E73</f>
        <v>1</v>
      </c>
      <c r="G73" s="13">
        <v>852.99</v>
      </c>
      <c r="H73" s="103">
        <f t="shared" si="13"/>
        <v>0.85299000000000003</v>
      </c>
      <c r="I73" s="13">
        <v>0</v>
      </c>
      <c r="J73" s="25"/>
      <c r="L73" s="21"/>
      <c r="M73" s="22"/>
      <c r="N73" s="23"/>
    </row>
    <row r="74" spans="1:14" ht="15.75" hidden="1" customHeight="1">
      <c r="A74" s="31"/>
      <c r="B74" s="15" t="s">
        <v>131</v>
      </c>
      <c r="C74" s="17" t="s">
        <v>87</v>
      </c>
      <c r="D74" s="15"/>
      <c r="E74" s="19">
        <v>1</v>
      </c>
      <c r="F74" s="96">
        <f>SUM(E74)</f>
        <v>1</v>
      </c>
      <c r="G74" s="13">
        <v>358.51</v>
      </c>
      <c r="H74" s="103">
        <f t="shared" si="13"/>
        <v>0.35851</v>
      </c>
      <c r="I74" s="13">
        <v>0</v>
      </c>
      <c r="J74" s="25"/>
      <c r="L74" s="21"/>
      <c r="M74" s="22"/>
      <c r="N74" s="23"/>
    </row>
    <row r="75" spans="1:14" ht="15.75" hidden="1" customHeight="1">
      <c r="A75" s="31"/>
      <c r="B75" s="50" t="s">
        <v>75</v>
      </c>
      <c r="C75" s="38"/>
      <c r="D75" s="31"/>
      <c r="E75" s="19"/>
      <c r="F75" s="19"/>
      <c r="G75" s="37" t="s">
        <v>119</v>
      </c>
      <c r="H75" s="37"/>
      <c r="I75" s="19"/>
      <c r="J75" s="25"/>
      <c r="L75" s="21"/>
      <c r="M75" s="22"/>
      <c r="N75" s="23"/>
    </row>
    <row r="76" spans="1:14" ht="15.75" hidden="1" customHeight="1">
      <c r="A76" s="31">
        <v>12</v>
      </c>
      <c r="B76" s="52" t="s">
        <v>120</v>
      </c>
      <c r="C76" s="17" t="s">
        <v>76</v>
      </c>
      <c r="D76" s="15"/>
      <c r="E76" s="19"/>
      <c r="F76" s="13">
        <v>0.3</v>
      </c>
      <c r="G76" s="13">
        <v>2759.44</v>
      </c>
      <c r="H76" s="103">
        <f t="shared" ref="H76" si="14">SUM(F76*G76/1000)</f>
        <v>0.82783200000000001</v>
      </c>
      <c r="I76" s="13">
        <v>0</v>
      </c>
      <c r="J76" s="25"/>
      <c r="L76" s="21"/>
      <c r="M76" s="22"/>
      <c r="N76" s="23"/>
    </row>
    <row r="77" spans="1:14" ht="15.75" customHeight="1">
      <c r="A77" s="143"/>
      <c r="B77" s="151" t="s">
        <v>215</v>
      </c>
      <c r="C77" s="38"/>
      <c r="D77" s="124"/>
      <c r="E77" s="18"/>
      <c r="F77" s="70"/>
      <c r="G77" s="37"/>
      <c r="H77" s="144"/>
      <c r="I77" s="145"/>
      <c r="J77" s="25"/>
      <c r="L77" s="21"/>
      <c r="M77" s="22"/>
      <c r="N77" s="23"/>
    </row>
    <row r="78" spans="1:14" ht="15.75" customHeight="1">
      <c r="A78" s="143">
        <v>12</v>
      </c>
      <c r="B78" s="124" t="s">
        <v>216</v>
      </c>
      <c r="C78" s="41" t="s">
        <v>217</v>
      </c>
      <c r="D78" s="124"/>
      <c r="E78" s="18">
        <v>2581.1999999999998</v>
      </c>
      <c r="F78" s="37">
        <f>E78*12</f>
        <v>30974.399999999998</v>
      </c>
      <c r="G78" s="37">
        <v>2.4900000000000002</v>
      </c>
      <c r="H78" s="144"/>
      <c r="I78" s="145">
        <f>G78*F78/12</f>
        <v>6427.1879999999992</v>
      </c>
      <c r="J78" s="25"/>
      <c r="L78" s="21"/>
      <c r="M78" s="22"/>
      <c r="N78" s="23"/>
    </row>
    <row r="79" spans="1:14" ht="15.75" customHeight="1">
      <c r="A79" s="159" t="s">
        <v>135</v>
      </c>
      <c r="B79" s="160"/>
      <c r="C79" s="160"/>
      <c r="D79" s="160"/>
      <c r="E79" s="160"/>
      <c r="F79" s="160"/>
      <c r="G79" s="160"/>
      <c r="H79" s="160"/>
      <c r="I79" s="161"/>
      <c r="J79" s="25"/>
      <c r="L79" s="21"/>
      <c r="M79" s="22"/>
      <c r="N79" s="23"/>
    </row>
    <row r="80" spans="1:14" ht="15.75" customHeight="1">
      <c r="A80" s="31">
        <v>13</v>
      </c>
      <c r="B80" s="93" t="s">
        <v>121</v>
      </c>
      <c r="C80" s="17" t="s">
        <v>55</v>
      </c>
      <c r="D80" s="106"/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14</v>
      </c>
      <c r="B81" s="15" t="s">
        <v>77</v>
      </c>
      <c r="C81" s="17"/>
      <c r="D81" s="106"/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92"/>
      <c r="B82" s="39" t="s">
        <v>79</v>
      </c>
      <c r="C82" s="41"/>
      <c r="D82" s="16"/>
      <c r="E82" s="16"/>
      <c r="F82" s="16"/>
      <c r="G82" s="19"/>
      <c r="H82" s="19"/>
      <c r="I82" s="33">
        <f>I81+I80+I57+I51+I31+I30+I27+I21+I20+I18+I17+I16+I61+I78</f>
        <v>29299.799494166669</v>
      </c>
    </row>
    <row r="83" spans="1:22" ht="15.75" customHeight="1">
      <c r="A83" s="162" t="s">
        <v>60</v>
      </c>
      <c r="B83" s="163"/>
      <c r="C83" s="163"/>
      <c r="D83" s="163"/>
      <c r="E83" s="163"/>
      <c r="F83" s="163"/>
      <c r="G83" s="163"/>
      <c r="H83" s="163"/>
      <c r="I83" s="164"/>
    </row>
    <row r="84" spans="1:22" ht="15.75" customHeight="1">
      <c r="A84" s="31">
        <v>15</v>
      </c>
      <c r="B84" s="67" t="s">
        <v>95</v>
      </c>
      <c r="C84" s="68" t="s">
        <v>87</v>
      </c>
      <c r="D84" s="52"/>
      <c r="E84" s="13"/>
      <c r="F84" s="13">
        <v>368</v>
      </c>
      <c r="G84" s="142">
        <v>58.39</v>
      </c>
      <c r="H84" s="103" t="e">
        <f>#REF!*#REF!/1000</f>
        <v>#REF!</v>
      </c>
      <c r="I84" s="13">
        <f>G84*1</f>
        <v>58.39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17.25" customHeight="1">
      <c r="A85" s="31">
        <v>16</v>
      </c>
      <c r="B85" s="125" t="s">
        <v>141</v>
      </c>
      <c r="C85" s="41" t="s">
        <v>142</v>
      </c>
      <c r="D85" s="66" t="s">
        <v>211</v>
      </c>
      <c r="E85" s="37"/>
      <c r="F85" s="37">
        <v>4</v>
      </c>
      <c r="G85" s="37">
        <v>1730</v>
      </c>
      <c r="H85" s="105">
        <f>G85*F85/1000</f>
        <v>6.92</v>
      </c>
      <c r="I85" s="13">
        <f>G85*1</f>
        <v>1730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17.25" customHeight="1">
      <c r="A86" s="31">
        <v>17</v>
      </c>
      <c r="B86" s="122" t="s">
        <v>207</v>
      </c>
      <c r="C86" s="123" t="s">
        <v>96</v>
      </c>
      <c r="D86" s="66"/>
      <c r="E86" s="37"/>
      <c r="F86" s="37">
        <v>0.03</v>
      </c>
      <c r="G86" s="37">
        <v>122.55</v>
      </c>
      <c r="H86" s="105">
        <f>G86*F86/1000</f>
        <v>3.6765000000000001E-3</v>
      </c>
      <c r="I86" s="13">
        <f>G86*1</f>
        <v>122.55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31.5" customHeight="1">
      <c r="A87" s="31">
        <v>18</v>
      </c>
      <c r="B87" s="122" t="s">
        <v>184</v>
      </c>
      <c r="C87" s="123" t="s">
        <v>155</v>
      </c>
      <c r="D87" s="66" t="s">
        <v>210</v>
      </c>
      <c r="E87" s="37"/>
      <c r="F87" s="37"/>
      <c r="G87" s="37">
        <v>6499.12</v>
      </c>
      <c r="H87" s="105"/>
      <c r="I87" s="13">
        <f>G87*0.45</f>
        <v>2924.6039999999998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31.5" customHeight="1">
      <c r="A88" s="31">
        <v>19</v>
      </c>
      <c r="B88" s="122" t="s">
        <v>182</v>
      </c>
      <c r="C88" s="123" t="s">
        <v>38</v>
      </c>
      <c r="D88" s="66"/>
      <c r="E88" s="37"/>
      <c r="F88" s="37"/>
      <c r="G88" s="37">
        <v>3914.31</v>
      </c>
      <c r="H88" s="105"/>
      <c r="I88" s="13">
        <f>G88*0.01</f>
        <v>39.143099999999997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15.75" customHeight="1">
      <c r="A89" s="31">
        <v>20</v>
      </c>
      <c r="B89" s="122" t="s">
        <v>208</v>
      </c>
      <c r="C89" s="123" t="s">
        <v>181</v>
      </c>
      <c r="D89" s="66"/>
      <c r="E89" s="37"/>
      <c r="F89" s="37"/>
      <c r="G89" s="37">
        <v>273</v>
      </c>
      <c r="H89" s="105"/>
      <c r="I89" s="13">
        <f>G89*3</f>
        <v>819</v>
      </c>
      <c r="J89" s="27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2" ht="18" customHeight="1">
      <c r="A90" s="31">
        <v>21</v>
      </c>
      <c r="B90" s="122" t="s">
        <v>209</v>
      </c>
      <c r="C90" s="123" t="s">
        <v>29</v>
      </c>
      <c r="D90" s="66"/>
      <c r="E90" s="37"/>
      <c r="F90" s="37"/>
      <c r="G90" s="37">
        <v>1160.81</v>
      </c>
      <c r="H90" s="105"/>
      <c r="I90" s="13">
        <f>G90*0.06</f>
        <v>69.648599999999988</v>
      </c>
      <c r="J90" s="27"/>
      <c r="K90" s="27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2" ht="15.75" customHeight="1">
      <c r="A91" s="31"/>
      <c r="B91" s="46" t="s">
        <v>52</v>
      </c>
      <c r="C91" s="42"/>
      <c r="D91" s="54"/>
      <c r="E91" s="42">
        <v>1</v>
      </c>
      <c r="F91" s="42"/>
      <c r="G91" s="42"/>
      <c r="H91" s="42"/>
      <c r="I91" s="33">
        <f>SUM(I84:I90)</f>
        <v>5763.3356999999996</v>
      </c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1:22" ht="15.75" customHeight="1">
      <c r="A92" s="31"/>
      <c r="B92" s="52" t="s">
        <v>78</v>
      </c>
      <c r="C92" s="16"/>
      <c r="D92" s="16"/>
      <c r="E92" s="43"/>
      <c r="F92" s="43"/>
      <c r="G92" s="44"/>
      <c r="H92" s="44"/>
      <c r="I92" s="18">
        <v>0</v>
      </c>
    </row>
    <row r="93" spans="1:22" ht="15.75" customHeight="1">
      <c r="A93" s="55"/>
      <c r="B93" s="47" t="s">
        <v>138</v>
      </c>
      <c r="C93" s="36"/>
      <c r="D93" s="36"/>
      <c r="E93" s="36"/>
      <c r="F93" s="36"/>
      <c r="G93" s="36"/>
      <c r="H93" s="36"/>
      <c r="I93" s="45">
        <f>I82+I91</f>
        <v>35063.135194166665</v>
      </c>
    </row>
    <row r="94" spans="1:22" ht="15.75" customHeight="1">
      <c r="A94" s="158" t="s">
        <v>232</v>
      </c>
      <c r="B94" s="158"/>
      <c r="C94" s="158"/>
      <c r="D94" s="158"/>
      <c r="E94" s="158"/>
      <c r="F94" s="158"/>
      <c r="G94" s="158"/>
      <c r="H94" s="158"/>
      <c r="I94" s="158"/>
    </row>
    <row r="95" spans="1:22" ht="15.75" customHeight="1">
      <c r="A95" s="79"/>
      <c r="B95" s="171" t="s">
        <v>233</v>
      </c>
      <c r="C95" s="171"/>
      <c r="D95" s="171"/>
      <c r="E95" s="171"/>
      <c r="F95" s="171"/>
      <c r="G95" s="171"/>
      <c r="H95" s="91"/>
      <c r="I95" s="3"/>
    </row>
    <row r="96" spans="1:22" ht="15.75" customHeight="1">
      <c r="A96" s="82"/>
      <c r="B96" s="172" t="s">
        <v>6</v>
      </c>
      <c r="C96" s="172"/>
      <c r="D96" s="172"/>
      <c r="E96" s="172"/>
      <c r="F96" s="172"/>
      <c r="G96" s="172"/>
      <c r="H96" s="26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73" t="s">
        <v>7</v>
      </c>
      <c r="B98" s="173"/>
      <c r="C98" s="173"/>
      <c r="D98" s="173"/>
      <c r="E98" s="173"/>
      <c r="F98" s="173"/>
      <c r="G98" s="173"/>
      <c r="H98" s="173"/>
      <c r="I98" s="173"/>
    </row>
    <row r="99" spans="1:9" ht="15.75" customHeight="1">
      <c r="A99" s="173" t="s">
        <v>8</v>
      </c>
      <c r="B99" s="173"/>
      <c r="C99" s="173"/>
      <c r="D99" s="173"/>
      <c r="E99" s="173"/>
      <c r="F99" s="173"/>
      <c r="G99" s="173"/>
      <c r="H99" s="173"/>
      <c r="I99" s="173"/>
    </row>
    <row r="100" spans="1:9" ht="15.75" customHeight="1">
      <c r="A100" s="176" t="s">
        <v>61</v>
      </c>
      <c r="B100" s="176"/>
      <c r="C100" s="176"/>
      <c r="D100" s="176"/>
      <c r="E100" s="176"/>
      <c r="F100" s="176"/>
      <c r="G100" s="176"/>
      <c r="H100" s="176"/>
      <c r="I100" s="176"/>
    </row>
    <row r="101" spans="1:9" ht="15.75" customHeight="1">
      <c r="A101" s="11"/>
    </row>
    <row r="102" spans="1:9" ht="15.75" customHeight="1">
      <c r="A102" s="177" t="s">
        <v>9</v>
      </c>
      <c r="B102" s="177"/>
      <c r="C102" s="177"/>
      <c r="D102" s="177"/>
      <c r="E102" s="177"/>
      <c r="F102" s="177"/>
      <c r="G102" s="177"/>
      <c r="H102" s="177"/>
      <c r="I102" s="177"/>
    </row>
    <row r="103" spans="1:9" ht="15.75" customHeight="1">
      <c r="A103" s="4"/>
    </row>
    <row r="104" spans="1:9" ht="15.75" customHeight="1">
      <c r="B104" s="85" t="s">
        <v>10</v>
      </c>
      <c r="C104" s="178" t="s">
        <v>86</v>
      </c>
      <c r="D104" s="178"/>
      <c r="E104" s="178"/>
      <c r="F104" s="89"/>
      <c r="I104" s="81"/>
    </row>
    <row r="105" spans="1:9" ht="15.75" customHeight="1">
      <c r="A105" s="82"/>
      <c r="C105" s="172" t="s">
        <v>11</v>
      </c>
      <c r="D105" s="172"/>
      <c r="E105" s="172"/>
      <c r="F105" s="26"/>
      <c r="I105" s="80" t="s">
        <v>12</v>
      </c>
    </row>
    <row r="106" spans="1:9" ht="15.75" customHeight="1">
      <c r="A106" s="27"/>
      <c r="C106" s="12"/>
      <c r="D106" s="12"/>
      <c r="G106" s="12"/>
      <c r="H106" s="12"/>
    </row>
    <row r="107" spans="1:9" ht="15.75" customHeight="1">
      <c r="B107" s="85" t="s">
        <v>13</v>
      </c>
      <c r="C107" s="179"/>
      <c r="D107" s="179"/>
      <c r="E107" s="179"/>
      <c r="F107" s="90"/>
      <c r="I107" s="81"/>
    </row>
    <row r="108" spans="1:9" ht="15.75" customHeight="1">
      <c r="A108" s="82"/>
      <c r="C108" s="175" t="s">
        <v>11</v>
      </c>
      <c r="D108" s="175"/>
      <c r="E108" s="175"/>
      <c r="F108" s="82"/>
      <c r="I108" s="80" t="s">
        <v>12</v>
      </c>
    </row>
    <row r="109" spans="1:9" ht="15.75" customHeight="1">
      <c r="A109" s="4" t="s">
        <v>14</v>
      </c>
    </row>
    <row r="110" spans="1:9">
      <c r="A110" s="174" t="s">
        <v>15</v>
      </c>
      <c r="B110" s="174"/>
      <c r="C110" s="174"/>
      <c r="D110" s="174"/>
      <c r="E110" s="174"/>
      <c r="F110" s="174"/>
      <c r="G110" s="174"/>
      <c r="H110" s="174"/>
      <c r="I110" s="174"/>
    </row>
    <row r="111" spans="1:9" ht="45" customHeight="1">
      <c r="A111" s="170" t="s">
        <v>16</v>
      </c>
      <c r="B111" s="170"/>
      <c r="C111" s="170"/>
      <c r="D111" s="170"/>
      <c r="E111" s="170"/>
      <c r="F111" s="170"/>
      <c r="G111" s="170"/>
      <c r="H111" s="170"/>
      <c r="I111" s="170"/>
    </row>
    <row r="112" spans="1:9" ht="30" customHeight="1">
      <c r="A112" s="170" t="s">
        <v>17</v>
      </c>
      <c r="B112" s="170"/>
      <c r="C112" s="170"/>
      <c r="D112" s="170"/>
      <c r="E112" s="170"/>
      <c r="F112" s="170"/>
      <c r="G112" s="170"/>
      <c r="H112" s="170"/>
      <c r="I112" s="170"/>
    </row>
    <row r="113" spans="1:9" ht="30" customHeight="1">
      <c r="A113" s="170" t="s">
        <v>21</v>
      </c>
      <c r="B113" s="170"/>
      <c r="C113" s="170"/>
      <c r="D113" s="170"/>
      <c r="E113" s="170"/>
      <c r="F113" s="170"/>
      <c r="G113" s="170"/>
      <c r="H113" s="170"/>
      <c r="I113" s="170"/>
    </row>
    <row r="114" spans="1:9" ht="15" customHeight="1">
      <c r="A114" s="170" t="s">
        <v>20</v>
      </c>
      <c r="B114" s="170"/>
      <c r="C114" s="170"/>
      <c r="D114" s="170"/>
      <c r="E114" s="170"/>
      <c r="F114" s="170"/>
      <c r="G114" s="170"/>
      <c r="H114" s="170"/>
      <c r="I114" s="170"/>
    </row>
  </sheetData>
  <autoFilter ref="I12:I82"/>
  <mergeCells count="28">
    <mergeCell ref="A14:I14"/>
    <mergeCell ref="A3:I3"/>
    <mergeCell ref="A4:I4"/>
    <mergeCell ref="A5:I5"/>
    <mergeCell ref="A8:I8"/>
    <mergeCell ref="A10:I10"/>
    <mergeCell ref="A100:I100"/>
    <mergeCell ref="A15:I15"/>
    <mergeCell ref="A28:I28"/>
    <mergeCell ref="A41:I41"/>
    <mergeCell ref="A52:I52"/>
    <mergeCell ref="A79:I79"/>
    <mergeCell ref="A83:I83"/>
    <mergeCell ref="A94:I94"/>
    <mergeCell ref="B95:G95"/>
    <mergeCell ref="B96:G96"/>
    <mergeCell ref="A98:I98"/>
    <mergeCell ref="A99:I99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1"/>
  <sheetViews>
    <sheetView view="pageBreakPreview" topLeftCell="A68" zoomScale="60" workbookViewId="0">
      <selection activeCell="B69" sqref="B69:I7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8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159</v>
      </c>
      <c r="I1" s="28"/>
      <c r="J1" s="1"/>
      <c r="K1" s="1"/>
      <c r="L1" s="1"/>
      <c r="M1" s="1"/>
    </row>
    <row r="2" spans="1:13" ht="15.75" customHeight="1">
      <c r="A2" s="30" t="s">
        <v>62</v>
      </c>
      <c r="J2" s="2"/>
      <c r="K2" s="2"/>
      <c r="L2" s="2"/>
      <c r="M2" s="2"/>
    </row>
    <row r="3" spans="1:13" ht="15.75" customHeight="1">
      <c r="A3" s="165" t="s">
        <v>150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122</v>
      </c>
      <c r="B4" s="166"/>
      <c r="C4" s="166"/>
      <c r="D4" s="166"/>
      <c r="E4" s="166"/>
      <c r="F4" s="166"/>
      <c r="G4" s="166"/>
      <c r="H4" s="166"/>
      <c r="I4" s="166"/>
    </row>
    <row r="5" spans="1:13" ht="15.75" customHeight="1">
      <c r="A5" s="165" t="s">
        <v>234</v>
      </c>
      <c r="B5" s="169"/>
      <c r="C5" s="169"/>
      <c r="D5" s="169"/>
      <c r="E5" s="169"/>
      <c r="F5" s="169"/>
      <c r="G5" s="169"/>
      <c r="H5" s="169"/>
      <c r="I5" s="169"/>
      <c r="J5" s="2"/>
      <c r="K5" s="2"/>
      <c r="L5" s="2"/>
      <c r="M5" s="2"/>
    </row>
    <row r="6" spans="1:13" ht="15.75" customHeight="1">
      <c r="A6" s="2"/>
      <c r="B6" s="84"/>
      <c r="C6" s="84"/>
      <c r="D6" s="84"/>
      <c r="E6" s="84"/>
      <c r="F6" s="84"/>
      <c r="G6" s="84"/>
      <c r="H6" s="84"/>
      <c r="I6" s="32">
        <v>43738</v>
      </c>
      <c r="J6" s="2"/>
      <c r="K6" s="2"/>
      <c r="L6" s="2"/>
      <c r="M6" s="2"/>
    </row>
    <row r="7" spans="1:13" ht="15.75" customHeight="1">
      <c r="B7" s="85"/>
      <c r="C7" s="85"/>
      <c r="D7" s="8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7" t="s">
        <v>160</v>
      </c>
      <c r="B8" s="167"/>
      <c r="C8" s="167"/>
      <c r="D8" s="167"/>
      <c r="E8" s="167"/>
      <c r="F8" s="167"/>
      <c r="G8" s="167"/>
      <c r="H8" s="167"/>
      <c r="I8" s="167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8" t="s">
        <v>152</v>
      </c>
      <c r="B10" s="168"/>
      <c r="C10" s="168"/>
      <c r="D10" s="168"/>
      <c r="E10" s="168"/>
      <c r="F10" s="168"/>
      <c r="G10" s="168"/>
      <c r="H10" s="168"/>
      <c r="I10" s="16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59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1">
        <v>1</v>
      </c>
      <c r="B16" s="93" t="s">
        <v>85</v>
      </c>
      <c r="C16" s="94" t="s">
        <v>90</v>
      </c>
      <c r="D16" s="93" t="s">
        <v>186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7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99</v>
      </c>
      <c r="C17" s="94" t="s">
        <v>90</v>
      </c>
      <c r="D17" s="93" t="s">
        <v>187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100</v>
      </c>
      <c r="C18" s="94" t="s">
        <v>90</v>
      </c>
      <c r="D18" s="93" t="s">
        <v>188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123</v>
      </c>
      <c r="C19" s="94" t="s">
        <v>124</v>
      </c>
      <c r="D19" s="93" t="s">
        <v>125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89</v>
      </c>
      <c r="C20" s="94" t="s">
        <v>90</v>
      </c>
      <c r="D20" s="93" t="s">
        <v>189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97</v>
      </c>
      <c r="C21" s="94" t="s">
        <v>90</v>
      </c>
      <c r="D21" s="93" t="s">
        <v>190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91</v>
      </c>
      <c r="C22" s="94" t="s">
        <v>53</v>
      </c>
      <c r="D22" s="93" t="s">
        <v>125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92</v>
      </c>
      <c r="C23" s="94" t="s">
        <v>53</v>
      </c>
      <c r="D23" s="93" t="s">
        <v>125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93</v>
      </c>
      <c r="C24" s="94" t="s">
        <v>53</v>
      </c>
      <c r="D24" s="93" t="s">
        <v>126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98</v>
      </c>
      <c r="C25" s="94" t="s">
        <v>90</v>
      </c>
      <c r="D25" s="93" t="s">
        <v>54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94</v>
      </c>
      <c r="C26" s="94" t="s">
        <v>53</v>
      </c>
      <c r="D26" s="93" t="s">
        <v>125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34" t="s">
        <v>185</v>
      </c>
      <c r="C27" s="40" t="s">
        <v>25</v>
      </c>
      <c r="D27" s="34" t="s">
        <v>191</v>
      </c>
      <c r="E27" s="140">
        <v>4.83</v>
      </c>
      <c r="F27" s="127">
        <f>SUM(E27*258)</f>
        <v>1246.1400000000001</v>
      </c>
      <c r="G27" s="127">
        <v>10.39</v>
      </c>
      <c r="H27" s="97">
        <f t="shared" si="0"/>
        <v>12.947394600000001</v>
      </c>
      <c r="I27" s="13">
        <f>F27/12*G27</f>
        <v>1078.9495500000003</v>
      </c>
      <c r="J27" s="8"/>
      <c r="K27" s="8"/>
      <c r="L27" s="8"/>
      <c r="M27" s="8"/>
    </row>
    <row r="28" spans="1:13" ht="15.75" customHeight="1">
      <c r="A28" s="154" t="s">
        <v>84</v>
      </c>
      <c r="B28" s="154"/>
      <c r="C28" s="154"/>
      <c r="D28" s="154"/>
      <c r="E28" s="154"/>
      <c r="F28" s="154"/>
      <c r="G28" s="154"/>
      <c r="H28" s="154"/>
      <c r="I28" s="154"/>
      <c r="J28" s="24"/>
      <c r="K28" s="8"/>
      <c r="L28" s="8"/>
      <c r="M28" s="8"/>
    </row>
    <row r="29" spans="1:13" ht="15.75" customHeight="1">
      <c r="A29" s="41"/>
      <c r="B29" s="51" t="s">
        <v>28</v>
      </c>
      <c r="C29" s="51"/>
      <c r="D29" s="51"/>
      <c r="E29" s="51"/>
      <c r="F29" s="51"/>
      <c r="G29" s="51"/>
      <c r="H29" s="51"/>
      <c r="I29" s="19"/>
      <c r="J29" s="24"/>
      <c r="K29" s="8"/>
      <c r="L29" s="8"/>
      <c r="M29" s="8"/>
    </row>
    <row r="30" spans="1:13" ht="15.75" customHeight="1">
      <c r="A30" s="41">
        <v>7</v>
      </c>
      <c r="B30" s="93" t="s">
        <v>101</v>
      </c>
      <c r="C30" s="94" t="s">
        <v>102</v>
      </c>
      <c r="D30" s="93" t="s">
        <v>187</v>
      </c>
      <c r="E30" s="96">
        <v>1167.4000000000001</v>
      </c>
      <c r="F30" s="96">
        <f>SUM(E30*52/1000)</f>
        <v>60.704800000000006</v>
      </c>
      <c r="G30" s="96">
        <v>155.88999999999999</v>
      </c>
      <c r="H30" s="97">
        <f t="shared" ref="H30:H31" si="1">SUM(F30*G30/1000)</f>
        <v>9.4632712720000001</v>
      </c>
      <c r="I30" s="13">
        <f>F30/6*G30</f>
        <v>1577.2118786666665</v>
      </c>
      <c r="J30" s="24"/>
      <c r="K30" s="8"/>
      <c r="L30" s="8"/>
      <c r="M30" s="8"/>
    </row>
    <row r="31" spans="1:13" ht="31.5" customHeight="1">
      <c r="A31" s="41">
        <v>8</v>
      </c>
      <c r="B31" s="93" t="s">
        <v>136</v>
      </c>
      <c r="C31" s="94" t="s">
        <v>102</v>
      </c>
      <c r="D31" s="93" t="s">
        <v>186</v>
      </c>
      <c r="E31" s="96">
        <v>540.04999999999995</v>
      </c>
      <c r="F31" s="96">
        <f>SUM(E31*78/1000)</f>
        <v>42.123899999999992</v>
      </c>
      <c r="G31" s="96">
        <v>258.63</v>
      </c>
      <c r="H31" s="97">
        <f t="shared" si="1"/>
        <v>10.894504256999998</v>
      </c>
      <c r="I31" s="13">
        <f t="shared" ref="I31" si="2">F31/6*G31</f>
        <v>1815.7507094999996</v>
      </c>
      <c r="J31" s="24"/>
      <c r="K31" s="8"/>
      <c r="L31" s="8"/>
      <c r="M31" s="8"/>
    </row>
    <row r="32" spans="1:13" ht="15.75" hidden="1" customHeight="1">
      <c r="A32" s="41">
        <v>16</v>
      </c>
      <c r="B32" s="93" t="s">
        <v>27</v>
      </c>
      <c r="C32" s="94" t="s">
        <v>102</v>
      </c>
      <c r="D32" s="93" t="s">
        <v>54</v>
      </c>
      <c r="E32" s="96">
        <v>1167.4000000000001</v>
      </c>
      <c r="F32" s="96">
        <f>SUM(E32/1000)</f>
        <v>1.1674</v>
      </c>
      <c r="G32" s="96">
        <v>3020.33</v>
      </c>
      <c r="H32" s="97">
        <f t="shared" ref="H32" si="3">SUM(F32*G32/1000)</f>
        <v>3.5259332420000002</v>
      </c>
      <c r="I32" s="13">
        <f>F32*G32</f>
        <v>3525.9332420000001</v>
      </c>
      <c r="J32" s="24"/>
      <c r="K32" s="8"/>
      <c r="L32" s="8"/>
      <c r="M32" s="8"/>
    </row>
    <row r="33" spans="1:13" ht="15.75" hidden="1" customHeight="1">
      <c r="A33" s="41">
        <v>4</v>
      </c>
      <c r="B33" s="93" t="s">
        <v>64</v>
      </c>
      <c r="C33" s="94" t="s">
        <v>32</v>
      </c>
      <c r="D33" s="93" t="s">
        <v>65</v>
      </c>
      <c r="E33" s="95"/>
      <c r="F33" s="96">
        <v>3</v>
      </c>
      <c r="G33" s="96">
        <v>191.32</v>
      </c>
      <c r="H33" s="97">
        <f t="shared" ref="H33" si="4">SUM(F33*G33/1000)</f>
        <v>0.57396000000000003</v>
      </c>
      <c r="I33" s="13">
        <v>0</v>
      </c>
      <c r="J33" s="24"/>
      <c r="K33" s="8"/>
      <c r="L33" s="8"/>
      <c r="M33" s="8"/>
    </row>
    <row r="34" spans="1:13" ht="15.75" hidden="1" customHeight="1">
      <c r="A34" s="41"/>
      <c r="B34" s="49" t="s">
        <v>5</v>
      </c>
      <c r="C34" s="49"/>
      <c r="D34" s="49"/>
      <c r="E34" s="13"/>
      <c r="F34" s="13"/>
      <c r="G34" s="14"/>
      <c r="H34" s="14"/>
      <c r="I34" s="19"/>
      <c r="J34" s="24"/>
      <c r="K34" s="8"/>
      <c r="L34" s="8"/>
      <c r="M34" s="8"/>
    </row>
    <row r="35" spans="1:13" ht="15.75" hidden="1" customHeight="1">
      <c r="A35" s="41">
        <v>8</v>
      </c>
      <c r="B35" s="93" t="s">
        <v>26</v>
      </c>
      <c r="C35" s="94" t="s">
        <v>31</v>
      </c>
      <c r="D35" s="93"/>
      <c r="E35" s="95"/>
      <c r="F35" s="96">
        <v>6</v>
      </c>
      <c r="G35" s="96">
        <v>1527.2</v>
      </c>
      <c r="H35" s="97">
        <f t="shared" ref="H35:H40" si="5">SUM(F35*G35/1000)</f>
        <v>9.1632000000000016</v>
      </c>
      <c r="I35" s="13">
        <f t="shared" ref="I35:I40" si="6">F35/6*G35</f>
        <v>1527.2</v>
      </c>
      <c r="J35" s="24"/>
      <c r="K35" s="8"/>
      <c r="L35" s="8"/>
      <c r="M35" s="8"/>
    </row>
    <row r="36" spans="1:13" ht="15.75" hidden="1" customHeight="1">
      <c r="A36" s="35">
        <v>9</v>
      </c>
      <c r="B36" s="93" t="s">
        <v>66</v>
      </c>
      <c r="C36" s="94" t="s">
        <v>29</v>
      </c>
      <c r="D36" s="93" t="s">
        <v>127</v>
      </c>
      <c r="E36" s="96">
        <v>1080.0999999999999</v>
      </c>
      <c r="F36" s="96">
        <f>SUM(E36*30/1000)</f>
        <v>32.402999999999999</v>
      </c>
      <c r="G36" s="96">
        <v>2102.6999999999998</v>
      </c>
      <c r="H36" s="97">
        <f t="shared" si="5"/>
        <v>68.13378809999999</v>
      </c>
      <c r="I36" s="13">
        <f t="shared" si="6"/>
        <v>11355.63135</v>
      </c>
      <c r="J36" s="24"/>
      <c r="K36" s="8"/>
      <c r="L36" s="8"/>
      <c r="M36" s="8"/>
    </row>
    <row r="37" spans="1:13" ht="15.75" hidden="1" customHeight="1">
      <c r="A37" s="35">
        <v>10</v>
      </c>
      <c r="B37" s="93" t="s">
        <v>67</v>
      </c>
      <c r="C37" s="94" t="s">
        <v>29</v>
      </c>
      <c r="D37" s="93" t="s">
        <v>106</v>
      </c>
      <c r="E37" s="96">
        <v>45</v>
      </c>
      <c r="F37" s="96">
        <f>SUM(E37*155/1000)</f>
        <v>6.9749999999999996</v>
      </c>
      <c r="G37" s="96">
        <v>350.75</v>
      </c>
      <c r="H37" s="97">
        <f t="shared" si="5"/>
        <v>2.4464812499999997</v>
      </c>
      <c r="I37" s="13">
        <f t="shared" si="6"/>
        <v>407.74687499999993</v>
      </c>
      <c r="J37" s="24"/>
      <c r="K37" s="8"/>
      <c r="L37" s="8"/>
      <c r="M37" s="8"/>
    </row>
    <row r="38" spans="1:13" ht="47.25" hidden="1" customHeight="1">
      <c r="A38" s="35">
        <v>11</v>
      </c>
      <c r="B38" s="93" t="s">
        <v>82</v>
      </c>
      <c r="C38" s="94" t="s">
        <v>102</v>
      </c>
      <c r="D38" s="93" t="s">
        <v>68</v>
      </c>
      <c r="E38" s="96">
        <v>45</v>
      </c>
      <c r="F38" s="96">
        <f>SUM(E38*70/1000)</f>
        <v>3.15</v>
      </c>
      <c r="G38" s="96">
        <v>5803.28</v>
      </c>
      <c r="H38" s="97">
        <f t="shared" si="5"/>
        <v>18.280331999999998</v>
      </c>
      <c r="I38" s="13">
        <f t="shared" si="6"/>
        <v>3046.7220000000002</v>
      </c>
      <c r="J38" s="24"/>
      <c r="K38" s="8"/>
      <c r="L38" s="8"/>
      <c r="M38" s="8"/>
    </row>
    <row r="39" spans="1:13" ht="15.75" hidden="1" customHeight="1">
      <c r="A39" s="35">
        <v>12</v>
      </c>
      <c r="B39" s="93" t="s">
        <v>107</v>
      </c>
      <c r="C39" s="94" t="s">
        <v>102</v>
      </c>
      <c r="D39" s="93" t="s">
        <v>69</v>
      </c>
      <c r="E39" s="96">
        <v>45</v>
      </c>
      <c r="F39" s="96">
        <f>SUM(E39*45/1000)</f>
        <v>2.0249999999999999</v>
      </c>
      <c r="G39" s="96">
        <v>428.7</v>
      </c>
      <c r="H39" s="97">
        <f t="shared" si="5"/>
        <v>0.86811749999999999</v>
      </c>
      <c r="I39" s="13">
        <f t="shared" si="6"/>
        <v>144.68624999999997</v>
      </c>
      <c r="J39" s="24"/>
      <c r="K39" s="8"/>
      <c r="L39" s="8"/>
      <c r="M39" s="8"/>
    </row>
    <row r="40" spans="1:13" ht="15.75" hidden="1" customHeight="1">
      <c r="A40" s="35">
        <v>13</v>
      </c>
      <c r="B40" s="93" t="s">
        <v>70</v>
      </c>
      <c r="C40" s="94" t="s">
        <v>32</v>
      </c>
      <c r="D40" s="93"/>
      <c r="E40" s="95"/>
      <c r="F40" s="96">
        <v>0.6</v>
      </c>
      <c r="G40" s="96">
        <v>798</v>
      </c>
      <c r="H40" s="97">
        <f t="shared" si="5"/>
        <v>0.47879999999999995</v>
      </c>
      <c r="I40" s="13">
        <f t="shared" si="6"/>
        <v>79.8</v>
      </c>
      <c r="J40" s="24"/>
      <c r="K40" s="8"/>
      <c r="L40" s="8"/>
      <c r="M40" s="8"/>
    </row>
    <row r="41" spans="1:13" ht="15.75" customHeight="1">
      <c r="A41" s="155" t="s">
        <v>133</v>
      </c>
      <c r="B41" s="156"/>
      <c r="C41" s="156"/>
      <c r="D41" s="156"/>
      <c r="E41" s="156"/>
      <c r="F41" s="156"/>
      <c r="G41" s="156"/>
      <c r="H41" s="156"/>
      <c r="I41" s="157"/>
      <c r="J41" s="24"/>
      <c r="K41" s="8"/>
      <c r="L41" s="8"/>
      <c r="M41" s="8"/>
    </row>
    <row r="42" spans="1:13" ht="15.75" customHeight="1">
      <c r="A42" s="41">
        <v>9</v>
      </c>
      <c r="B42" s="93" t="s">
        <v>108</v>
      </c>
      <c r="C42" s="94" t="s">
        <v>102</v>
      </c>
      <c r="D42" s="93" t="s">
        <v>190</v>
      </c>
      <c r="E42" s="95">
        <v>965.8</v>
      </c>
      <c r="F42" s="96">
        <f>SUM(E42*2/1000)</f>
        <v>1.9316</v>
      </c>
      <c r="G42" s="13">
        <v>849.49</v>
      </c>
      <c r="H42" s="97">
        <f t="shared" ref="H42:H51" si="7">SUM(F42*G42/1000)</f>
        <v>1.640874884</v>
      </c>
      <c r="I42" s="13">
        <f t="shared" ref="I42:I45" si="8">F42/2*G42</f>
        <v>820.43744200000003</v>
      </c>
      <c r="J42" s="24"/>
      <c r="K42" s="8"/>
    </row>
    <row r="43" spans="1:13" ht="15.75" customHeight="1">
      <c r="A43" s="41">
        <v>10</v>
      </c>
      <c r="B43" s="93" t="s">
        <v>35</v>
      </c>
      <c r="C43" s="94" t="s">
        <v>102</v>
      </c>
      <c r="D43" s="93" t="s">
        <v>190</v>
      </c>
      <c r="E43" s="95">
        <v>36</v>
      </c>
      <c r="F43" s="96">
        <f>SUM(E43*2/1000)</f>
        <v>7.1999999999999995E-2</v>
      </c>
      <c r="G43" s="13">
        <v>579.48</v>
      </c>
      <c r="H43" s="97">
        <f t="shared" si="7"/>
        <v>4.1722559999999999E-2</v>
      </c>
      <c r="I43" s="13">
        <f t="shared" si="8"/>
        <v>20.861280000000001</v>
      </c>
      <c r="J43" s="25"/>
    </row>
    <row r="44" spans="1:13" ht="15.75" customHeight="1">
      <c r="A44" s="41">
        <v>11</v>
      </c>
      <c r="B44" s="93" t="s">
        <v>36</v>
      </c>
      <c r="C44" s="94" t="s">
        <v>102</v>
      </c>
      <c r="D44" s="93" t="s">
        <v>190</v>
      </c>
      <c r="E44" s="95">
        <v>1197.7</v>
      </c>
      <c r="F44" s="96">
        <f>SUM(E44*2/1000)</f>
        <v>2.3954</v>
      </c>
      <c r="G44" s="13">
        <v>579.48</v>
      </c>
      <c r="H44" s="97">
        <f t="shared" si="7"/>
        <v>1.3880863919999999</v>
      </c>
      <c r="I44" s="13">
        <f t="shared" si="8"/>
        <v>694.04319599999997</v>
      </c>
      <c r="J44" s="25"/>
    </row>
    <row r="45" spans="1:13" ht="15.75" customHeight="1">
      <c r="A45" s="41">
        <v>12</v>
      </c>
      <c r="B45" s="93" t="s">
        <v>37</v>
      </c>
      <c r="C45" s="94" t="s">
        <v>102</v>
      </c>
      <c r="D45" s="93" t="s">
        <v>190</v>
      </c>
      <c r="E45" s="95">
        <v>2275.92</v>
      </c>
      <c r="F45" s="96">
        <f>SUM(E45*2/1000)</f>
        <v>4.5518400000000003</v>
      </c>
      <c r="G45" s="13">
        <v>606.77</v>
      </c>
      <c r="H45" s="97">
        <f t="shared" si="7"/>
        <v>2.7619199567999999</v>
      </c>
      <c r="I45" s="13">
        <f t="shared" si="8"/>
        <v>1380.9599784</v>
      </c>
      <c r="J45" s="25"/>
    </row>
    <row r="46" spans="1:13" ht="15.75" customHeight="1">
      <c r="A46" s="41">
        <v>13</v>
      </c>
      <c r="B46" s="93" t="s">
        <v>33</v>
      </c>
      <c r="C46" s="94" t="s">
        <v>34</v>
      </c>
      <c r="D46" s="93" t="s">
        <v>190</v>
      </c>
      <c r="E46" s="95">
        <v>81.709999999999994</v>
      </c>
      <c r="F46" s="96">
        <f>SUM(E46*2/100)</f>
        <v>1.6341999999999999</v>
      </c>
      <c r="G46" s="13">
        <v>68.56</v>
      </c>
      <c r="H46" s="97">
        <f t="shared" si="7"/>
        <v>0.11204075199999999</v>
      </c>
      <c r="I46" s="13">
        <f>F46/2*G46</f>
        <v>56.020375999999999</v>
      </c>
      <c r="J46" s="25"/>
    </row>
    <row r="47" spans="1:13" ht="15.75" customHeight="1">
      <c r="A47" s="41">
        <v>14</v>
      </c>
      <c r="B47" s="93" t="s">
        <v>56</v>
      </c>
      <c r="C47" s="94" t="s">
        <v>102</v>
      </c>
      <c r="D47" s="93" t="s">
        <v>190</v>
      </c>
      <c r="E47" s="95">
        <v>1711.8</v>
      </c>
      <c r="F47" s="96">
        <f>SUM(E47*5/1000)</f>
        <v>8.5589999999999993</v>
      </c>
      <c r="G47" s="13">
        <v>1213.55</v>
      </c>
      <c r="H47" s="97">
        <f t="shared" si="7"/>
        <v>10.386774449999999</v>
      </c>
      <c r="I47" s="13">
        <f>F47/5*G47</f>
        <v>2077.3548899999996</v>
      </c>
      <c r="J47" s="25"/>
    </row>
    <row r="48" spans="1:13" ht="31.5" customHeight="1">
      <c r="A48" s="41">
        <v>15</v>
      </c>
      <c r="B48" s="93" t="s">
        <v>109</v>
      </c>
      <c r="C48" s="94" t="s">
        <v>102</v>
      </c>
      <c r="D48" s="93" t="s">
        <v>190</v>
      </c>
      <c r="E48" s="95">
        <v>1711.8</v>
      </c>
      <c r="F48" s="96">
        <f>SUM(E48*2/1000)</f>
        <v>3.4236</v>
      </c>
      <c r="G48" s="13">
        <v>1213.55</v>
      </c>
      <c r="H48" s="97">
        <f t="shared" si="7"/>
        <v>4.1547097800000001</v>
      </c>
      <c r="I48" s="13">
        <f>F48/2*G48</f>
        <v>2077.3548900000001</v>
      </c>
      <c r="J48" s="25"/>
    </row>
    <row r="49" spans="1:14" ht="31.5" customHeight="1">
      <c r="A49" s="41">
        <v>16</v>
      </c>
      <c r="B49" s="93" t="s">
        <v>110</v>
      </c>
      <c r="C49" s="94" t="s">
        <v>38</v>
      </c>
      <c r="D49" s="93" t="s">
        <v>190</v>
      </c>
      <c r="E49" s="95">
        <v>15</v>
      </c>
      <c r="F49" s="96">
        <f>SUM(E49*2/100)</f>
        <v>0.3</v>
      </c>
      <c r="G49" s="13">
        <v>2730.49</v>
      </c>
      <c r="H49" s="97">
        <f t="shared" si="7"/>
        <v>0.81914699999999996</v>
      </c>
      <c r="I49" s="13">
        <f t="shared" ref="I49:I50" si="9">F49/2*G49</f>
        <v>409.57349999999997</v>
      </c>
      <c r="J49" s="25"/>
    </row>
    <row r="50" spans="1:14" ht="15.75" customHeight="1">
      <c r="A50" s="41">
        <v>17</v>
      </c>
      <c r="B50" s="93" t="s">
        <v>39</v>
      </c>
      <c r="C50" s="94" t="s">
        <v>40</v>
      </c>
      <c r="D50" s="93" t="s">
        <v>190</v>
      </c>
      <c r="E50" s="95">
        <v>1</v>
      </c>
      <c r="F50" s="96">
        <v>0.02</v>
      </c>
      <c r="G50" s="13">
        <v>5322.15</v>
      </c>
      <c r="H50" s="97">
        <f t="shared" si="7"/>
        <v>0.106443</v>
      </c>
      <c r="I50" s="13">
        <f t="shared" si="9"/>
        <v>53.221499999999999</v>
      </c>
      <c r="J50" s="25"/>
      <c r="L50" s="21"/>
      <c r="M50" s="22"/>
      <c r="N50" s="23"/>
    </row>
    <row r="51" spans="1:14" ht="15.75" hidden="1" customHeight="1">
      <c r="A51" s="41">
        <v>11</v>
      </c>
      <c r="B51" s="93" t="s">
        <v>41</v>
      </c>
      <c r="C51" s="94" t="s">
        <v>87</v>
      </c>
      <c r="D51" s="93" t="s">
        <v>71</v>
      </c>
      <c r="E51" s="95">
        <v>90</v>
      </c>
      <c r="F51" s="96">
        <f>SUM(E51)*3</f>
        <v>270</v>
      </c>
      <c r="G51" s="13">
        <v>65.67</v>
      </c>
      <c r="H51" s="97">
        <f t="shared" si="7"/>
        <v>17.730900000000002</v>
      </c>
      <c r="I51" s="13">
        <f>E51*G51</f>
        <v>5910.3</v>
      </c>
      <c r="J51" s="25"/>
      <c r="L51" s="21"/>
      <c r="M51" s="22"/>
      <c r="N51" s="23"/>
    </row>
    <row r="52" spans="1:14" ht="15.75" customHeight="1">
      <c r="A52" s="155" t="s">
        <v>134</v>
      </c>
      <c r="B52" s="156"/>
      <c r="C52" s="156"/>
      <c r="D52" s="156"/>
      <c r="E52" s="156"/>
      <c r="F52" s="156"/>
      <c r="G52" s="156"/>
      <c r="H52" s="156"/>
      <c r="I52" s="157"/>
      <c r="J52" s="25"/>
      <c r="L52" s="21"/>
      <c r="M52" s="22"/>
      <c r="N52" s="23"/>
    </row>
    <row r="53" spans="1:14" ht="15.75" hidden="1" customHeight="1">
      <c r="A53" s="92"/>
      <c r="B53" s="48" t="s">
        <v>43</v>
      </c>
      <c r="C53" s="17"/>
      <c r="D53" s="16"/>
      <c r="E53" s="16"/>
      <c r="F53" s="16"/>
      <c r="G53" s="31"/>
      <c r="H53" s="31"/>
      <c r="I53" s="19"/>
      <c r="J53" s="25"/>
      <c r="L53" s="21"/>
      <c r="M53" s="22"/>
      <c r="N53" s="23"/>
    </row>
    <row r="54" spans="1:14" ht="31.5" hidden="1" customHeight="1">
      <c r="A54" s="41">
        <v>14</v>
      </c>
      <c r="B54" s="93" t="s">
        <v>111</v>
      </c>
      <c r="C54" s="94" t="s">
        <v>90</v>
      </c>
      <c r="D54" s="93" t="s">
        <v>112</v>
      </c>
      <c r="E54" s="95">
        <v>96.58</v>
      </c>
      <c r="F54" s="96">
        <f>SUM(E54*6/100)</f>
        <v>5.7948000000000004</v>
      </c>
      <c r="G54" s="13">
        <v>1547.28</v>
      </c>
      <c r="H54" s="97">
        <f>SUM(F54*G54/1000)</f>
        <v>8.9661781440000006</v>
      </c>
      <c r="I54" s="13">
        <f>F54/6*G54</f>
        <v>1494.3630240000002</v>
      </c>
      <c r="J54" s="25"/>
      <c r="L54" s="21"/>
      <c r="M54" s="22"/>
      <c r="N54" s="23"/>
    </row>
    <row r="55" spans="1:14" ht="15.75" customHeight="1">
      <c r="A55" s="41"/>
      <c r="B55" s="69" t="s">
        <v>44</v>
      </c>
      <c r="C55" s="40"/>
      <c r="D55" s="34"/>
      <c r="E55" s="19"/>
      <c r="F55" s="87"/>
      <c r="G55" s="37"/>
      <c r="H55" s="70"/>
      <c r="I55" s="20"/>
      <c r="J55" s="25"/>
      <c r="L55" s="21"/>
      <c r="M55" s="22"/>
      <c r="N55" s="23"/>
    </row>
    <row r="56" spans="1:14" ht="15.75" hidden="1" customHeight="1">
      <c r="A56" s="41"/>
      <c r="B56" s="93" t="s">
        <v>45</v>
      </c>
      <c r="C56" s="94" t="s">
        <v>90</v>
      </c>
      <c r="D56" s="93" t="s">
        <v>54</v>
      </c>
      <c r="E56" s="95">
        <v>855.9</v>
      </c>
      <c r="F56" s="97">
        <v>8.6</v>
      </c>
      <c r="G56" s="13">
        <v>747.3</v>
      </c>
      <c r="H56" s="101">
        <v>6.4</v>
      </c>
      <c r="I56" s="13">
        <v>0</v>
      </c>
      <c r="J56" s="25"/>
      <c r="L56" s="21"/>
      <c r="M56" s="22"/>
      <c r="N56" s="23"/>
    </row>
    <row r="57" spans="1:14" ht="15.75" customHeight="1">
      <c r="A57" s="41">
        <v>18</v>
      </c>
      <c r="B57" s="93" t="s">
        <v>88</v>
      </c>
      <c r="C57" s="94" t="s">
        <v>25</v>
      </c>
      <c r="D57" s="93" t="s">
        <v>190</v>
      </c>
      <c r="E57" s="95">
        <v>256</v>
      </c>
      <c r="F57" s="97">
        <v>1560</v>
      </c>
      <c r="G57" s="13">
        <v>1.4</v>
      </c>
      <c r="H57" s="101">
        <f>F57*G57/1000</f>
        <v>2.1840000000000002</v>
      </c>
      <c r="I57" s="13">
        <f>F57/12*G57</f>
        <v>182</v>
      </c>
      <c r="J57" s="25"/>
      <c r="L57" s="21"/>
      <c r="M57" s="22"/>
      <c r="N57" s="23"/>
    </row>
    <row r="58" spans="1:14" ht="15.75" hidden="1" customHeight="1">
      <c r="A58" s="41"/>
      <c r="B58" s="69" t="s">
        <v>128</v>
      </c>
      <c r="C58" s="40"/>
      <c r="D58" s="34"/>
      <c r="E58" s="19"/>
      <c r="F58" s="87"/>
      <c r="G58" s="71"/>
      <c r="H58" s="70"/>
      <c r="I58" s="20"/>
      <c r="J58" s="25"/>
      <c r="L58" s="21"/>
      <c r="M58" s="22"/>
      <c r="N58" s="23"/>
    </row>
    <row r="59" spans="1:14" ht="15.75" hidden="1" customHeight="1">
      <c r="A59" s="41"/>
      <c r="B59" s="93" t="s">
        <v>129</v>
      </c>
      <c r="C59" s="94" t="s">
        <v>87</v>
      </c>
      <c r="D59" s="93" t="s">
        <v>65</v>
      </c>
      <c r="E59" s="95">
        <v>2</v>
      </c>
      <c r="F59" s="96">
        <f>SUM(E59)</f>
        <v>2</v>
      </c>
      <c r="G59" s="102">
        <v>237.75</v>
      </c>
      <c r="H59" s="97">
        <f t="shared" ref="H59" si="10">SUM(F59*G59/1000)</f>
        <v>0.47549999999999998</v>
      </c>
      <c r="I59" s="13">
        <v>0</v>
      </c>
      <c r="J59" s="25"/>
      <c r="L59" s="21"/>
      <c r="M59" s="22"/>
      <c r="N59" s="23"/>
    </row>
    <row r="60" spans="1:14" ht="15.75" customHeight="1">
      <c r="A60" s="41"/>
      <c r="B60" s="83" t="s">
        <v>46</v>
      </c>
      <c r="C60" s="17"/>
      <c r="D60" s="16"/>
      <c r="E60" s="16"/>
      <c r="F60" s="88"/>
      <c r="G60" s="65"/>
      <c r="H60" s="70"/>
      <c r="I60" s="19"/>
      <c r="J60" s="25"/>
      <c r="L60" s="21"/>
      <c r="M60" s="22"/>
      <c r="N60" s="23"/>
    </row>
    <row r="61" spans="1:14" ht="15" customHeight="1">
      <c r="A61" s="41">
        <v>19</v>
      </c>
      <c r="B61" s="15" t="s">
        <v>47</v>
      </c>
      <c r="C61" s="17" t="s">
        <v>87</v>
      </c>
      <c r="D61" s="93"/>
      <c r="E61" s="19">
        <v>10</v>
      </c>
      <c r="F61" s="96">
        <v>10</v>
      </c>
      <c r="G61" s="13">
        <v>222.4</v>
      </c>
      <c r="H61" s="103">
        <f t="shared" ref="H61:H68" si="11">SUM(F61*G61/1000)</f>
        <v>2.2240000000000002</v>
      </c>
      <c r="I61" s="13">
        <f>G61*1</f>
        <v>222.4</v>
      </c>
      <c r="J61" s="25"/>
      <c r="L61" s="21"/>
      <c r="M61" s="22"/>
      <c r="N61" s="23"/>
    </row>
    <row r="62" spans="1:14" ht="19.5" hidden="1" customHeight="1">
      <c r="A62" s="31">
        <v>29</v>
      </c>
      <c r="B62" s="15" t="s">
        <v>48</v>
      </c>
      <c r="C62" s="17" t="s">
        <v>87</v>
      </c>
      <c r="D62" s="93" t="s">
        <v>65</v>
      </c>
      <c r="E62" s="19">
        <v>5</v>
      </c>
      <c r="F62" s="96">
        <v>5</v>
      </c>
      <c r="G62" s="13">
        <v>75.25</v>
      </c>
      <c r="H62" s="103">
        <f t="shared" si="11"/>
        <v>0.37624999999999997</v>
      </c>
      <c r="I62" s="13">
        <v>0</v>
      </c>
      <c r="J62" s="25"/>
      <c r="L62" s="21"/>
      <c r="M62" s="22"/>
      <c r="N62" s="23"/>
    </row>
    <row r="63" spans="1:14" ht="22.5" hidden="1" customHeight="1">
      <c r="A63" s="31">
        <v>25</v>
      </c>
      <c r="B63" s="15" t="s">
        <v>49</v>
      </c>
      <c r="C63" s="17" t="s">
        <v>113</v>
      </c>
      <c r="D63" s="15" t="s">
        <v>54</v>
      </c>
      <c r="E63" s="95">
        <v>13018</v>
      </c>
      <c r="F63" s="13">
        <f>SUM(E63/100)</f>
        <v>130.18</v>
      </c>
      <c r="G63" s="13">
        <v>212.15</v>
      </c>
      <c r="H63" s="103">
        <f t="shared" si="11"/>
        <v>27.617687</v>
      </c>
      <c r="I63" s="13">
        <f>F63*G63</f>
        <v>27617.687000000002</v>
      </c>
      <c r="J63" s="25"/>
      <c r="L63" s="21"/>
      <c r="M63" s="22"/>
      <c r="N63" s="23"/>
    </row>
    <row r="64" spans="1:14" ht="15.75" hidden="1" customHeight="1">
      <c r="A64" s="31">
        <v>26</v>
      </c>
      <c r="B64" s="15" t="s">
        <v>50</v>
      </c>
      <c r="C64" s="17" t="s">
        <v>114</v>
      </c>
      <c r="D64" s="15"/>
      <c r="E64" s="95">
        <v>13018</v>
      </c>
      <c r="F64" s="13">
        <f>SUM(E64/1000)</f>
        <v>13.018000000000001</v>
      </c>
      <c r="G64" s="13">
        <v>165.21</v>
      </c>
      <c r="H64" s="103">
        <f t="shared" si="11"/>
        <v>2.1507037800000002</v>
      </c>
      <c r="I64" s="13">
        <f t="shared" ref="I64:I68" si="12">F64*G64</f>
        <v>2150.7037800000003</v>
      </c>
      <c r="J64" s="25"/>
      <c r="L64" s="21"/>
      <c r="M64" s="22"/>
      <c r="N64" s="23"/>
    </row>
    <row r="65" spans="1:14" ht="15.75" hidden="1" customHeight="1">
      <c r="A65" s="31">
        <v>27</v>
      </c>
      <c r="B65" s="15" t="s">
        <v>51</v>
      </c>
      <c r="C65" s="17" t="s">
        <v>76</v>
      </c>
      <c r="D65" s="15" t="s">
        <v>54</v>
      </c>
      <c r="E65" s="95">
        <v>1279</v>
      </c>
      <c r="F65" s="13">
        <f>SUM(E65/100)</f>
        <v>12.79</v>
      </c>
      <c r="G65" s="13">
        <v>2074.63</v>
      </c>
      <c r="H65" s="103">
        <f t="shared" si="11"/>
        <v>26.534517700000002</v>
      </c>
      <c r="I65" s="13">
        <f t="shared" si="12"/>
        <v>26534.5177</v>
      </c>
      <c r="J65" s="25"/>
      <c r="L65" s="21"/>
      <c r="M65" s="22"/>
      <c r="N65" s="23"/>
    </row>
    <row r="66" spans="1:14" ht="17.25" hidden="1" customHeight="1">
      <c r="A66" s="31">
        <v>28</v>
      </c>
      <c r="B66" s="104" t="s">
        <v>115</v>
      </c>
      <c r="C66" s="17" t="s">
        <v>32</v>
      </c>
      <c r="D66" s="15"/>
      <c r="E66" s="95">
        <v>12</v>
      </c>
      <c r="F66" s="13">
        <f>SUM(E66)</f>
        <v>12</v>
      </c>
      <c r="G66" s="13">
        <v>45.32</v>
      </c>
      <c r="H66" s="103">
        <f t="shared" si="11"/>
        <v>0.54383999999999999</v>
      </c>
      <c r="I66" s="13">
        <f t="shared" si="12"/>
        <v>543.84</v>
      </c>
      <c r="J66" s="25"/>
      <c r="L66" s="21"/>
      <c r="M66" s="22"/>
      <c r="N66" s="23"/>
    </row>
    <row r="67" spans="1:14" ht="18" hidden="1" customHeight="1">
      <c r="A67" s="31">
        <v>29</v>
      </c>
      <c r="B67" s="104" t="s">
        <v>116</v>
      </c>
      <c r="C67" s="17" t="s">
        <v>32</v>
      </c>
      <c r="D67" s="15"/>
      <c r="E67" s="95">
        <v>12</v>
      </c>
      <c r="F67" s="13">
        <f>SUM(E67)</f>
        <v>12</v>
      </c>
      <c r="G67" s="13">
        <v>42.28</v>
      </c>
      <c r="H67" s="103">
        <f t="shared" si="11"/>
        <v>0.50736000000000003</v>
      </c>
      <c r="I67" s="13">
        <f t="shared" si="12"/>
        <v>507.36</v>
      </c>
      <c r="J67" s="25"/>
      <c r="L67" s="21"/>
      <c r="M67" s="22"/>
      <c r="N67" s="23"/>
    </row>
    <row r="68" spans="1:14" ht="15.75" customHeight="1">
      <c r="A68" s="31">
        <v>20</v>
      </c>
      <c r="B68" s="15" t="s">
        <v>57</v>
      </c>
      <c r="C68" s="17" t="s">
        <v>58</v>
      </c>
      <c r="D68" s="15" t="s">
        <v>189</v>
      </c>
      <c r="E68" s="19">
        <v>1</v>
      </c>
      <c r="F68" s="96">
        <f>SUM(E68)</f>
        <v>1</v>
      </c>
      <c r="G68" s="13">
        <v>49.88</v>
      </c>
      <c r="H68" s="103">
        <f t="shared" si="11"/>
        <v>4.9880000000000001E-2</v>
      </c>
      <c r="I68" s="13">
        <f t="shared" si="12"/>
        <v>49.88</v>
      </c>
      <c r="J68" s="25"/>
      <c r="L68" s="21"/>
      <c r="M68" s="22"/>
      <c r="N68" s="23"/>
    </row>
    <row r="69" spans="1:14" ht="15.75" customHeight="1">
      <c r="A69" s="31"/>
      <c r="B69" s="151" t="s">
        <v>215</v>
      </c>
      <c r="C69" s="38"/>
      <c r="D69" s="124"/>
      <c r="E69" s="18"/>
      <c r="F69" s="70"/>
      <c r="G69" s="37"/>
      <c r="H69" s="144"/>
      <c r="I69" s="145"/>
      <c r="J69" s="25"/>
      <c r="L69" s="21"/>
      <c r="M69" s="22"/>
      <c r="N69" s="23"/>
    </row>
    <row r="70" spans="1:14" ht="28.5" customHeight="1">
      <c r="A70" s="31">
        <v>21</v>
      </c>
      <c r="B70" s="124" t="s">
        <v>216</v>
      </c>
      <c r="C70" s="41" t="s">
        <v>217</v>
      </c>
      <c r="D70" s="124"/>
      <c r="E70" s="18">
        <v>2581.1999999999998</v>
      </c>
      <c r="F70" s="37">
        <f>E70*12</f>
        <v>30974.399999999998</v>
      </c>
      <c r="G70" s="37">
        <v>2.4900000000000002</v>
      </c>
      <c r="H70" s="144"/>
      <c r="I70" s="145">
        <f>G70*F70/12</f>
        <v>6427.1879999999992</v>
      </c>
      <c r="J70" s="25"/>
      <c r="L70" s="21"/>
      <c r="M70" s="22"/>
      <c r="N70" s="23"/>
    </row>
    <row r="71" spans="1:14" ht="15.75" hidden="1" customHeight="1">
      <c r="A71" s="92"/>
      <c r="B71" s="83" t="s">
        <v>117</v>
      </c>
      <c r="C71" s="83"/>
      <c r="D71" s="83"/>
      <c r="E71" s="83"/>
      <c r="F71" s="83"/>
      <c r="G71" s="83"/>
      <c r="H71" s="83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3" t="s">
        <v>118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hidden="1" customHeight="1">
      <c r="A73" s="31"/>
      <c r="B73" s="49" t="s">
        <v>72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hidden="1" customHeight="1">
      <c r="A74" s="31">
        <v>23</v>
      </c>
      <c r="B74" s="15" t="s">
        <v>73</v>
      </c>
      <c r="C74" s="17" t="s">
        <v>74</v>
      </c>
      <c r="D74" s="15" t="s">
        <v>65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G74*0.2</f>
        <v>100.32400000000001</v>
      </c>
      <c r="J74" s="25"/>
      <c r="L74" s="21"/>
      <c r="M74" s="22"/>
      <c r="N74" s="23"/>
    </row>
    <row r="75" spans="1:14" ht="15.75" hidden="1" customHeight="1">
      <c r="A75" s="31"/>
      <c r="B75" s="15" t="s">
        <v>130</v>
      </c>
      <c r="C75" s="17" t="s">
        <v>87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131</v>
      </c>
      <c r="C76" s="17" t="s">
        <v>87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75</v>
      </c>
      <c r="C77" s="38"/>
      <c r="D77" s="31"/>
      <c r="E77" s="19"/>
      <c r="F77" s="19"/>
      <c r="G77" s="37" t="s">
        <v>119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120</v>
      </c>
      <c r="C78" s="17" t="s">
        <v>76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9" t="s">
        <v>135</v>
      </c>
      <c r="B79" s="160"/>
      <c r="C79" s="160"/>
      <c r="D79" s="160"/>
      <c r="E79" s="160"/>
      <c r="F79" s="160"/>
      <c r="G79" s="160"/>
      <c r="H79" s="160"/>
      <c r="I79" s="161"/>
      <c r="J79" s="25"/>
      <c r="L79" s="21"/>
      <c r="M79" s="22"/>
      <c r="N79" s="23"/>
    </row>
    <row r="80" spans="1:14" ht="15.75" customHeight="1">
      <c r="A80" s="31">
        <v>22</v>
      </c>
      <c r="B80" s="93" t="s">
        <v>121</v>
      </c>
      <c r="C80" s="17" t="s">
        <v>55</v>
      </c>
      <c r="D80" s="106"/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23</v>
      </c>
      <c r="B81" s="15" t="s">
        <v>77</v>
      </c>
      <c r="C81" s="17"/>
      <c r="D81" s="106"/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92"/>
      <c r="B82" s="39" t="s">
        <v>79</v>
      </c>
      <c r="C82" s="41"/>
      <c r="D82" s="16"/>
      <c r="E82" s="16"/>
      <c r="F82" s="16"/>
      <c r="G82" s="19"/>
      <c r="H82" s="19"/>
      <c r="I82" s="33">
        <f>I81+I80+I68+I61+I57+I50+I49+I48+I47+I46+I45+I44+I43+I42+I31+I30+I27+I21+I20+I18++I16+I17+I70</f>
        <v>34969.406546566672</v>
      </c>
    </row>
    <row r="83" spans="1:22" ht="15.75" customHeight="1">
      <c r="A83" s="162" t="s">
        <v>60</v>
      </c>
      <c r="B83" s="163"/>
      <c r="C83" s="163"/>
      <c r="D83" s="163"/>
      <c r="E83" s="163"/>
      <c r="F83" s="163"/>
      <c r="G83" s="163"/>
      <c r="H83" s="163"/>
      <c r="I83" s="164"/>
    </row>
    <row r="84" spans="1:22" ht="15.75" customHeight="1">
      <c r="A84" s="31">
        <v>24</v>
      </c>
      <c r="B84" s="67" t="s">
        <v>95</v>
      </c>
      <c r="C84" s="68" t="s">
        <v>87</v>
      </c>
      <c r="D84" s="52"/>
      <c r="E84" s="13"/>
      <c r="F84" s="13">
        <v>368</v>
      </c>
      <c r="G84" s="142">
        <v>58.39</v>
      </c>
      <c r="H84" s="103" t="e">
        <f>#REF!*#REF!/1000</f>
        <v>#REF!</v>
      </c>
      <c r="I84" s="13">
        <f>G84*1</f>
        <v>58.39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15.75" customHeight="1">
      <c r="A85" s="31">
        <v>25</v>
      </c>
      <c r="B85" s="125" t="s">
        <v>202</v>
      </c>
      <c r="C85" s="41" t="s">
        <v>124</v>
      </c>
      <c r="D85" s="66"/>
      <c r="E85" s="37"/>
      <c r="F85" s="37">
        <v>0.03</v>
      </c>
      <c r="G85" s="37">
        <v>2494.86</v>
      </c>
      <c r="H85" s="105">
        <f>G85*F85/1000</f>
        <v>7.484579999999999E-2</v>
      </c>
      <c r="I85" s="13">
        <f>G85*0.06</f>
        <v>149.69159999999999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15.75">
      <c r="A86" s="31">
        <v>26</v>
      </c>
      <c r="B86" s="122" t="s">
        <v>39</v>
      </c>
      <c r="C86" s="123" t="s">
        <v>235</v>
      </c>
      <c r="D86" s="66"/>
      <c r="E86" s="37"/>
      <c r="F86" s="37"/>
      <c r="G86" s="37">
        <v>8102.62</v>
      </c>
      <c r="H86" s="105"/>
      <c r="I86" s="13">
        <f>G86*0.01</f>
        <v>81.026200000000003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7.25" customHeight="1">
      <c r="A87" s="31">
        <v>27</v>
      </c>
      <c r="B87" s="122" t="s">
        <v>165</v>
      </c>
      <c r="C87" s="123" t="s">
        <v>83</v>
      </c>
      <c r="D87" s="66" t="s">
        <v>236</v>
      </c>
      <c r="E87" s="37"/>
      <c r="F87" s="37"/>
      <c r="G87" s="37">
        <v>214.07</v>
      </c>
      <c r="H87" s="105"/>
      <c r="I87" s="13">
        <f>G87*1</f>
        <v>214.07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5.75" customHeight="1">
      <c r="A88" s="31"/>
      <c r="B88" s="46" t="s">
        <v>52</v>
      </c>
      <c r="C88" s="42"/>
      <c r="D88" s="54"/>
      <c r="E88" s="42">
        <v>1</v>
      </c>
      <c r="F88" s="42"/>
      <c r="G88" s="42"/>
      <c r="H88" s="42"/>
      <c r="I88" s="33">
        <f>SUM(I84:I87)</f>
        <v>503.17779999999999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2" ht="15.75" customHeight="1">
      <c r="A89" s="31"/>
      <c r="B89" s="52" t="s">
        <v>78</v>
      </c>
      <c r="C89" s="16"/>
      <c r="D89" s="16"/>
      <c r="E89" s="43"/>
      <c r="F89" s="43"/>
      <c r="G89" s="44"/>
      <c r="H89" s="44"/>
      <c r="I89" s="18">
        <v>0</v>
      </c>
    </row>
    <row r="90" spans="1:22" ht="15.75" customHeight="1">
      <c r="A90" s="55"/>
      <c r="B90" s="47" t="s">
        <v>138</v>
      </c>
      <c r="C90" s="36"/>
      <c r="D90" s="36"/>
      <c r="E90" s="36"/>
      <c r="F90" s="36"/>
      <c r="G90" s="36"/>
      <c r="H90" s="36"/>
      <c r="I90" s="45">
        <f>I82+I88</f>
        <v>35472.584346566669</v>
      </c>
    </row>
    <row r="91" spans="1:22" ht="15.75" customHeight="1">
      <c r="A91" s="158" t="s">
        <v>237</v>
      </c>
      <c r="B91" s="158"/>
      <c r="C91" s="158"/>
      <c r="D91" s="158"/>
      <c r="E91" s="158"/>
      <c r="F91" s="158"/>
      <c r="G91" s="158"/>
      <c r="H91" s="158"/>
      <c r="I91" s="158"/>
    </row>
    <row r="92" spans="1:22" ht="15.75" customHeight="1">
      <c r="A92" s="79"/>
      <c r="B92" s="171" t="s">
        <v>238</v>
      </c>
      <c r="C92" s="171"/>
      <c r="D92" s="171"/>
      <c r="E92" s="171"/>
      <c r="F92" s="171"/>
      <c r="G92" s="171"/>
      <c r="H92" s="91"/>
      <c r="I92" s="3"/>
    </row>
    <row r="93" spans="1:22" ht="15.75" customHeight="1">
      <c r="A93" s="82"/>
      <c r="B93" s="172" t="s">
        <v>6</v>
      </c>
      <c r="C93" s="172"/>
      <c r="D93" s="172"/>
      <c r="E93" s="172"/>
      <c r="F93" s="172"/>
      <c r="G93" s="172"/>
      <c r="H93" s="26"/>
      <c r="I93" s="5"/>
    </row>
    <row r="94" spans="1:22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2" ht="15.75" customHeight="1">
      <c r="A95" s="173" t="s">
        <v>7</v>
      </c>
      <c r="B95" s="173"/>
      <c r="C95" s="173"/>
      <c r="D95" s="173"/>
      <c r="E95" s="173"/>
      <c r="F95" s="173"/>
      <c r="G95" s="173"/>
      <c r="H95" s="173"/>
      <c r="I95" s="173"/>
    </row>
    <row r="96" spans="1:22" ht="15.75" customHeight="1">
      <c r="A96" s="173" t="s">
        <v>8</v>
      </c>
      <c r="B96" s="173"/>
      <c r="C96" s="173"/>
      <c r="D96" s="173"/>
      <c r="E96" s="173"/>
      <c r="F96" s="173"/>
      <c r="G96" s="173"/>
      <c r="H96" s="173"/>
      <c r="I96" s="173"/>
    </row>
    <row r="97" spans="1:9" ht="15.75" customHeight="1">
      <c r="A97" s="176" t="s">
        <v>61</v>
      </c>
      <c r="B97" s="176"/>
      <c r="C97" s="176"/>
      <c r="D97" s="176"/>
      <c r="E97" s="176"/>
      <c r="F97" s="176"/>
      <c r="G97" s="176"/>
      <c r="H97" s="176"/>
      <c r="I97" s="176"/>
    </row>
    <row r="98" spans="1:9" ht="15.75" customHeight="1">
      <c r="A98" s="11"/>
    </row>
    <row r="99" spans="1:9" ht="15.75" customHeight="1">
      <c r="A99" s="177" t="s">
        <v>9</v>
      </c>
      <c r="B99" s="177"/>
      <c r="C99" s="177"/>
      <c r="D99" s="177"/>
      <c r="E99" s="177"/>
      <c r="F99" s="177"/>
      <c r="G99" s="177"/>
      <c r="H99" s="177"/>
      <c r="I99" s="177"/>
    </row>
    <row r="100" spans="1:9" ht="15.75" customHeight="1">
      <c r="A100" s="4"/>
    </row>
    <row r="101" spans="1:9" ht="15.75" customHeight="1">
      <c r="B101" s="85" t="s">
        <v>10</v>
      </c>
      <c r="C101" s="178" t="s">
        <v>86</v>
      </c>
      <c r="D101" s="178"/>
      <c r="E101" s="178"/>
      <c r="F101" s="89"/>
      <c r="I101" s="81"/>
    </row>
    <row r="102" spans="1:9" ht="15.75" customHeight="1">
      <c r="A102" s="82"/>
      <c r="C102" s="172" t="s">
        <v>11</v>
      </c>
      <c r="D102" s="172"/>
      <c r="E102" s="172"/>
      <c r="F102" s="26"/>
      <c r="I102" s="80" t="s">
        <v>12</v>
      </c>
    </row>
    <row r="103" spans="1:9" ht="15.75" customHeight="1">
      <c r="A103" s="27"/>
      <c r="C103" s="12"/>
      <c r="D103" s="12"/>
      <c r="G103" s="12"/>
      <c r="H103" s="12"/>
    </row>
    <row r="104" spans="1:9" ht="15.75" customHeight="1">
      <c r="B104" s="85" t="s">
        <v>13</v>
      </c>
      <c r="C104" s="179"/>
      <c r="D104" s="179"/>
      <c r="E104" s="179"/>
      <c r="F104" s="90"/>
      <c r="I104" s="81"/>
    </row>
    <row r="105" spans="1:9" ht="15.75" customHeight="1">
      <c r="A105" s="82"/>
      <c r="C105" s="175" t="s">
        <v>11</v>
      </c>
      <c r="D105" s="175"/>
      <c r="E105" s="175"/>
      <c r="F105" s="82"/>
      <c r="I105" s="80" t="s">
        <v>12</v>
      </c>
    </row>
    <row r="106" spans="1:9" ht="15.75" customHeight="1">
      <c r="A106" s="4" t="s">
        <v>14</v>
      </c>
    </row>
    <row r="107" spans="1:9">
      <c r="A107" s="174" t="s">
        <v>15</v>
      </c>
      <c r="B107" s="174"/>
      <c r="C107" s="174"/>
      <c r="D107" s="174"/>
      <c r="E107" s="174"/>
      <c r="F107" s="174"/>
      <c r="G107" s="174"/>
      <c r="H107" s="174"/>
      <c r="I107" s="174"/>
    </row>
    <row r="108" spans="1:9" ht="45" customHeight="1">
      <c r="A108" s="170" t="s">
        <v>16</v>
      </c>
      <c r="B108" s="170"/>
      <c r="C108" s="170"/>
      <c r="D108" s="170"/>
      <c r="E108" s="170"/>
      <c r="F108" s="170"/>
      <c r="G108" s="170"/>
      <c r="H108" s="170"/>
      <c r="I108" s="170"/>
    </row>
    <row r="109" spans="1:9" ht="30" customHeight="1">
      <c r="A109" s="170" t="s">
        <v>17</v>
      </c>
      <c r="B109" s="170"/>
      <c r="C109" s="170"/>
      <c r="D109" s="170"/>
      <c r="E109" s="170"/>
      <c r="F109" s="170"/>
      <c r="G109" s="170"/>
      <c r="H109" s="170"/>
      <c r="I109" s="170"/>
    </row>
    <row r="110" spans="1:9" ht="30" customHeight="1">
      <c r="A110" s="170" t="s">
        <v>21</v>
      </c>
      <c r="B110" s="170"/>
      <c r="C110" s="170"/>
      <c r="D110" s="170"/>
      <c r="E110" s="170"/>
      <c r="F110" s="170"/>
      <c r="G110" s="170"/>
      <c r="H110" s="170"/>
      <c r="I110" s="170"/>
    </row>
    <row r="111" spans="1:9" ht="15" customHeight="1">
      <c r="A111" s="170" t="s">
        <v>20</v>
      </c>
      <c r="B111" s="170"/>
      <c r="C111" s="170"/>
      <c r="D111" s="170"/>
      <c r="E111" s="170"/>
      <c r="F111" s="170"/>
      <c r="G111" s="170"/>
      <c r="H111" s="170"/>
      <c r="I111" s="170"/>
    </row>
  </sheetData>
  <autoFilter ref="I12:I82"/>
  <mergeCells count="28">
    <mergeCell ref="A14:I14"/>
    <mergeCell ref="A3:I3"/>
    <mergeCell ref="A4:I4"/>
    <mergeCell ref="A5:I5"/>
    <mergeCell ref="A8:I8"/>
    <mergeCell ref="A10:I10"/>
    <mergeCell ref="A97:I97"/>
    <mergeCell ref="A15:I15"/>
    <mergeCell ref="A28:I28"/>
    <mergeCell ref="A41:I41"/>
    <mergeCell ref="A52:I52"/>
    <mergeCell ref="A79:I79"/>
    <mergeCell ref="A83:I83"/>
    <mergeCell ref="A91:I91"/>
    <mergeCell ref="B92:G92"/>
    <mergeCell ref="B93:G93"/>
    <mergeCell ref="A95:I95"/>
    <mergeCell ref="A96:I96"/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98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01.19</vt:lpstr>
      <vt:lpstr>02.19</vt:lpstr>
      <vt:lpstr>03.19</vt:lpstr>
      <vt:lpstr>04.19</vt:lpstr>
      <vt:lpstr>05.18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'05.18'!Область_печати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2020-02-05T05:50:20Z</cp:lastPrinted>
  <dcterms:created xsi:type="dcterms:W3CDTF">2016-03-25T08:33:47Z</dcterms:created>
  <dcterms:modified xsi:type="dcterms:W3CDTF">2020-02-05T05:50:37Z</dcterms:modified>
</cp:coreProperties>
</file>