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Шахт.,7" sheetId="1" r:id="rId1"/>
  </sheets>
  <definedNames>
    <definedName name="_xlnm.Print_Area" localSheetId="0">'Шахт.,7'!$A$1:$U$110</definedName>
  </definedNames>
  <calcPr calcId="124519"/>
</workbook>
</file>

<file path=xl/calcChain.xml><?xml version="1.0" encoding="utf-8"?>
<calcChain xmlns="http://schemas.openxmlformats.org/spreadsheetml/2006/main">
  <c r="U98" i="1"/>
  <c r="H98"/>
  <c r="T89"/>
  <c r="O59"/>
  <c r="P59"/>
  <c r="S60"/>
  <c r="S59"/>
  <c r="T59"/>
  <c r="O97"/>
  <c r="U97" s="1"/>
  <c r="H97"/>
  <c r="R96" l="1"/>
  <c r="U96" s="1"/>
  <c r="H96"/>
  <c r="T86"/>
  <c r="S86"/>
  <c r="R86"/>
  <c r="Q86"/>
  <c r="P86"/>
  <c r="O86"/>
  <c r="N86"/>
  <c r="T95"/>
  <c r="U95" s="1"/>
  <c r="H95"/>
  <c r="R94"/>
  <c r="O94"/>
  <c r="U94" s="1"/>
  <c r="H94"/>
  <c r="S40"/>
  <c r="T34"/>
  <c r="S34"/>
  <c r="Q66"/>
  <c r="P52"/>
  <c r="P51"/>
  <c r="L52"/>
  <c r="F27"/>
  <c r="Q27" s="1"/>
  <c r="L85"/>
  <c r="L86"/>
  <c r="L40"/>
  <c r="L34"/>
  <c r="K93"/>
  <c r="U93" s="1"/>
  <c r="H93"/>
  <c r="K86"/>
  <c r="K68"/>
  <c r="K92"/>
  <c r="U92" s="1"/>
  <c r="H92"/>
  <c r="K40"/>
  <c r="K34"/>
  <c r="F74"/>
  <c r="N74" s="1"/>
  <c r="U74" s="1"/>
  <c r="H74"/>
  <c r="J91"/>
  <c r="U91" s="1"/>
  <c r="H91"/>
  <c r="J90"/>
  <c r="U90" s="1"/>
  <c r="H90"/>
  <c r="J89"/>
  <c r="U89" s="1"/>
  <c r="H89"/>
  <c r="J88"/>
  <c r="U88" s="1"/>
  <c r="H88"/>
  <c r="J87"/>
  <c r="U87" s="1"/>
  <c r="H87"/>
  <c r="J59"/>
  <c r="J52"/>
  <c r="J51"/>
  <c r="J40"/>
  <c r="J34"/>
  <c r="I86"/>
  <c r="U86" s="1"/>
  <c r="I85"/>
  <c r="U85" s="1"/>
  <c r="U72"/>
  <c r="U70"/>
  <c r="U69"/>
  <c r="U68"/>
  <c r="U66"/>
  <c r="U60"/>
  <c r="U59"/>
  <c r="U52"/>
  <c r="U51"/>
  <c r="U30"/>
  <c r="U29"/>
  <c r="I34"/>
  <c r="U34" s="1"/>
  <c r="I40"/>
  <c r="U40" s="1"/>
  <c r="M27" l="1"/>
  <c r="P27"/>
  <c r="R27"/>
  <c r="N27"/>
  <c r="O27"/>
  <c r="H85"/>
  <c r="H86"/>
  <c r="F57"/>
  <c r="K57" s="1"/>
  <c r="U57" s="1"/>
  <c r="F44"/>
  <c r="F38"/>
  <c r="F35"/>
  <c r="F36"/>
  <c r="F16"/>
  <c r="N16" s="1"/>
  <c r="U16" s="1"/>
  <c r="F15"/>
  <c r="N15" s="1"/>
  <c r="U15" s="1"/>
  <c r="H70"/>
  <c r="F20"/>
  <c r="N20" s="1"/>
  <c r="U20" s="1"/>
  <c r="F47"/>
  <c r="H47" l="1"/>
  <c r="R47"/>
  <c r="L47"/>
  <c r="S36"/>
  <c r="L36"/>
  <c r="K36"/>
  <c r="J36"/>
  <c r="T36"/>
  <c r="I38"/>
  <c r="S38"/>
  <c r="L38"/>
  <c r="K38"/>
  <c r="J38"/>
  <c r="T38"/>
  <c r="U27"/>
  <c r="S35"/>
  <c r="T35"/>
  <c r="L35"/>
  <c r="K35"/>
  <c r="J35"/>
  <c r="L44"/>
  <c r="R44"/>
  <c r="H36"/>
  <c r="I36"/>
  <c r="U36" s="1"/>
  <c r="H35"/>
  <c r="I35"/>
  <c r="U35" s="1"/>
  <c r="U44" l="1"/>
  <c r="U38"/>
  <c r="U47"/>
  <c r="H69"/>
  <c r="F52"/>
  <c r="F14" l="1"/>
  <c r="N14" s="1"/>
  <c r="U14" s="1"/>
  <c r="F17"/>
  <c r="N17" s="1"/>
  <c r="U17" s="1"/>
  <c r="F18"/>
  <c r="N18" s="1"/>
  <c r="U18" s="1"/>
  <c r="F19"/>
  <c r="N19" s="1"/>
  <c r="U19" s="1"/>
  <c r="H57" l="1"/>
  <c r="H20"/>
  <c r="F101" l="1"/>
  <c r="H100"/>
  <c r="E77"/>
  <c r="H81" s="1"/>
  <c r="F75"/>
  <c r="H72"/>
  <c r="H68"/>
  <c r="H66"/>
  <c r="F65"/>
  <c r="F64"/>
  <c r="F63"/>
  <c r="F62"/>
  <c r="F61"/>
  <c r="H60"/>
  <c r="H59"/>
  <c r="F55"/>
  <c r="H52"/>
  <c r="H51"/>
  <c r="F50"/>
  <c r="F49"/>
  <c r="F48"/>
  <c r="F46"/>
  <c r="F45"/>
  <c r="H44"/>
  <c r="F43"/>
  <c r="H40"/>
  <c r="F39"/>
  <c r="H38"/>
  <c r="F37"/>
  <c r="H34"/>
  <c r="F31"/>
  <c r="H30"/>
  <c r="H29"/>
  <c r="F28"/>
  <c r="H27"/>
  <c r="F26"/>
  <c r="F25"/>
  <c r="F24"/>
  <c r="F21"/>
  <c r="H18"/>
  <c r="H17"/>
  <c r="H14"/>
  <c r="E13"/>
  <c r="F13" s="1"/>
  <c r="F12"/>
  <c r="F11"/>
  <c r="I13" l="1"/>
  <c r="S13"/>
  <c r="R13"/>
  <c r="P13"/>
  <c r="N13"/>
  <c r="T13"/>
  <c r="Q13"/>
  <c r="O13"/>
  <c r="M13"/>
  <c r="L13"/>
  <c r="K13"/>
  <c r="J13"/>
  <c r="H25"/>
  <c r="R25"/>
  <c r="P25"/>
  <c r="N25"/>
  <c r="Q25"/>
  <c r="O25"/>
  <c r="M25"/>
  <c r="I12"/>
  <c r="S12"/>
  <c r="Q12"/>
  <c r="O12"/>
  <c r="M12"/>
  <c r="L12"/>
  <c r="K12"/>
  <c r="J12"/>
  <c r="T12"/>
  <c r="R12"/>
  <c r="P12"/>
  <c r="N12"/>
  <c r="H24"/>
  <c r="P24"/>
  <c r="O24"/>
  <c r="M24"/>
  <c r="R24"/>
  <c r="Q24"/>
  <c r="N24"/>
  <c r="H26"/>
  <c r="M26"/>
  <c r="U26" s="1"/>
  <c r="I28"/>
  <c r="S28"/>
  <c r="R28"/>
  <c r="P28"/>
  <c r="N28"/>
  <c r="L28"/>
  <c r="K28"/>
  <c r="J28"/>
  <c r="T28"/>
  <c r="Q28"/>
  <c r="O28"/>
  <c r="M28"/>
  <c r="H46"/>
  <c r="L46"/>
  <c r="U46" s="1"/>
  <c r="R46"/>
  <c r="H49"/>
  <c r="M49"/>
  <c r="U49" s="1"/>
  <c r="T55"/>
  <c r="L55"/>
  <c r="J55"/>
  <c r="S55"/>
  <c r="K55"/>
  <c r="H62"/>
  <c r="M62"/>
  <c r="U62" s="1"/>
  <c r="H64"/>
  <c r="M64"/>
  <c r="U64" s="1"/>
  <c r="I11"/>
  <c r="S11"/>
  <c r="R11"/>
  <c r="P11"/>
  <c r="N11"/>
  <c r="T11"/>
  <c r="Q11"/>
  <c r="O11"/>
  <c r="M11"/>
  <c r="L11"/>
  <c r="K11"/>
  <c r="J11"/>
  <c r="H21"/>
  <c r="N21"/>
  <c r="U21" s="1"/>
  <c r="S31"/>
  <c r="Q31"/>
  <c r="O31"/>
  <c r="M31"/>
  <c r="T31"/>
  <c r="R31"/>
  <c r="P31"/>
  <c r="N31"/>
  <c r="L31"/>
  <c r="K31"/>
  <c r="J31"/>
  <c r="S37"/>
  <c r="T37"/>
  <c r="L37"/>
  <c r="K37"/>
  <c r="J37"/>
  <c r="S39"/>
  <c r="T39"/>
  <c r="L39"/>
  <c r="K39"/>
  <c r="J39"/>
  <c r="H43"/>
  <c r="R43"/>
  <c r="L43"/>
  <c r="U43" s="1"/>
  <c r="H45"/>
  <c r="R45"/>
  <c r="L45"/>
  <c r="I48"/>
  <c r="T48"/>
  <c r="Q48"/>
  <c r="M48"/>
  <c r="J48"/>
  <c r="H50"/>
  <c r="M50"/>
  <c r="U50" s="1"/>
  <c r="H61"/>
  <c r="M61"/>
  <c r="U61" s="1"/>
  <c r="H63"/>
  <c r="M63"/>
  <c r="U63" s="1"/>
  <c r="H65"/>
  <c r="M65"/>
  <c r="U65" s="1"/>
  <c r="I75"/>
  <c r="T75"/>
  <c r="Q75"/>
  <c r="O75"/>
  <c r="M75"/>
  <c r="S75"/>
  <c r="R75"/>
  <c r="P75"/>
  <c r="N75"/>
  <c r="L75"/>
  <c r="K75"/>
  <c r="J75"/>
  <c r="H31"/>
  <c r="I31"/>
  <c r="U31" s="1"/>
  <c r="H55"/>
  <c r="H73" s="1"/>
  <c r="I55"/>
  <c r="U55" s="1"/>
  <c r="H37"/>
  <c r="I37"/>
  <c r="U37" s="1"/>
  <c r="H39"/>
  <c r="I39"/>
  <c r="U39" s="1"/>
  <c r="H75"/>
  <c r="H76" s="1"/>
  <c r="H28"/>
  <c r="H48"/>
  <c r="H53" s="1"/>
  <c r="H11"/>
  <c r="H12"/>
  <c r="H16"/>
  <c r="H13"/>
  <c r="H15"/>
  <c r="F77"/>
  <c r="H19"/>
  <c r="H41"/>
  <c r="I77" l="1"/>
  <c r="T77"/>
  <c r="R77"/>
  <c r="P77"/>
  <c r="N77"/>
  <c r="L77"/>
  <c r="K77"/>
  <c r="J77"/>
  <c r="S77"/>
  <c r="Q77"/>
  <c r="O77"/>
  <c r="M77"/>
  <c r="M101" s="1"/>
  <c r="H32"/>
  <c r="U73"/>
  <c r="U75"/>
  <c r="U76" s="1"/>
  <c r="U45"/>
  <c r="K101"/>
  <c r="Q101"/>
  <c r="N101"/>
  <c r="R101"/>
  <c r="U11"/>
  <c r="U28"/>
  <c r="U24"/>
  <c r="U32" s="1"/>
  <c r="U25"/>
  <c r="U13"/>
  <c r="U48"/>
  <c r="U53" s="1"/>
  <c r="J101"/>
  <c r="L101"/>
  <c r="O101"/>
  <c r="T101"/>
  <c r="P101"/>
  <c r="S101"/>
  <c r="U12"/>
  <c r="U41"/>
  <c r="H77"/>
  <c r="H78" s="1"/>
  <c r="H22"/>
  <c r="U22" l="1"/>
  <c r="U77"/>
  <c r="U78" s="1"/>
  <c r="U79" s="1"/>
  <c r="I101"/>
  <c r="H79"/>
  <c r="H82" s="1"/>
  <c r="G101" s="1"/>
  <c r="H101" s="1"/>
  <c r="C107" l="1"/>
  <c r="U101"/>
  <c r="C106" s="1"/>
  <c r="C110" l="1"/>
</calcChain>
</file>

<file path=xl/sharedStrings.xml><?xml version="1.0" encoding="utf-8"?>
<sst xmlns="http://schemas.openxmlformats.org/spreadsheetml/2006/main" count="297" uniqueCount="224">
  <si>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</si>
  <si>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</si>
  <si>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</si>
  <si>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</si>
  <si>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</si>
  <si>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</si>
  <si>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</si>
  <si>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</si>
  <si>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</si>
  <si>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</si>
  <si>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</si>
  <si>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</si>
  <si>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</si>
  <si>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</si>
  <si>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</si>
  <si>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</si>
  <si>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</si>
  <si>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</si>
  <si>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</si>
  <si>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</si>
  <si>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</si>
  <si>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</si>
  <si>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</si>
  <si>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</si>
  <si>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</si>
  <si>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</si>
  <si>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</si>
  <si>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</si>
  <si>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</si>
  <si>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</si>
  <si>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</si>
  <si>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</si>
  <si>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</si>
  <si>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51-020</t>
  </si>
  <si>
    <t>Влажная протирка подоконников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</si>
  <si>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</si>
  <si>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</si>
  <si>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</si>
  <si>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</si>
  <si>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</si>
  <si>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</si>
  <si>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1000-м2</t>
  </si>
  <si>
    <t>2 раза в неделю 52 раза в сезон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</si>
  <si>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</si>
  <si>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</si>
  <si>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</si>
  <si>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</si>
  <si>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</si>
  <si>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</si>
  <si>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</si>
  <si>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</si>
  <si>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</si>
  <si>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</si>
  <si>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</si>
  <si>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</si>
  <si>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</si>
  <si>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</si>
  <si>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</si>
  <si>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</si>
  <si>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</si>
  <si>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</si>
  <si>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</si>
  <si>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</si>
  <si>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</si>
  <si>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</si>
  <si>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</si>
  <si>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</si>
  <si>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</si>
  <si>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</si>
  <si>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</si>
  <si>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>1000 м2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</si>
  <si>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</si>
  <si>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</si>
  <si>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</si>
  <si>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</si>
  <si>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</si>
  <si>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</si>
  <si>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</si>
  <si>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</si>
  <si>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</si>
  <si>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</si>
  <si>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</si>
  <si>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</si>
  <si>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</si>
  <si>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</si>
  <si>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</si>
  <si>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</si>
  <si>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</si>
  <si>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</si>
  <si>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</si>
  <si>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</si>
  <si>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</si>
  <si>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</si>
  <si>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</si>
  <si>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</si>
  <si>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</si>
  <si>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</si>
  <si>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</si>
  <si>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</si>
  <si>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</si>
  <si>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</si>
  <si>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</si>
  <si>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</si>
  <si>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</si>
  <si>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 xml:space="preserve">пр.ТЭР 54-041 </t>
  </si>
  <si>
    <t>Чердак, подвал, технический этаж</t>
  </si>
  <si>
    <t>ТЭР 51-034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</si>
  <si>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</si>
  <si>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</si>
  <si>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</si>
  <si>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</si>
  <si>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</si>
  <si>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</si>
  <si>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</si>
  <si>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</si>
  <si>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</si>
  <si>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</si>
  <si>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</si>
  <si>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</si>
  <si>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</si>
  <si>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</si>
  <si>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</si>
  <si>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</si>
  <si>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</si>
  <si>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</si>
  <si>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33-019</t>
  </si>
  <si>
    <t>Смена ламп накаливания</t>
  </si>
  <si>
    <t>10 шт</t>
  </si>
  <si>
    <t>ТЭР 33-049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</si>
  <si>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</si>
  <si>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</si>
  <si>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</si>
  <si>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</si>
  <si>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</si>
  <si>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</si>
  <si>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</si>
  <si>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</si>
  <si>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</si>
  <si>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</si>
  <si>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</si>
  <si>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</si>
  <si>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</si>
  <si>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</si>
  <si>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</si>
  <si>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</si>
  <si>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</si>
  <si>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ТЭР 51-022</t>
  </si>
  <si>
    <t>Влажная протирка шкафов для щитов и слаботочн. устройств</t>
  </si>
  <si>
    <t>3 раза в год</t>
  </si>
  <si>
    <t xml:space="preserve"> Очистка края кровли от слежавшегося снега со сбрасыванием сосулек (10% от S кровли) и козырьки</t>
  </si>
  <si>
    <t>Очистка чердака, подвала от мусора</t>
  </si>
  <si>
    <t>Сдвигание снега в дни снегопада ( крыльца, тротуары</t>
  </si>
  <si>
    <t>30 раз за сезон</t>
  </si>
  <si>
    <t>Вода для промывки СО</t>
  </si>
  <si>
    <t>Сброс воды после промывки СО в канализацию</t>
  </si>
  <si>
    <t>ТЭР 33-043</t>
  </si>
  <si>
    <t>Смена плавкой вставки в электрощите</t>
  </si>
  <si>
    <t>Генеральный директор ООО "Жилсервис"_______Ю.Л.Куканов</t>
  </si>
  <si>
    <t>ТЭР 3-7-1в</t>
  </si>
  <si>
    <t>Осмотр шиферной  кровли</t>
  </si>
  <si>
    <t>ТЭР 42-003</t>
  </si>
  <si>
    <t>Осмотр деревянных конструкций стропил</t>
  </si>
  <si>
    <t>100 м3</t>
  </si>
  <si>
    <t>Замена ламп ДРЛ</t>
  </si>
  <si>
    <t>12 раз за сезон</t>
  </si>
  <si>
    <t>Сдвигание снега в дни снегопада (проезд)</t>
  </si>
  <si>
    <t>24 раз за сезон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</si>
  <si>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</si>
  <si>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</si>
  <si>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</si>
  <si>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</si>
  <si>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</si>
  <si>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</si>
  <si>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</si>
  <si>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</si>
  <si>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</si>
  <si>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</si>
  <si>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</si>
  <si>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</si>
  <si>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Баланс выполненных работ на 01.01.2015 г. ( -долг за предприятием, +долг за населением)</t>
  </si>
  <si>
    <t>Снятие показаний эл.счетчика коммунального назначения</t>
  </si>
  <si>
    <t>ТЭР 33-037</t>
  </si>
  <si>
    <t>С учетом показателя инфляции (К=1,064)</t>
  </si>
  <si>
    <t>Внеплановый осмотр электросетей, арматуры и электрооборудования на чердаках и подвалах</t>
  </si>
  <si>
    <t>Подключение и отключение сварочного аппарата</t>
  </si>
  <si>
    <t>ТЭР 33-060</t>
  </si>
  <si>
    <t xml:space="preserve">Смена сгонов у трубопроводов диаметром до 20 мм </t>
  </si>
  <si>
    <t>1 сгон</t>
  </si>
  <si>
    <t>ТЭР 31-009</t>
  </si>
  <si>
    <t>Смена арматуры - вентилей и клапанов обратных муфтовых диаметром до 20 мм</t>
  </si>
  <si>
    <t>1 шт</t>
  </si>
  <si>
    <t>ТЭР 32-027</t>
  </si>
  <si>
    <t>Смена внутренних трубопроводов из стальных труб диаметром до 32 мм (без стоимости креплений)</t>
  </si>
  <si>
    <t>1 м</t>
  </si>
  <si>
    <t>ТЭР 32-087</t>
  </si>
  <si>
    <t>Смена внутренних трубопроводов из стальных труб диаметром до 25 мм (без стоимости креплений)</t>
  </si>
  <si>
    <t>ТЭР 32-086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</si>
  <si>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Октябрьская, 49</t>
    </r>
    <r>
      <rPr>
        <b/>
        <sz val="14"/>
        <rFont val="Arial"/>
        <family val="2"/>
        <charset val="204"/>
      </rPr>
      <t xml:space="preserve">   (п. Ярега)  </t>
    </r>
    <r>
      <rPr>
        <b/>
        <sz val="14"/>
        <color indexed="10"/>
        <rFont val="Arial"/>
        <family val="2"/>
        <charset val="204"/>
      </rPr>
      <t>за  2015 год</t>
    </r>
  </si>
  <si>
    <t>Стоимость (руб.)</t>
  </si>
  <si>
    <t>3 этажа, 3 подъезда</t>
  </si>
  <si>
    <t>договор</t>
  </si>
  <si>
    <t>ТО внутридомового газ.оборудования</t>
  </si>
  <si>
    <t>10 м</t>
  </si>
  <si>
    <t>калькуляция</t>
  </si>
  <si>
    <t>Работа автовышки</t>
  </si>
  <si>
    <t>маш/час</t>
  </si>
  <si>
    <t>прим. ТЭР 69-7-1</t>
  </si>
  <si>
    <t>100 м</t>
  </si>
  <si>
    <t>Устройство настила ( 2 подъезд)</t>
  </si>
  <si>
    <t>Начислено за содержание и текущий ремонт за 2015  г.</t>
  </si>
  <si>
    <t xml:space="preserve">Выполнено работ по содержанию за      2015 г. </t>
  </si>
  <si>
    <t>Выполнено работ по текущему ремонту за 2015 г.</t>
  </si>
  <si>
    <t>Фактически оплачено за 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</si>
  <si>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</si>
  <si>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( -долг за предприятием, +долг за населением)</t>
  </si>
  <si>
    <t>место</t>
  </si>
  <si>
    <t>ТЭР 32-098</t>
  </si>
  <si>
    <t>Ремонт внутренних трубопроводов и стояков д=до 50 мм (хомуты)</t>
  </si>
  <si>
    <t>Ремонт и регулировка доводчика (без стоимости доводчика)</t>
  </si>
  <si>
    <t>1шт.</t>
  </si>
  <si>
    <t>Внеплановый осмотр электросетей, арматуры и электрооборудования на лестничных клетках</t>
  </si>
  <si>
    <t>11-01-002-9</t>
  </si>
  <si>
    <t>Устройство подстилающих слоев бетонных</t>
  </si>
  <si>
    <t>1 мЗ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</si>
</sst>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4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1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7" fillId="0" borderId="3" xfId="0" applyFont="1" applyBorder="1" applyAlignment="1">
      <alignment horizontal="center" wrapText="1"/>
    </xf>
    <xf numFmtId="0" fontId="13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13" borderId="3" xfId="0" applyNumberFormat="1" applyFont="1" applyFill="1" applyBorder="1" applyAlignment="1" applyProtection="1">
      <alignment horizontal="center" vertical="center" wrapText="1"/>
    </xf>
    <xf numFmtId="0" fontId="1" fillId="13" borderId="3" xfId="0" applyNumberFormat="1" applyFont="1" applyFill="1" applyBorder="1" applyAlignment="1" applyProtection="1">
      <alignment horizontal="left" vertical="center" wrapText="1"/>
    </xf>
    <xf numFmtId="0" fontId="1" fillId="13" borderId="3" xfId="0" applyNumberFormat="1" applyFont="1" applyFill="1" applyBorder="1" applyAlignment="1" applyProtection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/>
    <xf numFmtId="0" fontId="1" fillId="4" borderId="13" xfId="0" applyFont="1" applyFill="1" applyBorder="1" applyAlignment="1" applyProtection="1">
      <alignment horizontal="center" vertical="center" wrapText="1"/>
    </xf>
    <xf numFmtId="0" fontId="17" fillId="0" borderId="0" xfId="0" applyFont="1" applyAlignment="1"/>
    <xf numFmtId="4" fontId="1" fillId="4" borderId="3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 wrapText="1"/>
    </xf>
    <xf numFmtId="0" fontId="0" fillId="4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13" borderId="3" xfId="0" applyNumberFormat="1" applyFont="1" applyFill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B114"/>
  <sheetViews>
    <sheetView tabSelected="1" view="pageBreakPreview" zoomScaleNormal="75" zoomScaleSheetLayoutView="100" workbookViewId="0">
      <pane ySplit="7" topLeftCell="A106" activePane="bottomLeft" state="frozen"/>
      <selection activeCell="B1" sqref="B1"/>
      <selection pane="bottomLeft" activeCell="A98" sqref="A98"/>
    </sheetView>
  </sheetViews>
  <sheetFormatPr defaultRowHeight="12.75"/>
  <cols>
    <col min="1" max="1" width="12.42578125" customWidth="1"/>
    <col min="2" max="2" width="41.42578125" customWidth="1"/>
    <col min="3" max="3" width="9.28515625" customWidth="1"/>
    <col min="4" max="4" width="23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10.140625" customWidth="1"/>
    <col min="10" max="10" width="9.7109375" customWidth="1"/>
    <col min="11" max="11" width="10.28515625" customWidth="1"/>
    <col min="12" max="12" width="10.42578125" customWidth="1"/>
    <col min="13" max="13" width="9.7109375" customWidth="1"/>
    <col min="14" max="15" width="9.85546875" customWidth="1"/>
    <col min="16" max="16" width="10.28515625" customWidth="1"/>
    <col min="17" max="18" width="9.85546875" customWidth="1"/>
    <col min="19" max="20" width="10" customWidth="1"/>
    <col min="21" max="21" width="12.42578125" customWidth="1"/>
  </cols>
  <sheetData>
    <row r="1" spans="1:21" ht="14.25" customHeight="1">
      <c r="A1" s="10"/>
    </row>
    <row r="3" spans="1:21" ht="18">
      <c r="A3" s="139"/>
      <c r="B3" s="143" t="s">
        <v>0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72"/>
      <c r="N3" s="72"/>
      <c r="O3" s="72"/>
      <c r="P3" s="72"/>
      <c r="Q3" s="72"/>
      <c r="R3" s="72"/>
      <c r="S3" s="72"/>
      <c r="T3" s="72"/>
      <c r="U3" s="72"/>
    </row>
    <row r="4" spans="1:21" ht="34.5" customHeight="1">
      <c r="A4" s="72"/>
      <c r="B4" s="144" t="s">
        <v>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72"/>
      <c r="N4" s="72"/>
      <c r="O4" s="72"/>
      <c r="P4" s="72"/>
      <c r="Q4" s="72"/>
      <c r="R4" s="72"/>
      <c r="S4" s="72"/>
      <c r="T4" s="72"/>
      <c r="U4" s="72"/>
    </row>
    <row r="5" spans="1:21" ht="18">
      <c r="A5" s="72"/>
      <c r="B5" s="144" t="s">
        <v>197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72"/>
      <c r="N5" s="72"/>
      <c r="O5" s="72"/>
      <c r="P5" s="72"/>
      <c r="Q5" s="72"/>
      <c r="R5" s="72"/>
      <c r="S5" s="72"/>
      <c r="T5" s="72"/>
      <c r="U5" s="72"/>
    </row>
    <row r="6" spans="1:21" ht="15">
      <c r="A6" s="72"/>
      <c r="B6" s="145" t="s">
        <v>199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72"/>
      <c r="N6" s="72"/>
      <c r="O6" s="72"/>
      <c r="P6" s="72"/>
      <c r="Q6" s="72"/>
      <c r="R6" s="72"/>
      <c r="S6" s="72"/>
      <c r="T6" s="72"/>
      <c r="U6" s="72"/>
    </row>
    <row r="7" spans="1:21" ht="48.75" customHeight="1">
      <c r="A7" s="26" t="s">
        <v>2</v>
      </c>
      <c r="B7" s="26" t="s">
        <v>3</v>
      </c>
      <c r="C7" s="26" t="s">
        <v>4</v>
      </c>
      <c r="D7" s="26" t="s">
        <v>5</v>
      </c>
      <c r="E7" s="26" t="s">
        <v>6</v>
      </c>
      <c r="F7" s="26" t="s">
        <v>7</v>
      </c>
      <c r="G7" s="26" t="s">
        <v>8</v>
      </c>
      <c r="H7" s="27" t="s">
        <v>9</v>
      </c>
      <c r="I7" s="25" t="s">
        <v>167</v>
      </c>
      <c r="J7" s="25" t="s">
        <v>168</v>
      </c>
      <c r="K7" s="25" t="s">
        <v>169</v>
      </c>
      <c r="L7" s="25" t="s">
        <v>170</v>
      </c>
      <c r="M7" s="25" t="s">
        <v>171</v>
      </c>
      <c r="N7" s="25" t="s">
        <v>172</v>
      </c>
      <c r="O7" s="25" t="s">
        <v>173</v>
      </c>
      <c r="P7" s="25" t="s">
        <v>174</v>
      </c>
      <c r="Q7" s="25" t="s">
        <v>175</v>
      </c>
      <c r="R7" s="25" t="s">
        <v>176</v>
      </c>
      <c r="S7" s="25" t="s">
        <v>177</v>
      </c>
      <c r="T7" s="25" t="s">
        <v>178</v>
      </c>
      <c r="U7" s="25" t="s">
        <v>198</v>
      </c>
    </row>
    <row r="8" spans="1:21">
      <c r="A8" s="28">
        <v>1</v>
      </c>
      <c r="B8" s="7">
        <v>2</v>
      </c>
      <c r="C8" s="28">
        <v>3</v>
      </c>
      <c r="D8" s="7">
        <v>4</v>
      </c>
      <c r="E8" s="7">
        <v>5</v>
      </c>
      <c r="F8" s="28">
        <v>6</v>
      </c>
      <c r="G8" s="28">
        <v>7</v>
      </c>
      <c r="H8" s="29">
        <v>8</v>
      </c>
      <c r="I8" s="30">
        <v>10</v>
      </c>
      <c r="J8" s="30">
        <v>11</v>
      </c>
      <c r="K8" s="30">
        <v>12</v>
      </c>
      <c r="L8" s="30">
        <v>13</v>
      </c>
      <c r="M8" s="31">
        <v>14</v>
      </c>
      <c r="N8" s="30">
        <v>15</v>
      </c>
      <c r="O8" s="30">
        <v>16</v>
      </c>
      <c r="P8" s="30">
        <v>17</v>
      </c>
      <c r="Q8" s="30">
        <v>18</v>
      </c>
      <c r="R8" s="30">
        <v>19</v>
      </c>
      <c r="S8" s="30">
        <v>20</v>
      </c>
      <c r="T8" s="30">
        <v>21</v>
      </c>
      <c r="U8" s="30">
        <v>22</v>
      </c>
    </row>
    <row r="9" spans="1:21" ht="38.25">
      <c r="A9" s="28"/>
      <c r="B9" s="9" t="s">
        <v>10</v>
      </c>
      <c r="C9" s="28"/>
      <c r="D9" s="11"/>
      <c r="E9" s="11"/>
      <c r="F9" s="28"/>
      <c r="G9" s="28"/>
      <c r="H9" s="32"/>
      <c r="I9" s="33"/>
      <c r="J9" s="33"/>
      <c r="K9" s="33"/>
      <c r="L9" s="33"/>
      <c r="M9" s="34"/>
      <c r="N9" s="35"/>
      <c r="O9" s="35"/>
      <c r="P9" s="35"/>
      <c r="Q9" s="35"/>
      <c r="R9" s="35"/>
      <c r="S9" s="35"/>
      <c r="T9" s="35"/>
      <c r="U9" s="35"/>
    </row>
    <row r="10" spans="1:21">
      <c r="A10" s="28"/>
      <c r="B10" s="9" t="s">
        <v>11</v>
      </c>
      <c r="C10" s="28"/>
      <c r="D10" s="11"/>
      <c r="E10" s="11"/>
      <c r="F10" s="28"/>
      <c r="G10" s="28"/>
      <c r="H10" s="32"/>
      <c r="I10" s="33"/>
      <c r="J10" s="33"/>
      <c r="K10" s="33"/>
      <c r="L10" s="33"/>
      <c r="M10" s="34"/>
      <c r="N10" s="35"/>
      <c r="O10" s="35"/>
      <c r="P10" s="35"/>
      <c r="Q10" s="35"/>
      <c r="R10" s="35"/>
      <c r="S10" s="35"/>
      <c r="T10" s="35"/>
      <c r="U10" s="35"/>
    </row>
    <row r="11" spans="1:21" ht="25.5">
      <c r="A11" s="28" t="s">
        <v>12</v>
      </c>
      <c r="B11" s="11" t="s">
        <v>13</v>
      </c>
      <c r="C11" s="28" t="s">
        <v>14</v>
      </c>
      <c r="D11" s="11" t="s">
        <v>15</v>
      </c>
      <c r="E11" s="36">
        <v>54.9</v>
      </c>
      <c r="F11" s="37">
        <f>SUM(E11*156/100)</f>
        <v>85.643999999999991</v>
      </c>
      <c r="G11" s="37">
        <v>187.48</v>
      </c>
      <c r="H11" s="38">
        <f t="shared" ref="H11:H21" si="0">SUM(F11*G11/1000)</f>
        <v>16.056537119999998</v>
      </c>
      <c r="I11" s="39">
        <f>F11/12*G11</f>
        <v>1338.0447599999998</v>
      </c>
      <c r="J11" s="39">
        <f>F11/12*G11</f>
        <v>1338.0447599999998</v>
      </c>
      <c r="K11" s="39">
        <f>F11/12*G11</f>
        <v>1338.0447599999998</v>
      </c>
      <c r="L11" s="39">
        <f>F11/12*G11</f>
        <v>1338.0447599999998</v>
      </c>
      <c r="M11" s="39">
        <f>F11/12*G11</f>
        <v>1338.0447599999998</v>
      </c>
      <c r="N11" s="39">
        <f>F11/12*G11</f>
        <v>1338.0447599999998</v>
      </c>
      <c r="O11" s="39">
        <f>F11/12*G11</f>
        <v>1338.0447599999998</v>
      </c>
      <c r="P11" s="39">
        <f>F11/12*G11</f>
        <v>1338.0447599999998</v>
      </c>
      <c r="Q11" s="39">
        <f>F11/12*G11</f>
        <v>1338.0447599999998</v>
      </c>
      <c r="R11" s="39">
        <f>F11/12*G11</f>
        <v>1338.0447599999998</v>
      </c>
      <c r="S11" s="39">
        <f>F11/12*G11</f>
        <v>1338.0447599999998</v>
      </c>
      <c r="T11" s="39">
        <f>F11/12*G11</f>
        <v>1338.0447599999998</v>
      </c>
      <c r="U11" s="39">
        <f t="shared" ref="U11:U21" si="1">SUM(I11:T11)</f>
        <v>16056.537120000001</v>
      </c>
    </row>
    <row r="12" spans="1:21" ht="25.5">
      <c r="A12" s="28" t="s">
        <v>12</v>
      </c>
      <c r="B12" s="11" t="s">
        <v>16</v>
      </c>
      <c r="C12" s="28" t="s">
        <v>14</v>
      </c>
      <c r="D12" s="11" t="s">
        <v>17</v>
      </c>
      <c r="E12" s="36">
        <v>109.8</v>
      </c>
      <c r="F12" s="37">
        <f>SUM(E12*104/100)</f>
        <v>114.19199999999999</v>
      </c>
      <c r="G12" s="37">
        <v>187.48</v>
      </c>
      <c r="H12" s="38">
        <f t="shared" si="0"/>
        <v>21.408716159999997</v>
      </c>
      <c r="I12" s="39">
        <f>F12/12*G12</f>
        <v>1784.0596799999998</v>
      </c>
      <c r="J12" s="39">
        <f>F12/12*G12</f>
        <v>1784.0596799999998</v>
      </c>
      <c r="K12" s="39">
        <f>F12/12*G12</f>
        <v>1784.0596799999998</v>
      </c>
      <c r="L12" s="39">
        <f>F12/12*G12</f>
        <v>1784.0596799999998</v>
      </c>
      <c r="M12" s="39">
        <f>F12/12*G12</f>
        <v>1784.0596799999998</v>
      </c>
      <c r="N12" s="39">
        <f>F12/12*G12</f>
        <v>1784.0596799999998</v>
      </c>
      <c r="O12" s="39">
        <f>F12/12*G12</f>
        <v>1784.0596799999998</v>
      </c>
      <c r="P12" s="39">
        <f>F12/12*G12</f>
        <v>1784.0596799999998</v>
      </c>
      <c r="Q12" s="39">
        <f>F12/12*G12</f>
        <v>1784.0596799999998</v>
      </c>
      <c r="R12" s="39">
        <f>F12/12*G12</f>
        <v>1784.0596799999998</v>
      </c>
      <c r="S12" s="39">
        <f>F12/12*G12</f>
        <v>1784.0596799999998</v>
      </c>
      <c r="T12" s="39">
        <f>F12/12*G12</f>
        <v>1784.0596799999998</v>
      </c>
      <c r="U12" s="39">
        <f t="shared" si="1"/>
        <v>21408.716159999996</v>
      </c>
    </row>
    <row r="13" spans="1:21" ht="25.5">
      <c r="A13" s="28" t="s">
        <v>18</v>
      </c>
      <c r="B13" s="11" t="s">
        <v>19</v>
      </c>
      <c r="C13" s="28" t="s">
        <v>14</v>
      </c>
      <c r="D13" s="11" t="s">
        <v>20</v>
      </c>
      <c r="E13" s="36">
        <f>SUM(E11+E12)</f>
        <v>164.7</v>
      </c>
      <c r="F13" s="37">
        <f>SUM(E13*24/100)</f>
        <v>39.527999999999999</v>
      </c>
      <c r="G13" s="37">
        <v>539.30999999999995</v>
      </c>
      <c r="H13" s="38">
        <f t="shared" si="0"/>
        <v>21.317845679999998</v>
      </c>
      <c r="I13" s="39">
        <f>F13/12*G13</f>
        <v>1776.48714</v>
      </c>
      <c r="J13" s="39">
        <f>F13/12*G13</f>
        <v>1776.48714</v>
      </c>
      <c r="K13" s="39">
        <f>F13/12*G13</f>
        <v>1776.48714</v>
      </c>
      <c r="L13" s="39">
        <f>F13/12*G13</f>
        <v>1776.48714</v>
      </c>
      <c r="M13" s="39">
        <f>F13/12*G13</f>
        <v>1776.48714</v>
      </c>
      <c r="N13" s="39">
        <f>F13/12*G13</f>
        <v>1776.48714</v>
      </c>
      <c r="O13" s="39">
        <f>F13/12*G13</f>
        <v>1776.48714</v>
      </c>
      <c r="P13" s="39">
        <f>F13/12*G13</f>
        <v>1776.48714</v>
      </c>
      <c r="Q13" s="39">
        <f>F13/12*G13</f>
        <v>1776.48714</v>
      </c>
      <c r="R13" s="39">
        <f>F13/12*G13</f>
        <v>1776.48714</v>
      </c>
      <c r="S13" s="39">
        <f>F13/12*G13</f>
        <v>1776.48714</v>
      </c>
      <c r="T13" s="39">
        <f>F13/12*G13</f>
        <v>1776.48714</v>
      </c>
      <c r="U13" s="39">
        <f t="shared" si="1"/>
        <v>21317.845679999999</v>
      </c>
    </row>
    <row r="14" spans="1:21">
      <c r="A14" s="28" t="s">
        <v>21</v>
      </c>
      <c r="B14" s="11" t="s">
        <v>22</v>
      </c>
      <c r="C14" s="28" t="s">
        <v>23</v>
      </c>
      <c r="D14" s="11" t="s">
        <v>144</v>
      </c>
      <c r="E14" s="36">
        <v>21.6</v>
      </c>
      <c r="F14" s="37">
        <f>SUM(E14/10)</f>
        <v>2.16</v>
      </c>
      <c r="G14" s="37">
        <v>181.91</v>
      </c>
      <c r="H14" s="38">
        <f t="shared" si="0"/>
        <v>0.39292560000000004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f t="shared" ref="N14:N21" si="2">F14*G14</f>
        <v>392.92560000000003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f t="shared" si="1"/>
        <v>392.92560000000003</v>
      </c>
    </row>
    <row r="15" spans="1:21">
      <c r="A15" s="28" t="s">
        <v>24</v>
      </c>
      <c r="B15" s="11" t="s">
        <v>25</v>
      </c>
      <c r="C15" s="28" t="s">
        <v>14</v>
      </c>
      <c r="D15" s="11" t="s">
        <v>81</v>
      </c>
      <c r="E15" s="36">
        <v>9.18</v>
      </c>
      <c r="F15" s="37">
        <f>SUM(E15*2/100)</f>
        <v>0.18359999999999999</v>
      </c>
      <c r="G15" s="37">
        <v>232.92</v>
      </c>
      <c r="H15" s="38">
        <f t="shared" si="0"/>
        <v>4.2764112E-2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f t="shared" si="2"/>
        <v>42.764111999999997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f t="shared" si="1"/>
        <v>42.764111999999997</v>
      </c>
    </row>
    <row r="16" spans="1:21">
      <c r="A16" s="28" t="s">
        <v>26</v>
      </c>
      <c r="B16" s="11" t="s">
        <v>27</v>
      </c>
      <c r="C16" s="28" t="s">
        <v>14</v>
      </c>
      <c r="D16" s="11" t="s">
        <v>81</v>
      </c>
      <c r="E16" s="36">
        <v>8.1</v>
      </c>
      <c r="F16" s="37">
        <f>SUM(E16*2/100)</f>
        <v>0.16200000000000001</v>
      </c>
      <c r="G16" s="37">
        <v>231.03</v>
      </c>
      <c r="H16" s="38">
        <f t="shared" si="0"/>
        <v>3.7426860000000006E-2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f t="shared" si="2"/>
        <v>37.426860000000005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f t="shared" si="1"/>
        <v>37.426860000000005</v>
      </c>
    </row>
    <row r="17" spans="1:21">
      <c r="A17" s="28" t="s">
        <v>28</v>
      </c>
      <c r="B17" s="11" t="s">
        <v>29</v>
      </c>
      <c r="C17" s="28" t="s">
        <v>30</v>
      </c>
      <c r="D17" s="11" t="s">
        <v>144</v>
      </c>
      <c r="E17" s="36">
        <v>220.32</v>
      </c>
      <c r="F17" s="37">
        <f>SUM(E17/100)</f>
        <v>2.2031999999999998</v>
      </c>
      <c r="G17" s="37">
        <v>287.83999999999997</v>
      </c>
      <c r="H17" s="38">
        <f t="shared" si="0"/>
        <v>0.63416908799999983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f t="shared" si="2"/>
        <v>634.16908799999987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f t="shared" si="1"/>
        <v>634.16908799999987</v>
      </c>
    </row>
    <row r="18" spans="1:21">
      <c r="A18" s="28" t="s">
        <v>31</v>
      </c>
      <c r="B18" s="11" t="s">
        <v>32</v>
      </c>
      <c r="C18" s="28" t="s">
        <v>30</v>
      </c>
      <c r="D18" s="11" t="s">
        <v>144</v>
      </c>
      <c r="E18" s="41">
        <v>17.64</v>
      </c>
      <c r="F18" s="37">
        <f>SUM(E18/100)</f>
        <v>0.1764</v>
      </c>
      <c r="G18" s="37">
        <v>47.34</v>
      </c>
      <c r="H18" s="38">
        <f t="shared" si="0"/>
        <v>8.3507760000000007E-3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f t="shared" si="2"/>
        <v>8.3507760000000015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f t="shared" si="1"/>
        <v>8.3507760000000015</v>
      </c>
    </row>
    <row r="19" spans="1:21">
      <c r="A19" s="28" t="s">
        <v>33</v>
      </c>
      <c r="B19" s="11" t="s">
        <v>34</v>
      </c>
      <c r="C19" s="28" t="s">
        <v>30</v>
      </c>
      <c r="D19" s="11" t="s">
        <v>145</v>
      </c>
      <c r="E19" s="36">
        <v>7.2</v>
      </c>
      <c r="F19" s="37">
        <f>E19/100</f>
        <v>7.2000000000000008E-2</v>
      </c>
      <c r="G19" s="37">
        <v>416.62</v>
      </c>
      <c r="H19" s="38">
        <f t="shared" si="0"/>
        <v>2.9996640000000001E-2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f t="shared" si="2"/>
        <v>29.996640000000003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f t="shared" si="1"/>
        <v>29.996640000000003</v>
      </c>
    </row>
    <row r="20" spans="1:21" ht="25.5">
      <c r="A20" s="28" t="s">
        <v>146</v>
      </c>
      <c r="B20" s="11" t="s">
        <v>147</v>
      </c>
      <c r="C20" s="28" t="s">
        <v>30</v>
      </c>
      <c r="D20" s="11" t="s">
        <v>49</v>
      </c>
      <c r="E20" s="36">
        <v>9.4499999999999993</v>
      </c>
      <c r="F20" s="37">
        <f>E20/100</f>
        <v>9.4499999999999987E-2</v>
      </c>
      <c r="G20" s="37">
        <v>231.03</v>
      </c>
      <c r="H20" s="38">
        <f>G20*F20/1000</f>
        <v>2.1832334999999998E-2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f t="shared" si="2"/>
        <v>21.832334999999997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f t="shared" si="1"/>
        <v>21.832334999999997</v>
      </c>
    </row>
    <row r="21" spans="1:21">
      <c r="A21" s="28" t="s">
        <v>35</v>
      </c>
      <c r="B21" s="11" t="s">
        <v>36</v>
      </c>
      <c r="C21" s="28" t="s">
        <v>30</v>
      </c>
      <c r="D21" s="11" t="s">
        <v>144</v>
      </c>
      <c r="E21" s="36">
        <v>10.8</v>
      </c>
      <c r="F21" s="37">
        <f>SUM(E21/100)</f>
        <v>0.10800000000000001</v>
      </c>
      <c r="G21" s="37">
        <v>556.74</v>
      </c>
      <c r="H21" s="38">
        <f t="shared" si="0"/>
        <v>6.0127920000000008E-2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f t="shared" si="2"/>
        <v>60.12792000000001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f t="shared" si="1"/>
        <v>60.12792000000001</v>
      </c>
    </row>
    <row r="22" spans="1:21" s="20" customFormat="1">
      <c r="A22" s="42"/>
      <c r="B22" s="21" t="s">
        <v>37</v>
      </c>
      <c r="C22" s="43"/>
      <c r="D22" s="21"/>
      <c r="E22" s="44"/>
      <c r="F22" s="45"/>
      <c r="G22" s="45"/>
      <c r="H22" s="46">
        <f>SUM(H11:H21)</f>
        <v>60.010692290999991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>
        <f>SUM(U11:U21)</f>
        <v>60010.692290999992</v>
      </c>
    </row>
    <row r="23" spans="1:21">
      <c r="A23" s="28"/>
      <c r="B23" s="13" t="s">
        <v>38</v>
      </c>
      <c r="C23" s="28"/>
      <c r="D23" s="11"/>
      <c r="E23" s="36"/>
      <c r="F23" s="37"/>
      <c r="G23" s="37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25.5" customHeight="1">
      <c r="A24" s="28" t="s">
        <v>39</v>
      </c>
      <c r="B24" s="11" t="s">
        <v>40</v>
      </c>
      <c r="C24" s="28" t="s">
        <v>41</v>
      </c>
      <c r="D24" s="11" t="s">
        <v>42</v>
      </c>
      <c r="E24" s="37">
        <v>565.4</v>
      </c>
      <c r="F24" s="37">
        <f>SUM(E24*52/1000)</f>
        <v>29.4008</v>
      </c>
      <c r="G24" s="37">
        <v>166.65</v>
      </c>
      <c r="H24" s="38">
        <f t="shared" ref="H24:H31" si="3">SUM(F24*G24/1000)</f>
        <v>4.89964332</v>
      </c>
      <c r="I24" s="39">
        <v>0</v>
      </c>
      <c r="J24" s="39">
        <v>0</v>
      </c>
      <c r="K24" s="39">
        <v>0</v>
      </c>
      <c r="L24" s="39">
        <v>0</v>
      </c>
      <c r="M24" s="39">
        <f>F24/6*G24</f>
        <v>816.6072200000001</v>
      </c>
      <c r="N24" s="39">
        <f>F24/6*G24</f>
        <v>816.6072200000001</v>
      </c>
      <c r="O24" s="39">
        <f>F24/6*G24</f>
        <v>816.6072200000001</v>
      </c>
      <c r="P24" s="39">
        <f>F24/6*G24</f>
        <v>816.6072200000001</v>
      </c>
      <c r="Q24" s="39">
        <f>F24/6*G24</f>
        <v>816.6072200000001</v>
      </c>
      <c r="R24" s="39">
        <f>F24/6*G24</f>
        <v>816.6072200000001</v>
      </c>
      <c r="S24" s="39">
        <v>0</v>
      </c>
      <c r="T24" s="39">
        <v>0</v>
      </c>
      <c r="U24" s="39">
        <f t="shared" ref="U24:U31" si="4">SUM(I24:T24)</f>
        <v>4899.6433200000001</v>
      </c>
    </row>
    <row r="25" spans="1:21" ht="38.25" customHeight="1">
      <c r="A25" s="28" t="s">
        <v>43</v>
      </c>
      <c r="B25" s="11" t="s">
        <v>44</v>
      </c>
      <c r="C25" s="28" t="s">
        <v>45</v>
      </c>
      <c r="D25" s="11" t="s">
        <v>46</v>
      </c>
      <c r="E25" s="37">
        <v>71.91</v>
      </c>
      <c r="F25" s="37">
        <f>SUM(E25*78/1000)</f>
        <v>5.6089799999999999</v>
      </c>
      <c r="G25" s="37">
        <v>276.48</v>
      </c>
      <c r="H25" s="38">
        <f t="shared" si="3"/>
        <v>1.5507707904000001</v>
      </c>
      <c r="I25" s="39">
        <v>0</v>
      </c>
      <c r="J25" s="39">
        <v>0</v>
      </c>
      <c r="K25" s="39">
        <v>0</v>
      </c>
      <c r="L25" s="39">
        <v>0</v>
      </c>
      <c r="M25" s="39">
        <f>F25/6*G25</f>
        <v>258.46179840000002</v>
      </c>
      <c r="N25" s="39">
        <f>F25/6*G25</f>
        <v>258.46179840000002</v>
      </c>
      <c r="O25" s="39">
        <f>F25/6*G25</f>
        <v>258.46179840000002</v>
      </c>
      <c r="P25" s="39">
        <f>F25/6*G25</f>
        <v>258.46179840000002</v>
      </c>
      <c r="Q25" s="39">
        <f>F25/6*G25</f>
        <v>258.46179840000002</v>
      </c>
      <c r="R25" s="39">
        <f>F25/6*G25</f>
        <v>258.46179840000002</v>
      </c>
      <c r="S25" s="39">
        <v>0</v>
      </c>
      <c r="T25" s="39">
        <v>0</v>
      </c>
      <c r="U25" s="39">
        <f t="shared" si="4"/>
        <v>1550.7707904000004</v>
      </c>
    </row>
    <row r="26" spans="1:21">
      <c r="A26" s="28" t="s">
        <v>47</v>
      </c>
      <c r="B26" s="11" t="s">
        <v>48</v>
      </c>
      <c r="C26" s="28" t="s">
        <v>45</v>
      </c>
      <c r="D26" s="11" t="s">
        <v>49</v>
      </c>
      <c r="E26" s="37">
        <v>565.4</v>
      </c>
      <c r="F26" s="37">
        <f>SUM(E26/1000)</f>
        <v>0.56540000000000001</v>
      </c>
      <c r="G26" s="37">
        <v>3228.73</v>
      </c>
      <c r="H26" s="38">
        <f t="shared" si="3"/>
        <v>1.825523942</v>
      </c>
      <c r="I26" s="39">
        <v>0</v>
      </c>
      <c r="J26" s="39">
        <v>0</v>
      </c>
      <c r="K26" s="39">
        <v>0</v>
      </c>
      <c r="L26" s="39">
        <v>0</v>
      </c>
      <c r="M26" s="39">
        <f>F26*G26</f>
        <v>1825.523942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f t="shared" si="4"/>
        <v>1825.523942</v>
      </c>
    </row>
    <row r="27" spans="1:21">
      <c r="A27" s="28" t="s">
        <v>50</v>
      </c>
      <c r="B27" s="11" t="s">
        <v>51</v>
      </c>
      <c r="C27" s="28" t="s">
        <v>52</v>
      </c>
      <c r="D27" s="11" t="s">
        <v>53</v>
      </c>
      <c r="E27" s="49">
        <v>0.33333333333333331</v>
      </c>
      <c r="F27" s="37">
        <f>155/3</f>
        <v>51.666666666666664</v>
      </c>
      <c r="G27" s="37">
        <v>60.6</v>
      </c>
      <c r="H27" s="38">
        <f>SUM(G27*155/3/1000)</f>
        <v>3.1309999999999998</v>
      </c>
      <c r="I27" s="39">
        <v>0</v>
      </c>
      <c r="J27" s="39">
        <v>0</v>
      </c>
      <c r="K27" s="39">
        <v>0</v>
      </c>
      <c r="L27" s="39">
        <v>0</v>
      </c>
      <c r="M27" s="39">
        <f>F27/6*G27</f>
        <v>521.83333333333337</v>
      </c>
      <c r="N27" s="39">
        <f>F27/6*G27</f>
        <v>521.83333333333337</v>
      </c>
      <c r="O27" s="39">
        <f>F27/6*G27</f>
        <v>521.83333333333337</v>
      </c>
      <c r="P27" s="39">
        <f>F27/6*G27</f>
        <v>521.83333333333337</v>
      </c>
      <c r="Q27" s="39">
        <f>F27/6*G27</f>
        <v>521.83333333333337</v>
      </c>
      <c r="R27" s="39">
        <f>F27/6*G27</f>
        <v>521.83333333333337</v>
      </c>
      <c r="S27" s="39">
        <v>0</v>
      </c>
      <c r="T27" s="39">
        <v>0</v>
      </c>
      <c r="U27" s="39">
        <f t="shared" si="4"/>
        <v>3131.0000000000005</v>
      </c>
    </row>
    <row r="28" spans="1:21" ht="12.75" customHeight="1">
      <c r="A28" s="28" t="s">
        <v>54</v>
      </c>
      <c r="B28" s="11" t="s">
        <v>55</v>
      </c>
      <c r="C28" s="28" t="s">
        <v>56</v>
      </c>
      <c r="D28" s="11" t="s">
        <v>57</v>
      </c>
      <c r="E28" s="50">
        <v>0.1</v>
      </c>
      <c r="F28" s="37">
        <f>SUM(E28*365)</f>
        <v>36.5</v>
      </c>
      <c r="G28" s="37">
        <v>157.18</v>
      </c>
      <c r="H28" s="38">
        <f t="shared" si="3"/>
        <v>5.737070000000001</v>
      </c>
      <c r="I28" s="39">
        <f>F28/12*G28</f>
        <v>478.08916666666664</v>
      </c>
      <c r="J28" s="39">
        <f>F28/12*G28</f>
        <v>478.08916666666664</v>
      </c>
      <c r="K28" s="39">
        <f>F28/12*G28</f>
        <v>478.08916666666664</v>
      </c>
      <c r="L28" s="39">
        <f>F28/12*G28</f>
        <v>478.08916666666664</v>
      </c>
      <c r="M28" s="39">
        <f>F28/12*G28</f>
        <v>478.08916666666664</v>
      </c>
      <c r="N28" s="39">
        <f>F28/12*G28</f>
        <v>478.08916666666664</v>
      </c>
      <c r="O28" s="39">
        <f>F28/12*G28</f>
        <v>478.08916666666664</v>
      </c>
      <c r="P28" s="39">
        <f>F28/12*G28</f>
        <v>478.08916666666664</v>
      </c>
      <c r="Q28" s="39">
        <f>F28/12*G28</f>
        <v>478.08916666666664</v>
      </c>
      <c r="R28" s="39">
        <f>F28/12*G28</f>
        <v>478.08916666666664</v>
      </c>
      <c r="S28" s="39">
        <f>F28/12*G28</f>
        <v>478.08916666666664</v>
      </c>
      <c r="T28" s="39">
        <f>F28/12*G28</f>
        <v>478.08916666666664</v>
      </c>
      <c r="U28" s="39">
        <f t="shared" si="4"/>
        <v>5737.07</v>
      </c>
    </row>
    <row r="29" spans="1:21" ht="12.75" customHeight="1">
      <c r="A29" s="28" t="s">
        <v>59</v>
      </c>
      <c r="B29" s="11" t="s">
        <v>60</v>
      </c>
      <c r="C29" s="28" t="s">
        <v>56</v>
      </c>
      <c r="D29" s="11" t="s">
        <v>58</v>
      </c>
      <c r="E29" s="36"/>
      <c r="F29" s="37">
        <v>2</v>
      </c>
      <c r="G29" s="37">
        <v>204.52</v>
      </c>
      <c r="H29" s="38">
        <f t="shared" si="3"/>
        <v>0.40904000000000001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f t="shared" si="4"/>
        <v>0</v>
      </c>
    </row>
    <row r="30" spans="1:21" ht="13.5" customHeight="1">
      <c r="A30" s="28" t="s">
        <v>61</v>
      </c>
      <c r="B30" s="11" t="s">
        <v>62</v>
      </c>
      <c r="C30" s="28" t="s">
        <v>63</v>
      </c>
      <c r="D30" s="11" t="s">
        <v>58</v>
      </c>
      <c r="E30" s="36"/>
      <c r="F30" s="37">
        <v>1</v>
      </c>
      <c r="G30" s="37">
        <v>1214.74</v>
      </c>
      <c r="H30" s="38">
        <f t="shared" si="3"/>
        <v>1.2147399999999999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f t="shared" si="4"/>
        <v>0</v>
      </c>
    </row>
    <row r="31" spans="1:21">
      <c r="A31" s="28"/>
      <c r="B31" s="51" t="s">
        <v>64</v>
      </c>
      <c r="C31" s="28" t="s">
        <v>65</v>
      </c>
      <c r="D31" s="51" t="s">
        <v>66</v>
      </c>
      <c r="E31" s="36">
        <v>1536.4</v>
      </c>
      <c r="F31" s="37">
        <f>SUM(E31*12)</f>
        <v>18436.800000000003</v>
      </c>
      <c r="G31" s="37">
        <v>6.15</v>
      </c>
      <c r="H31" s="38">
        <f t="shared" si="3"/>
        <v>113.38632000000003</v>
      </c>
      <c r="I31" s="39">
        <f>F31/12*G31</f>
        <v>9448.8600000000024</v>
      </c>
      <c r="J31" s="39">
        <f>F31/12*G31</f>
        <v>9448.8600000000024</v>
      </c>
      <c r="K31" s="39">
        <f>F31/12*G31</f>
        <v>9448.8600000000024</v>
      </c>
      <c r="L31" s="39">
        <f>F31/12*G31</f>
        <v>9448.8600000000024</v>
      </c>
      <c r="M31" s="39">
        <f>F31/12*G31</f>
        <v>9448.8600000000024</v>
      </c>
      <c r="N31" s="39">
        <f>F31/12*G31</f>
        <v>9448.8600000000024</v>
      </c>
      <c r="O31" s="39">
        <f>F31/12*G31</f>
        <v>9448.8600000000024</v>
      </c>
      <c r="P31" s="39">
        <f>F31/12*G31</f>
        <v>9448.8600000000024</v>
      </c>
      <c r="Q31" s="39">
        <f>F31/12*G31</f>
        <v>9448.8600000000024</v>
      </c>
      <c r="R31" s="39">
        <f>F31/12*G31</f>
        <v>9448.8600000000024</v>
      </c>
      <c r="S31" s="39">
        <f>F31/12*G31</f>
        <v>9448.8600000000024</v>
      </c>
      <c r="T31" s="39">
        <f>F31/12*G31</f>
        <v>9448.8600000000024</v>
      </c>
      <c r="U31" s="39">
        <f t="shared" si="4"/>
        <v>113386.32000000002</v>
      </c>
    </row>
    <row r="32" spans="1:21" s="20" customFormat="1">
      <c r="A32" s="42"/>
      <c r="B32" s="21" t="s">
        <v>37</v>
      </c>
      <c r="C32" s="43"/>
      <c r="D32" s="21"/>
      <c r="E32" s="44"/>
      <c r="F32" s="45"/>
      <c r="G32" s="45"/>
      <c r="H32" s="52">
        <f>SUM(H24:H31)</f>
        <v>132.15410805240003</v>
      </c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>
        <f>SUM(U24:U31)</f>
        <v>130530.32805240003</v>
      </c>
    </row>
    <row r="33" spans="1:21">
      <c r="A33" s="28"/>
      <c r="B33" s="13" t="s">
        <v>67</v>
      </c>
      <c r="C33" s="28"/>
      <c r="D33" s="11"/>
      <c r="E33" s="36"/>
      <c r="F33" s="37"/>
      <c r="G33" s="37"/>
      <c r="H33" s="38" t="s">
        <v>66</v>
      </c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25.5">
      <c r="A34" s="28" t="s">
        <v>61</v>
      </c>
      <c r="B34" s="14" t="s">
        <v>68</v>
      </c>
      <c r="C34" s="28" t="s">
        <v>63</v>
      </c>
      <c r="D34" s="11"/>
      <c r="E34" s="36"/>
      <c r="F34" s="37">
        <v>5</v>
      </c>
      <c r="G34" s="37">
        <v>1632.6</v>
      </c>
      <c r="H34" s="38">
        <f t="shared" ref="H34:H40" si="5">SUM(F34*G34/1000)</f>
        <v>8.1630000000000003</v>
      </c>
      <c r="I34" s="39">
        <f t="shared" ref="I34:I40" si="6">F34/6*G34</f>
        <v>1360.5</v>
      </c>
      <c r="J34" s="39">
        <f t="shared" ref="J34:J40" si="7">F34/6*G34</f>
        <v>1360.5</v>
      </c>
      <c r="K34" s="39">
        <f t="shared" ref="K34:K40" si="8">F34/6*G34</f>
        <v>1360.5</v>
      </c>
      <c r="L34" s="39">
        <f t="shared" ref="L34:L40" si="9">F34/6*G34</f>
        <v>1360.5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f t="shared" ref="S34:S40" si="10">F34/6*G34</f>
        <v>1360.5</v>
      </c>
      <c r="T34" s="39">
        <f t="shared" ref="T34:T39" si="11">F34/6*G34</f>
        <v>1360.5</v>
      </c>
      <c r="U34" s="39">
        <f t="shared" ref="U34:U40" si="12">SUM(I34:T34)</f>
        <v>8163</v>
      </c>
    </row>
    <row r="35" spans="1:21" ht="25.5">
      <c r="A35" s="54" t="s">
        <v>69</v>
      </c>
      <c r="B35" s="14" t="s">
        <v>151</v>
      </c>
      <c r="C35" s="54" t="s">
        <v>70</v>
      </c>
      <c r="D35" s="11" t="s">
        <v>152</v>
      </c>
      <c r="E35" s="36">
        <v>71.91</v>
      </c>
      <c r="F35" s="53">
        <f>E35*30/1000</f>
        <v>2.1572999999999998</v>
      </c>
      <c r="G35" s="37">
        <v>2247.8000000000002</v>
      </c>
      <c r="H35" s="38">
        <f>G35*F35/1000</f>
        <v>4.8491789399999998</v>
      </c>
      <c r="I35" s="39">
        <f t="shared" si="6"/>
        <v>808.19649000000004</v>
      </c>
      <c r="J35" s="39">
        <f t="shared" si="7"/>
        <v>808.19649000000004</v>
      </c>
      <c r="K35" s="39">
        <f t="shared" si="8"/>
        <v>808.19649000000004</v>
      </c>
      <c r="L35" s="39">
        <f t="shared" si="9"/>
        <v>808.19649000000004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f t="shared" si="10"/>
        <v>808.19649000000004</v>
      </c>
      <c r="T35" s="39">
        <f t="shared" si="11"/>
        <v>808.19649000000004</v>
      </c>
      <c r="U35" s="39">
        <f t="shared" si="12"/>
        <v>4849.1789400000007</v>
      </c>
    </row>
    <row r="36" spans="1:21">
      <c r="A36" s="54" t="s">
        <v>69</v>
      </c>
      <c r="B36" s="14" t="s">
        <v>165</v>
      </c>
      <c r="C36" s="54" t="s">
        <v>70</v>
      </c>
      <c r="D36" s="11" t="s">
        <v>164</v>
      </c>
      <c r="E36" s="36">
        <v>294.37</v>
      </c>
      <c r="F36" s="53">
        <f>E36*12/1000</f>
        <v>3.5324400000000002</v>
      </c>
      <c r="G36" s="37">
        <v>2247.8000000000002</v>
      </c>
      <c r="H36" s="38">
        <f>G36*F36/1000</f>
        <v>7.9402186320000006</v>
      </c>
      <c r="I36" s="39">
        <f t="shared" si="6"/>
        <v>1323.3697720000002</v>
      </c>
      <c r="J36" s="39">
        <f t="shared" si="7"/>
        <v>1323.3697720000002</v>
      </c>
      <c r="K36" s="39">
        <f t="shared" si="8"/>
        <v>1323.3697720000002</v>
      </c>
      <c r="L36" s="39">
        <f t="shared" si="9"/>
        <v>1323.3697720000002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f t="shared" si="10"/>
        <v>1323.3697720000002</v>
      </c>
      <c r="T36" s="39">
        <f t="shared" si="11"/>
        <v>1323.3697720000002</v>
      </c>
      <c r="U36" s="39">
        <f t="shared" si="12"/>
        <v>7940.218632000001</v>
      </c>
    </row>
    <row r="37" spans="1:21" ht="24.75" customHeight="1">
      <c r="A37" s="28" t="s">
        <v>71</v>
      </c>
      <c r="B37" s="11" t="s">
        <v>72</v>
      </c>
      <c r="C37" s="28" t="s">
        <v>70</v>
      </c>
      <c r="D37" s="11" t="s">
        <v>73</v>
      </c>
      <c r="E37" s="37">
        <v>71.91</v>
      </c>
      <c r="F37" s="53">
        <f>SUM(E37*155/1000)</f>
        <v>11.146049999999999</v>
      </c>
      <c r="G37" s="37">
        <v>374.95</v>
      </c>
      <c r="H37" s="38">
        <f t="shared" si="5"/>
        <v>4.1792114475000002</v>
      </c>
      <c r="I37" s="39">
        <f t="shared" si="6"/>
        <v>696.5352412499999</v>
      </c>
      <c r="J37" s="39">
        <f t="shared" si="7"/>
        <v>696.5352412499999</v>
      </c>
      <c r="K37" s="39">
        <f t="shared" si="8"/>
        <v>696.5352412499999</v>
      </c>
      <c r="L37" s="39">
        <f t="shared" si="9"/>
        <v>696.5352412499999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f t="shared" si="10"/>
        <v>696.5352412499999</v>
      </c>
      <c r="T37" s="39">
        <f t="shared" si="11"/>
        <v>696.5352412499999</v>
      </c>
      <c r="U37" s="39">
        <f t="shared" si="12"/>
        <v>4179.2114474999989</v>
      </c>
    </row>
    <row r="38" spans="1:21" ht="51" customHeight="1">
      <c r="A38" s="28" t="s">
        <v>74</v>
      </c>
      <c r="B38" s="11" t="s">
        <v>75</v>
      </c>
      <c r="C38" s="28" t="s">
        <v>45</v>
      </c>
      <c r="D38" s="11" t="s">
        <v>166</v>
      </c>
      <c r="E38" s="37">
        <v>71.91</v>
      </c>
      <c r="F38" s="53">
        <f>SUM(E38*24/1000)</f>
        <v>1.7258399999999998</v>
      </c>
      <c r="G38" s="37">
        <v>6203.7</v>
      </c>
      <c r="H38" s="38">
        <f t="shared" si="5"/>
        <v>10.706593607999999</v>
      </c>
      <c r="I38" s="39">
        <f t="shared" si="6"/>
        <v>1784.4322679999996</v>
      </c>
      <c r="J38" s="39">
        <f t="shared" si="7"/>
        <v>1784.4322679999996</v>
      </c>
      <c r="K38" s="39">
        <f t="shared" si="8"/>
        <v>1784.4322679999996</v>
      </c>
      <c r="L38" s="39">
        <f t="shared" si="9"/>
        <v>1784.4322679999996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f t="shared" si="10"/>
        <v>1784.4322679999996</v>
      </c>
      <c r="T38" s="39">
        <f t="shared" si="11"/>
        <v>1784.4322679999996</v>
      </c>
      <c r="U38" s="39">
        <f t="shared" si="12"/>
        <v>10706.593607999999</v>
      </c>
    </row>
    <row r="39" spans="1:21" ht="12.75" customHeight="1">
      <c r="A39" s="28" t="s">
        <v>76</v>
      </c>
      <c r="B39" s="11" t="s">
        <v>77</v>
      </c>
      <c r="C39" s="28" t="s">
        <v>45</v>
      </c>
      <c r="D39" s="11" t="s">
        <v>78</v>
      </c>
      <c r="E39" s="37">
        <v>71.91</v>
      </c>
      <c r="F39" s="53">
        <f>SUM(E39*45/1000)</f>
        <v>3.2359499999999999</v>
      </c>
      <c r="G39" s="37">
        <v>458.28</v>
      </c>
      <c r="H39" s="38">
        <f t="shared" si="5"/>
        <v>1.4829711659999998</v>
      </c>
      <c r="I39" s="39">
        <f t="shared" si="6"/>
        <v>247.16186099999996</v>
      </c>
      <c r="J39" s="39">
        <f t="shared" si="7"/>
        <v>247.16186099999996</v>
      </c>
      <c r="K39" s="39">
        <f t="shared" si="8"/>
        <v>247.16186099999996</v>
      </c>
      <c r="L39" s="39">
        <f t="shared" si="9"/>
        <v>247.16186099999996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f t="shared" si="10"/>
        <v>247.16186099999996</v>
      </c>
      <c r="T39" s="39">
        <f t="shared" si="11"/>
        <v>247.16186099999996</v>
      </c>
      <c r="U39" s="39">
        <f t="shared" si="12"/>
        <v>1482.9711659999998</v>
      </c>
    </row>
    <row r="40" spans="1:21" s="1" customFormat="1">
      <c r="A40" s="54"/>
      <c r="B40" s="14" t="s">
        <v>79</v>
      </c>
      <c r="C40" s="54" t="s">
        <v>56</v>
      </c>
      <c r="D40" s="14"/>
      <c r="E40" s="50"/>
      <c r="F40" s="53">
        <v>0.3</v>
      </c>
      <c r="G40" s="53">
        <v>853.06</v>
      </c>
      <c r="H40" s="38">
        <f t="shared" si="5"/>
        <v>0.25591799999999998</v>
      </c>
      <c r="I40" s="55">
        <f t="shared" si="6"/>
        <v>42.652999999999992</v>
      </c>
      <c r="J40" s="55">
        <f t="shared" si="7"/>
        <v>42.652999999999992</v>
      </c>
      <c r="K40" s="55">
        <f t="shared" si="8"/>
        <v>42.652999999999992</v>
      </c>
      <c r="L40" s="55">
        <f t="shared" si="9"/>
        <v>42.652999999999992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5">
        <f t="shared" si="10"/>
        <v>42.652999999999992</v>
      </c>
      <c r="T40" s="55">
        <v>0</v>
      </c>
      <c r="U40" s="39">
        <f t="shared" si="12"/>
        <v>213.26499999999996</v>
      </c>
    </row>
    <row r="41" spans="1:21" s="20" customFormat="1">
      <c r="A41" s="42"/>
      <c r="B41" s="21" t="s">
        <v>37</v>
      </c>
      <c r="C41" s="43"/>
      <c r="D41" s="21"/>
      <c r="E41" s="44"/>
      <c r="F41" s="45" t="s">
        <v>66</v>
      </c>
      <c r="G41" s="45"/>
      <c r="H41" s="52">
        <f>SUM(H34:H40)</f>
        <v>37.577091793500003</v>
      </c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>
        <f>SUM(U34:U40)</f>
        <v>37534.438793499998</v>
      </c>
    </row>
    <row r="42" spans="1:21">
      <c r="A42" s="28"/>
      <c r="B42" s="15" t="s">
        <v>80</v>
      </c>
      <c r="C42" s="28"/>
      <c r="D42" s="11"/>
      <c r="E42" s="36"/>
      <c r="F42" s="37"/>
      <c r="G42" s="37"/>
      <c r="H42" s="38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>
      <c r="A43" s="28" t="s">
        <v>158</v>
      </c>
      <c r="B43" s="11" t="s">
        <v>159</v>
      </c>
      <c r="C43" s="28" t="s">
        <v>45</v>
      </c>
      <c r="D43" s="11" t="s">
        <v>81</v>
      </c>
      <c r="E43" s="36">
        <v>904.4</v>
      </c>
      <c r="F43" s="37">
        <f>SUM(E43*2/1000)</f>
        <v>1.8088</v>
      </c>
      <c r="G43" s="56">
        <v>865.61</v>
      </c>
      <c r="H43" s="38">
        <f t="shared" ref="H43:H52" si="13">SUM(F43*G43/1000)</f>
        <v>1.565715368</v>
      </c>
      <c r="I43" s="39">
        <v>0</v>
      </c>
      <c r="J43" s="39">
        <v>0</v>
      </c>
      <c r="K43" s="39">
        <v>0</v>
      </c>
      <c r="L43" s="39">
        <f>F43/2*G43</f>
        <v>782.85768399999995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f>F43/2*G43</f>
        <v>782.85768399999995</v>
      </c>
      <c r="S43" s="39">
        <v>0</v>
      </c>
      <c r="T43" s="39">
        <v>0</v>
      </c>
      <c r="U43" s="39">
        <f t="shared" ref="U43:U52" si="14">SUM(I43:T43)</f>
        <v>1565.7153679999999</v>
      </c>
    </row>
    <row r="44" spans="1:21">
      <c r="A44" s="28" t="s">
        <v>82</v>
      </c>
      <c r="B44" s="11" t="s">
        <v>83</v>
      </c>
      <c r="C44" s="28" t="s">
        <v>45</v>
      </c>
      <c r="D44" s="11" t="s">
        <v>81</v>
      </c>
      <c r="E44" s="36">
        <v>27</v>
      </c>
      <c r="F44" s="37">
        <f>E44*2/1000</f>
        <v>5.3999999999999999E-2</v>
      </c>
      <c r="G44" s="56">
        <v>619.46</v>
      </c>
      <c r="H44" s="38">
        <f t="shared" si="13"/>
        <v>3.3450840000000003E-2</v>
      </c>
      <c r="I44" s="39">
        <v>0</v>
      </c>
      <c r="J44" s="39">
        <v>0</v>
      </c>
      <c r="K44" s="39">
        <v>0</v>
      </c>
      <c r="L44" s="39">
        <f>F44/2*G44</f>
        <v>16.72542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f>F44/2*G44</f>
        <v>16.72542</v>
      </c>
      <c r="S44" s="39">
        <v>0</v>
      </c>
      <c r="T44" s="39">
        <v>0</v>
      </c>
      <c r="U44" s="39">
        <f t="shared" si="14"/>
        <v>33.450839999999999</v>
      </c>
    </row>
    <row r="45" spans="1:21" ht="25.5">
      <c r="A45" s="28" t="s">
        <v>84</v>
      </c>
      <c r="B45" s="11" t="s">
        <v>85</v>
      </c>
      <c r="C45" s="28" t="s">
        <v>45</v>
      </c>
      <c r="D45" s="11" t="s">
        <v>81</v>
      </c>
      <c r="E45" s="36">
        <v>772</v>
      </c>
      <c r="F45" s="37">
        <f>SUM(E45*2/1000)</f>
        <v>1.544</v>
      </c>
      <c r="G45" s="56">
        <v>619.46</v>
      </c>
      <c r="H45" s="38">
        <f t="shared" si="13"/>
        <v>0.95644624000000011</v>
      </c>
      <c r="I45" s="39">
        <v>0</v>
      </c>
      <c r="J45" s="39">
        <v>0</v>
      </c>
      <c r="K45" s="39">
        <v>0</v>
      </c>
      <c r="L45" s="39">
        <f>F45/2*G45</f>
        <v>478.22312000000005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f>F45/2*G45</f>
        <v>478.22312000000005</v>
      </c>
      <c r="S45" s="39">
        <v>0</v>
      </c>
      <c r="T45" s="39">
        <v>0</v>
      </c>
      <c r="U45" s="39">
        <f t="shared" si="14"/>
        <v>956.4462400000001</v>
      </c>
    </row>
    <row r="46" spans="1:21">
      <c r="A46" s="28" t="s">
        <v>86</v>
      </c>
      <c r="B46" s="11" t="s">
        <v>87</v>
      </c>
      <c r="C46" s="28" t="s">
        <v>45</v>
      </c>
      <c r="D46" s="11" t="s">
        <v>81</v>
      </c>
      <c r="E46" s="36">
        <v>959.35</v>
      </c>
      <c r="F46" s="37">
        <f>SUM(E46*2/1000)</f>
        <v>1.9187000000000001</v>
      </c>
      <c r="G46" s="56">
        <v>648.64</v>
      </c>
      <c r="H46" s="38">
        <f t="shared" si="13"/>
        <v>1.2445455679999999</v>
      </c>
      <c r="I46" s="39">
        <v>0</v>
      </c>
      <c r="J46" s="39">
        <v>0</v>
      </c>
      <c r="K46" s="39">
        <v>0</v>
      </c>
      <c r="L46" s="39">
        <f>F46/2*G46</f>
        <v>622.272784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f>F46/2*G46</f>
        <v>622.272784</v>
      </c>
      <c r="S46" s="39">
        <v>0</v>
      </c>
      <c r="T46" s="39">
        <v>0</v>
      </c>
      <c r="U46" s="39">
        <f t="shared" si="14"/>
        <v>1244.545568</v>
      </c>
    </row>
    <row r="47" spans="1:21">
      <c r="A47" s="28" t="s">
        <v>160</v>
      </c>
      <c r="B47" s="11" t="s">
        <v>161</v>
      </c>
      <c r="C47" s="28" t="s">
        <v>162</v>
      </c>
      <c r="D47" s="11" t="s">
        <v>81</v>
      </c>
      <c r="E47" s="36">
        <v>66.02</v>
      </c>
      <c r="F47" s="37">
        <f>SUM(E47*2/100)</f>
        <v>1.3204</v>
      </c>
      <c r="G47" s="56">
        <v>77.84</v>
      </c>
      <c r="H47" s="38">
        <f t="shared" si="13"/>
        <v>0.102779936</v>
      </c>
      <c r="I47" s="39">
        <v>0</v>
      </c>
      <c r="J47" s="39">
        <v>0</v>
      </c>
      <c r="K47" s="39">
        <v>0</v>
      </c>
      <c r="L47" s="39">
        <f>F47/2*G47</f>
        <v>51.389968000000003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f>F47/2*G47</f>
        <v>51.389968000000003</v>
      </c>
      <c r="S47" s="39">
        <v>0</v>
      </c>
      <c r="T47" s="39">
        <v>0</v>
      </c>
      <c r="U47" s="39">
        <f t="shared" si="14"/>
        <v>102.77993600000001</v>
      </c>
    </row>
    <row r="48" spans="1:21" ht="25.5">
      <c r="A48" s="28" t="s">
        <v>88</v>
      </c>
      <c r="B48" s="11" t="s">
        <v>89</v>
      </c>
      <c r="C48" s="28" t="s">
        <v>45</v>
      </c>
      <c r="D48" s="11" t="s">
        <v>90</v>
      </c>
      <c r="E48" s="36">
        <v>702.5</v>
      </c>
      <c r="F48" s="37">
        <f>SUM(E48*5/1000)</f>
        <v>3.5125000000000002</v>
      </c>
      <c r="G48" s="56">
        <v>1297.28</v>
      </c>
      <c r="H48" s="38">
        <f t="shared" si="13"/>
        <v>4.5566959999999996</v>
      </c>
      <c r="I48" s="39">
        <f>F48/5*G48</f>
        <v>911.33920000000001</v>
      </c>
      <c r="J48" s="39">
        <f>F48/5*G48</f>
        <v>911.33920000000001</v>
      </c>
      <c r="K48" s="39">
        <v>0</v>
      </c>
      <c r="L48" s="39">
        <v>0</v>
      </c>
      <c r="M48" s="39">
        <f>F48/5*G48</f>
        <v>911.33920000000001</v>
      </c>
      <c r="N48" s="39">
        <v>0</v>
      </c>
      <c r="O48" s="39">
        <v>0</v>
      </c>
      <c r="P48" s="39">
        <v>0</v>
      </c>
      <c r="Q48" s="39">
        <f>F48/5*G48</f>
        <v>911.33920000000001</v>
      </c>
      <c r="R48" s="39">
        <v>0</v>
      </c>
      <c r="S48" s="39">
        <v>0</v>
      </c>
      <c r="T48" s="39">
        <f>F48/5*G48</f>
        <v>911.33920000000001</v>
      </c>
      <c r="U48" s="39">
        <f t="shared" si="14"/>
        <v>4556.6959999999999</v>
      </c>
    </row>
    <row r="49" spans="1:21" ht="39.6" customHeight="1">
      <c r="A49" s="28" t="s">
        <v>91</v>
      </c>
      <c r="B49" s="11" t="s">
        <v>92</v>
      </c>
      <c r="C49" s="28" t="s">
        <v>45</v>
      </c>
      <c r="D49" s="11" t="s">
        <v>81</v>
      </c>
      <c r="E49" s="36">
        <v>702.5</v>
      </c>
      <c r="F49" s="37">
        <f>SUM(E49*2/1000)</f>
        <v>1.405</v>
      </c>
      <c r="G49" s="56">
        <v>1297.28</v>
      </c>
      <c r="H49" s="38">
        <f t="shared" si="13"/>
        <v>1.8226784</v>
      </c>
      <c r="I49" s="39">
        <v>0</v>
      </c>
      <c r="J49" s="39">
        <v>0</v>
      </c>
      <c r="K49" s="39">
        <v>0</v>
      </c>
      <c r="L49" s="39">
        <v>0</v>
      </c>
      <c r="M49" s="39">
        <f>F49/2*G49</f>
        <v>911.33920000000001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f t="shared" si="14"/>
        <v>911.33920000000001</v>
      </c>
    </row>
    <row r="50" spans="1:21" ht="28.9" customHeight="1">
      <c r="A50" s="28" t="s">
        <v>93</v>
      </c>
      <c r="B50" s="11" t="s">
        <v>94</v>
      </c>
      <c r="C50" s="28" t="s">
        <v>95</v>
      </c>
      <c r="D50" s="11" t="s">
        <v>81</v>
      </c>
      <c r="E50" s="36">
        <v>9</v>
      </c>
      <c r="F50" s="37">
        <f>SUM(E50*2/100)</f>
        <v>0.18</v>
      </c>
      <c r="G50" s="56">
        <v>2918.89</v>
      </c>
      <c r="H50" s="38">
        <f t="shared" si="13"/>
        <v>0.52540019999999987</v>
      </c>
      <c r="I50" s="39">
        <v>0</v>
      </c>
      <c r="J50" s="39">
        <v>0</v>
      </c>
      <c r="K50" s="39">
        <v>0</v>
      </c>
      <c r="L50" s="39">
        <v>0</v>
      </c>
      <c r="M50" s="39">
        <f>F50/2*G50</f>
        <v>262.70009999999996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f t="shared" si="14"/>
        <v>262.70009999999996</v>
      </c>
    </row>
    <row r="51" spans="1:21">
      <c r="A51" s="28" t="s">
        <v>96</v>
      </c>
      <c r="B51" s="11" t="s">
        <v>97</v>
      </c>
      <c r="C51" s="28" t="s">
        <v>98</v>
      </c>
      <c r="D51" s="11" t="s">
        <v>81</v>
      </c>
      <c r="E51" s="36">
        <v>1</v>
      </c>
      <c r="F51" s="37">
        <v>0.02</v>
      </c>
      <c r="G51" s="56">
        <v>6042.12</v>
      </c>
      <c r="H51" s="38">
        <f t="shared" si="13"/>
        <v>0.1208424</v>
      </c>
      <c r="I51" s="39">
        <v>0</v>
      </c>
      <c r="J51" s="39">
        <f>F51/2*G51</f>
        <v>60.421199999999999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f>F51/2*G51</f>
        <v>60.421199999999999</v>
      </c>
      <c r="Q51" s="39">
        <v>0</v>
      </c>
      <c r="R51" s="39">
        <v>0</v>
      </c>
      <c r="S51" s="39">
        <v>0</v>
      </c>
      <c r="T51" s="39">
        <v>0</v>
      </c>
      <c r="U51" s="39">
        <f t="shared" si="14"/>
        <v>120.8424</v>
      </c>
    </row>
    <row r="52" spans="1:21" ht="13.5" customHeight="1">
      <c r="A52" s="28" t="s">
        <v>100</v>
      </c>
      <c r="B52" s="11" t="s">
        <v>101</v>
      </c>
      <c r="C52" s="28" t="s">
        <v>99</v>
      </c>
      <c r="D52" s="11" t="s">
        <v>148</v>
      </c>
      <c r="E52" s="36">
        <v>53</v>
      </c>
      <c r="F52" s="37">
        <f>SUM(E52)*3</f>
        <v>159</v>
      </c>
      <c r="G52" s="57">
        <v>70.209999999999994</v>
      </c>
      <c r="H52" s="38">
        <f t="shared" si="13"/>
        <v>11.16339</v>
      </c>
      <c r="I52" s="39">
        <v>0</v>
      </c>
      <c r="J52" s="39">
        <f>E52*G52</f>
        <v>3721.1299999999997</v>
      </c>
      <c r="K52" s="39">
        <v>0</v>
      </c>
      <c r="L52" s="39">
        <f>E52*G52</f>
        <v>3721.1299999999997</v>
      </c>
      <c r="M52" s="39">
        <v>0</v>
      </c>
      <c r="N52" s="39">
        <v>0</v>
      </c>
      <c r="O52" s="39">
        <v>0</v>
      </c>
      <c r="P52" s="39">
        <f>E52*G52</f>
        <v>3721.1299999999997</v>
      </c>
      <c r="Q52" s="39">
        <v>0</v>
      </c>
      <c r="R52" s="39">
        <v>0</v>
      </c>
      <c r="S52" s="39">
        <v>0</v>
      </c>
      <c r="T52" s="39">
        <v>0</v>
      </c>
      <c r="U52" s="39">
        <f t="shared" si="14"/>
        <v>11163.39</v>
      </c>
    </row>
    <row r="53" spans="1:21" s="22" customFormat="1">
      <c r="A53" s="42"/>
      <c r="B53" s="21" t="s">
        <v>37</v>
      </c>
      <c r="C53" s="58"/>
      <c r="D53" s="21"/>
      <c r="E53" s="59"/>
      <c r="F53" s="60"/>
      <c r="G53" s="60"/>
      <c r="H53" s="52">
        <f>SUM(H43:H52)</f>
        <v>22.091944952000002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>
        <f>SUM(U43:U52)</f>
        <v>20917.905652000001</v>
      </c>
    </row>
    <row r="54" spans="1:21">
      <c r="A54" s="28"/>
      <c r="B54" s="13" t="s">
        <v>102</v>
      </c>
      <c r="C54" s="28"/>
      <c r="D54" s="11"/>
      <c r="E54" s="36"/>
      <c r="F54" s="37"/>
      <c r="G54" s="37"/>
      <c r="H54" s="38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38.25" customHeight="1">
      <c r="A55" s="28" t="s">
        <v>104</v>
      </c>
      <c r="B55" s="11" t="s">
        <v>149</v>
      </c>
      <c r="C55" s="28" t="s">
        <v>14</v>
      </c>
      <c r="D55" s="11" t="s">
        <v>103</v>
      </c>
      <c r="E55" s="36">
        <v>25</v>
      </c>
      <c r="F55" s="37">
        <f>SUM(E55*6/100)</f>
        <v>1.5</v>
      </c>
      <c r="G55" s="56">
        <v>1654.04</v>
      </c>
      <c r="H55" s="38">
        <f>SUM(F55*G55/1000)</f>
        <v>2.4810599999999998</v>
      </c>
      <c r="I55" s="39">
        <f>F55/6*G55</f>
        <v>413.51</v>
      </c>
      <c r="J55" s="39">
        <f>F55/6*G55</f>
        <v>413.51</v>
      </c>
      <c r="K55" s="39">
        <f>F55/6*G55</f>
        <v>413.51</v>
      </c>
      <c r="L55" s="39">
        <f>F55/6*G55</f>
        <v>413.51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f>F55/6*G55</f>
        <v>413.51</v>
      </c>
      <c r="T55" s="39">
        <f>F55/6*G55</f>
        <v>413.51</v>
      </c>
      <c r="U55" s="39">
        <f>SUM(I55:T55)</f>
        <v>2481.0600000000004</v>
      </c>
    </row>
    <row r="56" spans="1:21">
      <c r="A56" s="28"/>
      <c r="B56" s="12" t="s">
        <v>105</v>
      </c>
      <c r="C56" s="28"/>
      <c r="D56" s="11"/>
      <c r="E56" s="36"/>
      <c r="F56" s="37"/>
      <c r="G56" s="62"/>
      <c r="H56" s="38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>
      <c r="A57" s="28" t="s">
        <v>106</v>
      </c>
      <c r="B57" s="11" t="s">
        <v>150</v>
      </c>
      <c r="C57" s="28" t="s">
        <v>14</v>
      </c>
      <c r="D57" s="11" t="s">
        <v>58</v>
      </c>
      <c r="E57" s="36">
        <v>1026</v>
      </c>
      <c r="F57" s="38">
        <f>E57/100</f>
        <v>10.26</v>
      </c>
      <c r="G57" s="56">
        <v>848.37</v>
      </c>
      <c r="H57" s="63">
        <f>F57*G57/1000</f>
        <v>8.7042762000000007</v>
      </c>
      <c r="I57" s="39">
        <v>0</v>
      </c>
      <c r="J57" s="39">
        <v>0</v>
      </c>
      <c r="K57" s="39">
        <f>F57/2*G57</f>
        <v>4352.1381000000001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f>SUM(I57:T57)</f>
        <v>4352.1381000000001</v>
      </c>
    </row>
    <row r="58" spans="1:21">
      <c r="A58" s="64"/>
      <c r="B58" s="16" t="s">
        <v>107</v>
      </c>
      <c r="C58" s="64"/>
      <c r="D58" s="65"/>
      <c r="E58" s="66"/>
      <c r="F58" s="67"/>
      <c r="G58" s="67"/>
      <c r="H58" s="68" t="s">
        <v>66</v>
      </c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2.75" customHeight="1">
      <c r="A59" s="69" t="s">
        <v>108</v>
      </c>
      <c r="B59" s="17" t="s">
        <v>109</v>
      </c>
      <c r="C59" s="69" t="s">
        <v>99</v>
      </c>
      <c r="D59" s="8" t="s">
        <v>58</v>
      </c>
      <c r="E59" s="70">
        <v>8</v>
      </c>
      <c r="F59" s="37">
        <v>8</v>
      </c>
      <c r="G59" s="56">
        <v>237.74</v>
      </c>
      <c r="H59" s="129">
        <f t="shared" ref="H59:H72" si="15">SUM(F59*G59/1000)</f>
        <v>1.9019200000000001</v>
      </c>
      <c r="I59" s="39">
        <v>0</v>
      </c>
      <c r="J59" s="39">
        <f>G59</f>
        <v>237.74</v>
      </c>
      <c r="K59" s="39">
        <v>0</v>
      </c>
      <c r="L59" s="39">
        <v>0</v>
      </c>
      <c r="M59" s="39">
        <v>0</v>
      </c>
      <c r="N59" s="39">
        <v>0</v>
      </c>
      <c r="O59" s="39">
        <f>G59*5</f>
        <v>1188.7</v>
      </c>
      <c r="P59" s="39">
        <f>G59</f>
        <v>237.74</v>
      </c>
      <c r="Q59" s="39">
        <v>0</v>
      </c>
      <c r="R59" s="39">
        <v>0</v>
      </c>
      <c r="S59" s="39">
        <f>G59*2</f>
        <v>475.48</v>
      </c>
      <c r="T59" s="39">
        <f>G59*3</f>
        <v>713.22</v>
      </c>
      <c r="U59" s="39">
        <f t="shared" ref="U59:U66" si="16">SUM(I59:T59)</f>
        <v>2852.88</v>
      </c>
    </row>
    <row r="60" spans="1:21" ht="12.75" customHeight="1">
      <c r="A60" s="69" t="s">
        <v>110</v>
      </c>
      <c r="B60" s="17" t="s">
        <v>111</v>
      </c>
      <c r="C60" s="69" t="s">
        <v>99</v>
      </c>
      <c r="D60" s="8" t="s">
        <v>58</v>
      </c>
      <c r="E60" s="70">
        <v>3</v>
      </c>
      <c r="F60" s="37">
        <v>3</v>
      </c>
      <c r="G60" s="56">
        <v>81.510000000000005</v>
      </c>
      <c r="H60" s="129">
        <f t="shared" si="15"/>
        <v>0.24453000000000003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f>G60</f>
        <v>81.510000000000005</v>
      </c>
      <c r="T60" s="39">
        <v>0</v>
      </c>
      <c r="U60" s="39">
        <f t="shared" si="16"/>
        <v>81.510000000000005</v>
      </c>
    </row>
    <row r="61" spans="1:21" s="1" customFormat="1">
      <c r="A61" s="71" t="s">
        <v>112</v>
      </c>
      <c r="B61" s="17" t="s">
        <v>113</v>
      </c>
      <c r="C61" s="71" t="s">
        <v>114</v>
      </c>
      <c r="D61" s="8" t="s">
        <v>49</v>
      </c>
      <c r="E61" s="36">
        <v>6307</v>
      </c>
      <c r="F61" s="57">
        <f>SUM(E61/100)</f>
        <v>63.07</v>
      </c>
      <c r="G61" s="56">
        <v>226.79</v>
      </c>
      <c r="H61" s="129">
        <f t="shared" si="15"/>
        <v>14.303645299999999</v>
      </c>
      <c r="I61" s="55">
        <v>0</v>
      </c>
      <c r="J61" s="55">
        <v>0</v>
      </c>
      <c r="K61" s="55">
        <v>0</v>
      </c>
      <c r="L61" s="55">
        <v>0</v>
      </c>
      <c r="M61" s="55">
        <f>F61*G61</f>
        <v>14303.6453</v>
      </c>
      <c r="N61" s="55">
        <v>0</v>
      </c>
      <c r="O61" s="55">
        <v>0</v>
      </c>
      <c r="P61" s="55">
        <v>0</v>
      </c>
      <c r="Q61" s="55">
        <v>0</v>
      </c>
      <c r="R61" s="55">
        <v>0</v>
      </c>
      <c r="S61" s="55">
        <v>0</v>
      </c>
      <c r="T61" s="55">
        <v>0</v>
      </c>
      <c r="U61" s="39">
        <f t="shared" si="16"/>
        <v>14303.6453</v>
      </c>
    </row>
    <row r="62" spans="1:21" ht="25.5">
      <c r="A62" s="69" t="s">
        <v>115</v>
      </c>
      <c r="B62" s="17" t="s">
        <v>116</v>
      </c>
      <c r="C62" s="69" t="s">
        <v>117</v>
      </c>
      <c r="D62" s="8"/>
      <c r="E62" s="36">
        <v>6307</v>
      </c>
      <c r="F62" s="56">
        <f>SUM(E62/1000)</f>
        <v>6.3070000000000004</v>
      </c>
      <c r="G62" s="56">
        <v>176.61</v>
      </c>
      <c r="H62" s="129">
        <f t="shared" si="15"/>
        <v>1.1138792700000002</v>
      </c>
      <c r="I62" s="39">
        <v>0</v>
      </c>
      <c r="J62" s="39">
        <v>0</v>
      </c>
      <c r="K62" s="39">
        <v>0</v>
      </c>
      <c r="L62" s="39">
        <v>0</v>
      </c>
      <c r="M62" s="39">
        <f>F62*G62</f>
        <v>1113.8792700000001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f t="shared" si="16"/>
        <v>1113.8792700000001</v>
      </c>
    </row>
    <row r="63" spans="1:21">
      <c r="A63" s="69" t="s">
        <v>118</v>
      </c>
      <c r="B63" s="17" t="s">
        <v>119</v>
      </c>
      <c r="C63" s="69" t="s">
        <v>120</v>
      </c>
      <c r="D63" s="8" t="s">
        <v>49</v>
      </c>
      <c r="E63" s="36">
        <v>1003</v>
      </c>
      <c r="F63" s="56">
        <f>SUM(E63/100)</f>
        <v>10.029999999999999</v>
      </c>
      <c r="G63" s="56">
        <v>2217.7800000000002</v>
      </c>
      <c r="H63" s="129">
        <f t="shared" si="15"/>
        <v>22.244333399999999</v>
      </c>
      <c r="I63" s="39">
        <v>0</v>
      </c>
      <c r="J63" s="39">
        <v>0</v>
      </c>
      <c r="K63" s="39">
        <v>0</v>
      </c>
      <c r="L63" s="39">
        <v>0</v>
      </c>
      <c r="M63" s="39">
        <f>F63*G63</f>
        <v>22244.3334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f t="shared" si="16"/>
        <v>22244.3334</v>
      </c>
    </row>
    <row r="64" spans="1:21">
      <c r="A64" s="69"/>
      <c r="B64" s="18" t="s">
        <v>153</v>
      </c>
      <c r="C64" s="69" t="s">
        <v>56</v>
      </c>
      <c r="D64" s="8"/>
      <c r="E64" s="36">
        <v>6.6</v>
      </c>
      <c r="F64" s="56">
        <f>SUM(E64)</f>
        <v>6.6</v>
      </c>
      <c r="G64" s="56">
        <v>42.67</v>
      </c>
      <c r="H64" s="129">
        <f t="shared" si="15"/>
        <v>0.28162200000000004</v>
      </c>
      <c r="I64" s="39">
        <v>0</v>
      </c>
      <c r="J64" s="39">
        <v>0</v>
      </c>
      <c r="K64" s="39">
        <v>0</v>
      </c>
      <c r="L64" s="39">
        <v>0</v>
      </c>
      <c r="M64" s="39">
        <f>F64*G64</f>
        <v>281.62200000000001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f t="shared" si="16"/>
        <v>281.62200000000001</v>
      </c>
    </row>
    <row r="65" spans="1:28" ht="25.5">
      <c r="A65" s="72"/>
      <c r="B65" s="18" t="s">
        <v>154</v>
      </c>
      <c r="C65" s="69" t="s">
        <v>56</v>
      </c>
      <c r="D65" s="8"/>
      <c r="E65" s="36">
        <v>6.6</v>
      </c>
      <c r="F65" s="56">
        <f>SUM(E65)</f>
        <v>6.6</v>
      </c>
      <c r="G65" s="56">
        <v>39.81</v>
      </c>
      <c r="H65" s="129">
        <f t="shared" si="15"/>
        <v>0.26274599999999998</v>
      </c>
      <c r="I65" s="39">
        <v>0</v>
      </c>
      <c r="J65" s="39">
        <v>0</v>
      </c>
      <c r="K65" s="39">
        <v>0</v>
      </c>
      <c r="L65" s="39">
        <v>0</v>
      </c>
      <c r="M65" s="39">
        <f>F65*G65</f>
        <v>262.74599999999998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f t="shared" si="16"/>
        <v>262.74599999999998</v>
      </c>
    </row>
    <row r="66" spans="1:28">
      <c r="A66" s="69" t="s">
        <v>121</v>
      </c>
      <c r="B66" s="8" t="s">
        <v>122</v>
      </c>
      <c r="C66" s="69" t="s">
        <v>123</v>
      </c>
      <c r="D66" s="8" t="s">
        <v>49</v>
      </c>
      <c r="E66" s="70">
        <v>3</v>
      </c>
      <c r="F66" s="37">
        <v>3</v>
      </c>
      <c r="G66" s="56">
        <v>46.97</v>
      </c>
      <c r="H66" s="129">
        <f t="shared" si="15"/>
        <v>0.14091000000000001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f>F66*G66</f>
        <v>140.91</v>
      </c>
      <c r="R66" s="39">
        <v>0</v>
      </c>
      <c r="S66" s="39">
        <v>0</v>
      </c>
      <c r="T66" s="39">
        <v>0</v>
      </c>
      <c r="U66" s="39">
        <f t="shared" si="16"/>
        <v>140.91</v>
      </c>
    </row>
    <row r="67" spans="1:28">
      <c r="A67" s="72"/>
      <c r="B67" s="19" t="s">
        <v>124</v>
      </c>
      <c r="C67" s="69"/>
      <c r="D67" s="8"/>
      <c r="E67" s="70"/>
      <c r="F67" s="56"/>
      <c r="G67" s="56"/>
      <c r="H67" s="129" t="s">
        <v>66</v>
      </c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8">
      <c r="A68" s="69" t="s">
        <v>125</v>
      </c>
      <c r="B68" s="8" t="s">
        <v>126</v>
      </c>
      <c r="C68" s="69" t="s">
        <v>127</v>
      </c>
      <c r="D68" s="8"/>
      <c r="E68" s="70">
        <v>3</v>
      </c>
      <c r="F68" s="56">
        <v>0.3</v>
      </c>
      <c r="G68" s="56">
        <v>536.23</v>
      </c>
      <c r="H68" s="129">
        <f t="shared" si="15"/>
        <v>0.16086900000000001</v>
      </c>
      <c r="I68" s="39">
        <v>0</v>
      </c>
      <c r="J68" s="39">
        <v>0</v>
      </c>
      <c r="K68" s="39">
        <f>G68*0.4</f>
        <v>214.49200000000002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f>SUM(I68:T68)</f>
        <v>214.49200000000002</v>
      </c>
    </row>
    <row r="69" spans="1:28">
      <c r="A69" s="69" t="s">
        <v>155</v>
      </c>
      <c r="B69" s="8" t="s">
        <v>156</v>
      </c>
      <c r="C69" s="69" t="s">
        <v>52</v>
      </c>
      <c r="D69" s="8"/>
      <c r="E69" s="70">
        <v>1</v>
      </c>
      <c r="F69" s="62">
        <v>1</v>
      </c>
      <c r="G69" s="56">
        <v>911.85</v>
      </c>
      <c r="H69" s="129">
        <f>F69*G69/1000</f>
        <v>0.91185000000000005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f>SUM(I69:T69)</f>
        <v>0</v>
      </c>
    </row>
    <row r="70" spans="1:28">
      <c r="A70" s="69" t="s">
        <v>128</v>
      </c>
      <c r="B70" s="8" t="s">
        <v>163</v>
      </c>
      <c r="C70" s="69" t="s">
        <v>52</v>
      </c>
      <c r="D70" s="8"/>
      <c r="E70" s="70">
        <v>1</v>
      </c>
      <c r="F70" s="56">
        <v>1</v>
      </c>
      <c r="G70" s="56">
        <v>383.25</v>
      </c>
      <c r="H70" s="129">
        <f>G70*F70/1000</f>
        <v>0.38324999999999998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f>SUM(I70:T70)</f>
        <v>0</v>
      </c>
    </row>
    <row r="71" spans="1:28">
      <c r="A71" s="72"/>
      <c r="B71" s="73" t="s">
        <v>129</v>
      </c>
      <c r="C71" s="69"/>
      <c r="D71" s="8"/>
      <c r="E71" s="70"/>
      <c r="F71" s="56"/>
      <c r="G71" s="56" t="s">
        <v>66</v>
      </c>
      <c r="H71" s="129" t="s">
        <v>66</v>
      </c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8" s="1" customFormat="1">
      <c r="A72" s="71" t="s">
        <v>130</v>
      </c>
      <c r="B72" s="74" t="s">
        <v>131</v>
      </c>
      <c r="C72" s="71" t="s">
        <v>120</v>
      </c>
      <c r="D72" s="17"/>
      <c r="E72" s="75"/>
      <c r="F72" s="57">
        <v>0.1</v>
      </c>
      <c r="G72" s="57">
        <v>2831.38</v>
      </c>
      <c r="H72" s="129">
        <f t="shared" si="15"/>
        <v>0.28313800000000006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0</v>
      </c>
      <c r="R72" s="55">
        <v>0</v>
      </c>
      <c r="S72" s="55">
        <v>0</v>
      </c>
      <c r="T72" s="55">
        <v>0</v>
      </c>
      <c r="U72" s="39">
        <f>SUM(I72:T72)</f>
        <v>0</v>
      </c>
    </row>
    <row r="73" spans="1:28" s="22" customFormat="1">
      <c r="A73" s="137"/>
      <c r="B73" s="21" t="s">
        <v>37</v>
      </c>
      <c r="C73" s="76"/>
      <c r="D73" s="77"/>
      <c r="E73" s="78"/>
      <c r="F73" s="61"/>
      <c r="G73" s="61"/>
      <c r="H73" s="79">
        <f>SUM(H55:H72)</f>
        <v>53.41802916999999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>
        <f>SUM(U55:U72)</f>
        <v>48329.216070000009</v>
      </c>
    </row>
    <row r="74" spans="1:28">
      <c r="A74" s="135" t="s">
        <v>200</v>
      </c>
      <c r="B74" s="11" t="s">
        <v>201</v>
      </c>
      <c r="C74" s="80" t="s">
        <v>202</v>
      </c>
      <c r="D74" s="81"/>
      <c r="E74" s="136"/>
      <c r="F74" s="82">
        <f>48/10</f>
        <v>4.8</v>
      </c>
      <c r="G74" s="83">
        <v>9</v>
      </c>
      <c r="H74" s="129">
        <f>G74*F74/1000</f>
        <v>4.3199999999999995E-2</v>
      </c>
      <c r="I74" s="39">
        <v>0</v>
      </c>
      <c r="J74" s="39">
        <v>0</v>
      </c>
      <c r="K74" s="39">
        <v>0</v>
      </c>
      <c r="L74" s="39">
        <v>0</v>
      </c>
      <c r="M74" s="40">
        <v>0</v>
      </c>
      <c r="N74" s="39">
        <f>F74*G74</f>
        <v>43.199999999999996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f>SUM(I74:T74)</f>
        <v>43.199999999999996</v>
      </c>
    </row>
    <row r="75" spans="1:28" ht="12.75" customHeight="1">
      <c r="A75" s="69"/>
      <c r="B75" s="12" t="s">
        <v>132</v>
      </c>
      <c r="C75" s="69" t="s">
        <v>133</v>
      </c>
      <c r="D75" s="84"/>
      <c r="E75" s="56">
        <v>1536.4</v>
      </c>
      <c r="F75" s="56">
        <f>SUM(E75*12)</f>
        <v>18436.800000000003</v>
      </c>
      <c r="G75" s="85">
        <v>2.2400000000000002</v>
      </c>
      <c r="H75" s="129">
        <f>SUM(F75*G75/1000)</f>
        <v>41.298432000000005</v>
      </c>
      <c r="I75" s="39">
        <f>F75/12*G75</f>
        <v>3441.536000000001</v>
      </c>
      <c r="J75" s="39">
        <f>F75/12*G75</f>
        <v>3441.536000000001</v>
      </c>
      <c r="K75" s="39">
        <f>F75/12*G75</f>
        <v>3441.536000000001</v>
      </c>
      <c r="L75" s="39">
        <f>F75/12*G75</f>
        <v>3441.536000000001</v>
      </c>
      <c r="M75" s="39">
        <f>F75/12*G75</f>
        <v>3441.536000000001</v>
      </c>
      <c r="N75" s="39">
        <f>F75/12*G75</f>
        <v>3441.536000000001</v>
      </c>
      <c r="O75" s="39">
        <f>F75/12*G75</f>
        <v>3441.536000000001</v>
      </c>
      <c r="P75" s="39">
        <f>F75/12*G75</f>
        <v>3441.536000000001</v>
      </c>
      <c r="Q75" s="39">
        <f>F75/12*G75</f>
        <v>3441.536000000001</v>
      </c>
      <c r="R75" s="39">
        <f>F75/12*G75</f>
        <v>3441.536000000001</v>
      </c>
      <c r="S75" s="39">
        <f>F75/12*G75</f>
        <v>3441.536000000001</v>
      </c>
      <c r="T75" s="39">
        <f>F75/12*G75</f>
        <v>3441.536000000001</v>
      </c>
      <c r="U75" s="39">
        <f>SUM(I75:T75)</f>
        <v>41298.432000000008</v>
      </c>
    </row>
    <row r="76" spans="1:28" s="20" customFormat="1">
      <c r="A76" s="86"/>
      <c r="B76" s="21" t="s">
        <v>37</v>
      </c>
      <c r="C76" s="87"/>
      <c r="D76" s="88"/>
      <c r="E76" s="89"/>
      <c r="F76" s="47"/>
      <c r="G76" s="90"/>
      <c r="H76" s="48">
        <f>SUM(H74:H75)</f>
        <v>41.341632000000004</v>
      </c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>
        <f>SUM(U74:U75)</f>
        <v>41341.632000000005</v>
      </c>
    </row>
    <row r="77" spans="1:28" ht="29.25" customHeight="1">
      <c r="A77" s="72"/>
      <c r="B77" s="8" t="s">
        <v>134</v>
      </c>
      <c r="C77" s="69"/>
      <c r="D77" s="91"/>
      <c r="E77" s="36">
        <f>E75</f>
        <v>1536.4</v>
      </c>
      <c r="F77" s="56">
        <f>E77*12</f>
        <v>18436.800000000003</v>
      </c>
      <c r="G77" s="56">
        <v>1.74</v>
      </c>
      <c r="H77" s="129">
        <f>F77*G77/1000</f>
        <v>32.08003200000001</v>
      </c>
      <c r="I77" s="39">
        <f>F77/12*G77</f>
        <v>2673.3360000000007</v>
      </c>
      <c r="J77" s="39">
        <f>F77/12*G77</f>
        <v>2673.3360000000007</v>
      </c>
      <c r="K77" s="39">
        <f>F77/12*G77</f>
        <v>2673.3360000000007</v>
      </c>
      <c r="L77" s="39">
        <f>F77/12*G77</f>
        <v>2673.3360000000007</v>
      </c>
      <c r="M77" s="39">
        <f>F77/12*G77</f>
        <v>2673.3360000000007</v>
      </c>
      <c r="N77" s="39">
        <f>F77/12*G77</f>
        <v>2673.3360000000007</v>
      </c>
      <c r="O77" s="39">
        <f>F77/12*G77</f>
        <v>2673.3360000000007</v>
      </c>
      <c r="P77" s="39">
        <f>F77/12*G77</f>
        <v>2673.3360000000007</v>
      </c>
      <c r="Q77" s="39">
        <f>F77/12*G77</f>
        <v>2673.3360000000007</v>
      </c>
      <c r="R77" s="39">
        <f>F77/12*G77</f>
        <v>2673.3360000000007</v>
      </c>
      <c r="S77" s="39">
        <f>F77/12*G77</f>
        <v>2673.3360000000007</v>
      </c>
      <c r="T77" s="39">
        <f>F77/12*G77</f>
        <v>2673.3360000000007</v>
      </c>
      <c r="U77" s="39">
        <f>SUM(I77:T77)</f>
        <v>32080.032000000003</v>
      </c>
    </row>
    <row r="78" spans="1:28" s="20" customFormat="1">
      <c r="A78" s="86"/>
      <c r="B78" s="92" t="s">
        <v>135</v>
      </c>
      <c r="C78" s="93"/>
      <c r="D78" s="92"/>
      <c r="E78" s="47"/>
      <c r="F78" s="47"/>
      <c r="G78" s="47"/>
      <c r="H78" s="79">
        <f>H77</f>
        <v>32.08003200000001</v>
      </c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131">
        <f>U77</f>
        <v>32080.032000000003</v>
      </c>
    </row>
    <row r="79" spans="1:28" s="20" customFormat="1">
      <c r="A79" s="86"/>
      <c r="B79" s="92" t="s">
        <v>136</v>
      </c>
      <c r="C79" s="94"/>
      <c r="D79" s="95"/>
      <c r="E79" s="96"/>
      <c r="F79" s="96"/>
      <c r="G79" s="96"/>
      <c r="H79" s="79">
        <f>SUM(H78+H76+H73+H53+H41+H32+H22)</f>
        <v>378.67353025890003</v>
      </c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131">
        <f>SUM(U78+U76+U73+U53+U41+U32+U22)*1.064</f>
        <v>394471.87652986962</v>
      </c>
    </row>
    <row r="80" spans="1:28" s="125" customFormat="1" ht="52.5" customHeight="1">
      <c r="A80" s="138"/>
      <c r="B80" s="73"/>
      <c r="C80" s="69"/>
      <c r="D80" s="91"/>
      <c r="E80" s="56"/>
      <c r="F80" s="56"/>
      <c r="G80" s="56"/>
      <c r="H80" s="124"/>
      <c r="I80" s="56"/>
      <c r="J80" s="56"/>
      <c r="K80" s="56"/>
      <c r="L80" s="56"/>
      <c r="M80" s="56"/>
      <c r="N80" s="56"/>
      <c r="O80" s="56"/>
      <c r="P80" s="56"/>
      <c r="Q80" s="56"/>
      <c r="R80" s="140"/>
      <c r="S80" s="140"/>
      <c r="T80" s="140"/>
      <c r="U80" s="141" t="s">
        <v>182</v>
      </c>
      <c r="X80" s="142"/>
      <c r="Y80" s="142"/>
      <c r="Z80" s="142"/>
      <c r="AA80" s="142"/>
      <c r="AB80" s="142"/>
    </row>
    <row r="81" spans="1:21">
      <c r="A81" s="72"/>
      <c r="B81" s="91" t="s">
        <v>137</v>
      </c>
      <c r="C81" s="69"/>
      <c r="D81" s="91"/>
      <c r="E81" s="56"/>
      <c r="F81" s="56"/>
      <c r="G81" s="56" t="s">
        <v>138</v>
      </c>
      <c r="H81" s="97">
        <f>E77</f>
        <v>1536.4</v>
      </c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s="20" customFormat="1">
      <c r="A82" s="86"/>
      <c r="B82" s="95" t="s">
        <v>139</v>
      </c>
      <c r="C82" s="94"/>
      <c r="D82" s="95"/>
      <c r="E82" s="96"/>
      <c r="F82" s="96"/>
      <c r="G82" s="96"/>
      <c r="H82" s="98">
        <f>SUM(H79/H81/12*1000)</f>
        <v>20.539005155932699</v>
      </c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132"/>
    </row>
    <row r="83" spans="1:21">
      <c r="A83" s="99"/>
      <c r="B83" s="91"/>
      <c r="C83" s="69"/>
      <c r="D83" s="91"/>
      <c r="E83" s="56"/>
      <c r="F83" s="56"/>
      <c r="G83" s="56"/>
      <c r="H83" s="100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133"/>
    </row>
    <row r="84" spans="1:21">
      <c r="A84" s="72"/>
      <c r="B84" s="73" t="s">
        <v>140</v>
      </c>
      <c r="C84" s="69"/>
      <c r="D84" s="91"/>
      <c r="E84" s="56"/>
      <c r="F84" s="56"/>
      <c r="G84" s="56"/>
      <c r="H84" s="56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36.75" customHeight="1">
      <c r="A85" s="122" t="s">
        <v>91</v>
      </c>
      <c r="B85" s="123" t="s">
        <v>183</v>
      </c>
      <c r="C85" s="122" t="s">
        <v>70</v>
      </c>
      <c r="D85" s="91"/>
      <c r="E85" s="56"/>
      <c r="F85" s="56">
        <v>0.02</v>
      </c>
      <c r="G85" s="56">
        <v>1380.31</v>
      </c>
      <c r="H85" s="56">
        <f t="shared" ref="H85:H86" si="17">G85*F85/1000</f>
        <v>2.7606200000000001E-2</v>
      </c>
      <c r="I85" s="39">
        <f>G85*0.01</f>
        <v>13.803100000000001</v>
      </c>
      <c r="J85" s="39">
        <v>0</v>
      </c>
      <c r="K85" s="39">
        <v>0</v>
      </c>
      <c r="L85" s="39">
        <f>G85*0.01</f>
        <v>13.803100000000001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f>SUM(I85:T85)</f>
        <v>27.606200000000001</v>
      </c>
    </row>
    <row r="86" spans="1:21" ht="25.5">
      <c r="A86" s="122" t="s">
        <v>181</v>
      </c>
      <c r="B86" s="123" t="s">
        <v>180</v>
      </c>
      <c r="C86" s="122" t="s">
        <v>99</v>
      </c>
      <c r="D86" s="91"/>
      <c r="E86" s="56"/>
      <c r="F86" s="56">
        <v>270</v>
      </c>
      <c r="G86" s="56">
        <v>46.33</v>
      </c>
      <c r="H86" s="56">
        <f t="shared" si="17"/>
        <v>12.5091</v>
      </c>
      <c r="I86" s="39">
        <f>G86*27</f>
        <v>1250.9099999999999</v>
      </c>
      <c r="J86" s="39">
        <v>0</v>
      </c>
      <c r="K86" s="39">
        <f>G86*27</f>
        <v>1250.9099999999999</v>
      </c>
      <c r="L86" s="39">
        <f>G86*27</f>
        <v>1250.9099999999999</v>
      </c>
      <c r="M86" s="39">
        <v>0</v>
      </c>
      <c r="N86" s="39">
        <f>G86*27</f>
        <v>1250.9099999999999</v>
      </c>
      <c r="O86" s="39">
        <f>G86*27</f>
        <v>1250.9099999999999</v>
      </c>
      <c r="P86" s="39">
        <f>G86*27</f>
        <v>1250.9099999999999</v>
      </c>
      <c r="Q86" s="39">
        <f>G86*27</f>
        <v>1250.9099999999999</v>
      </c>
      <c r="R86" s="39">
        <f>G86*27</f>
        <v>1250.9099999999999</v>
      </c>
      <c r="S86" s="39">
        <f>G86*27</f>
        <v>1250.9099999999999</v>
      </c>
      <c r="T86" s="39">
        <f>G86*27</f>
        <v>1250.9099999999999</v>
      </c>
      <c r="U86" s="39">
        <f>SUM(I86:T86)</f>
        <v>12509.099999999999</v>
      </c>
    </row>
    <row r="87" spans="1:21" ht="25.5">
      <c r="A87" s="126" t="s">
        <v>185</v>
      </c>
      <c r="B87" s="127" t="s">
        <v>184</v>
      </c>
      <c r="C87" s="126" t="s">
        <v>99</v>
      </c>
      <c r="D87" s="91"/>
      <c r="E87" s="56"/>
      <c r="F87" s="56">
        <v>2</v>
      </c>
      <c r="G87" s="56">
        <v>164.67</v>
      </c>
      <c r="H87" s="129">
        <f t="shared" ref="H87:H97" si="18">G87*F87/1000</f>
        <v>0.32933999999999997</v>
      </c>
      <c r="I87" s="39">
        <v>0</v>
      </c>
      <c r="J87" s="39">
        <f>G87*2</f>
        <v>329.34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f>SUM(I87:T87)</f>
        <v>329.34</v>
      </c>
    </row>
    <row r="88" spans="1:21" ht="25.5">
      <c r="A88" s="126" t="s">
        <v>188</v>
      </c>
      <c r="B88" s="127" t="s">
        <v>186</v>
      </c>
      <c r="C88" s="126" t="s">
        <v>187</v>
      </c>
      <c r="D88" s="91"/>
      <c r="E88" s="56"/>
      <c r="F88" s="56">
        <v>1</v>
      </c>
      <c r="G88" s="56">
        <v>179.12</v>
      </c>
      <c r="H88" s="129">
        <f t="shared" si="18"/>
        <v>0.17912</v>
      </c>
      <c r="I88" s="39">
        <v>0</v>
      </c>
      <c r="J88" s="39">
        <f>G88</f>
        <v>179.12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f>SUM(I88:T88)</f>
        <v>179.12</v>
      </c>
    </row>
    <row r="89" spans="1:21" ht="25.5">
      <c r="A89" s="128" t="s">
        <v>191</v>
      </c>
      <c r="B89" s="127" t="s">
        <v>189</v>
      </c>
      <c r="C89" s="126" t="s">
        <v>190</v>
      </c>
      <c r="D89" s="91"/>
      <c r="E89" s="56"/>
      <c r="F89" s="56">
        <v>4</v>
      </c>
      <c r="G89" s="56">
        <v>561.67999999999995</v>
      </c>
      <c r="H89" s="129">
        <f t="shared" si="18"/>
        <v>2.2467199999999998</v>
      </c>
      <c r="I89" s="39">
        <v>0</v>
      </c>
      <c r="J89" s="39">
        <f>G89*2</f>
        <v>1123.3599999999999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f>G89*2</f>
        <v>1123.3599999999999</v>
      </c>
      <c r="U89" s="39">
        <f>SUM(I89:T89)</f>
        <v>2246.7199999999998</v>
      </c>
    </row>
    <row r="90" spans="1:21" ht="38.25">
      <c r="A90" s="126" t="s">
        <v>194</v>
      </c>
      <c r="B90" s="127" t="s">
        <v>192</v>
      </c>
      <c r="C90" s="126" t="s">
        <v>193</v>
      </c>
      <c r="D90" s="91"/>
      <c r="E90" s="56"/>
      <c r="F90" s="56">
        <v>6</v>
      </c>
      <c r="G90" s="56">
        <v>908.62</v>
      </c>
      <c r="H90" s="129">
        <f t="shared" si="18"/>
        <v>5.4517199999999999</v>
      </c>
      <c r="I90" s="39">
        <v>0</v>
      </c>
      <c r="J90" s="39">
        <f>G90*6</f>
        <v>5451.72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f>SUM(I90:T90)</f>
        <v>5451.72</v>
      </c>
    </row>
    <row r="91" spans="1:21" ht="38.25">
      <c r="A91" s="126" t="s">
        <v>196</v>
      </c>
      <c r="B91" s="127" t="s">
        <v>195</v>
      </c>
      <c r="C91" s="126" t="s">
        <v>193</v>
      </c>
      <c r="D91" s="91"/>
      <c r="E91" s="56"/>
      <c r="F91" s="56">
        <v>9</v>
      </c>
      <c r="G91" s="56">
        <v>778.73</v>
      </c>
      <c r="H91" s="129">
        <f t="shared" si="18"/>
        <v>7.0085699999999997</v>
      </c>
      <c r="I91" s="39">
        <v>0</v>
      </c>
      <c r="J91" s="39">
        <f>G91*9</f>
        <v>7008.57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f t="shared" ref="U91" si="19">SUM(I91:T91)</f>
        <v>7008.57</v>
      </c>
    </row>
    <row r="92" spans="1:21">
      <c r="A92" s="126" t="s">
        <v>203</v>
      </c>
      <c r="B92" s="127" t="s">
        <v>204</v>
      </c>
      <c r="C92" s="126" t="s">
        <v>205</v>
      </c>
      <c r="D92" s="91"/>
      <c r="E92" s="56"/>
      <c r="F92" s="56">
        <v>1</v>
      </c>
      <c r="G92" s="56">
        <v>1372</v>
      </c>
      <c r="H92" s="129">
        <f t="shared" si="18"/>
        <v>1.3720000000000001</v>
      </c>
      <c r="I92" s="39">
        <v>0</v>
      </c>
      <c r="J92" s="39">
        <v>0</v>
      </c>
      <c r="K92" s="39">
        <f>G92</f>
        <v>1372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f>SUM(I92:T92)</f>
        <v>1372</v>
      </c>
    </row>
    <row r="93" spans="1:21" ht="25.5">
      <c r="A93" s="126" t="s">
        <v>206</v>
      </c>
      <c r="B93" s="127" t="s">
        <v>208</v>
      </c>
      <c r="C93" s="126" t="s">
        <v>207</v>
      </c>
      <c r="D93" s="91"/>
      <c r="E93" s="56"/>
      <c r="F93" s="56">
        <v>0.01</v>
      </c>
      <c r="G93" s="56">
        <v>19540.87</v>
      </c>
      <c r="H93" s="129">
        <f t="shared" si="18"/>
        <v>0.19540869999999999</v>
      </c>
      <c r="I93" s="39">
        <v>0</v>
      </c>
      <c r="J93" s="39">
        <v>0</v>
      </c>
      <c r="K93" s="39">
        <f>G93*0.01</f>
        <v>195.40869999999998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f>SUM(I93:T93)</f>
        <v>195.40869999999998</v>
      </c>
    </row>
    <row r="94" spans="1:21" ht="25.5">
      <c r="A94" s="126" t="s">
        <v>216</v>
      </c>
      <c r="B94" s="127" t="s">
        <v>217</v>
      </c>
      <c r="C94" s="126" t="s">
        <v>215</v>
      </c>
      <c r="D94" s="91"/>
      <c r="E94" s="56"/>
      <c r="F94" s="56">
        <v>2</v>
      </c>
      <c r="G94" s="56">
        <v>169.85</v>
      </c>
      <c r="H94" s="129">
        <f t="shared" si="18"/>
        <v>0.3397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f>G94</f>
        <v>169.85</v>
      </c>
      <c r="P94" s="39">
        <v>0</v>
      </c>
      <c r="Q94" s="39">
        <v>0</v>
      </c>
      <c r="R94" s="39">
        <f>G94</f>
        <v>169.85</v>
      </c>
      <c r="S94" s="39">
        <v>0</v>
      </c>
      <c r="T94" s="39">
        <v>0</v>
      </c>
      <c r="U94" s="39">
        <f>SUM(I94:T94)</f>
        <v>339.7</v>
      </c>
    </row>
    <row r="95" spans="1:21" ht="25.5">
      <c r="A95" s="157" t="s">
        <v>203</v>
      </c>
      <c r="B95" s="158" t="s">
        <v>218</v>
      </c>
      <c r="C95" s="159" t="s">
        <v>219</v>
      </c>
      <c r="D95" s="91"/>
      <c r="E95" s="56"/>
      <c r="F95" s="56">
        <v>1</v>
      </c>
      <c r="G95" s="56">
        <v>350.1</v>
      </c>
      <c r="H95" s="129">
        <f t="shared" si="18"/>
        <v>0.35010000000000002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f>G95</f>
        <v>350.1</v>
      </c>
      <c r="U95" s="39">
        <f>SUM(I95:T95)</f>
        <v>350.1</v>
      </c>
    </row>
    <row r="96" spans="1:21" ht="34.5" customHeight="1">
      <c r="A96" s="122" t="s">
        <v>93</v>
      </c>
      <c r="B96" s="123" t="s">
        <v>220</v>
      </c>
      <c r="C96" s="122" t="s">
        <v>95</v>
      </c>
      <c r="D96" s="91"/>
      <c r="E96" s="56"/>
      <c r="F96" s="56">
        <v>0.01</v>
      </c>
      <c r="G96" s="56">
        <v>3105.72</v>
      </c>
      <c r="H96" s="129">
        <f t="shared" si="18"/>
        <v>3.1057199999999997E-2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f>G96*0.01</f>
        <v>31.057199999999998</v>
      </c>
      <c r="S96" s="39">
        <v>0</v>
      </c>
      <c r="T96" s="39">
        <v>0</v>
      </c>
      <c r="U96" s="39">
        <f>SUM(I96:T96)</f>
        <v>31.057199999999998</v>
      </c>
    </row>
    <row r="97" spans="1:21" ht="21" customHeight="1">
      <c r="A97" s="126" t="s">
        <v>221</v>
      </c>
      <c r="B97" s="160" t="s">
        <v>222</v>
      </c>
      <c r="C97" s="126" t="s">
        <v>223</v>
      </c>
      <c r="D97" s="91"/>
      <c r="E97" s="56"/>
      <c r="F97" s="56">
        <v>1.2</v>
      </c>
      <c r="G97" s="56">
        <v>6985.97</v>
      </c>
      <c r="H97" s="129">
        <f t="shared" si="18"/>
        <v>8.3831640000000007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f>G97*1.2</f>
        <v>8383.1640000000007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f t="shared" ref="U97" si="20">SUM(I97:T97)</f>
        <v>8383.1640000000007</v>
      </c>
    </row>
    <row r="98" spans="1:21" s="20" customFormat="1">
      <c r="A98" s="101"/>
      <c r="B98" s="102" t="s">
        <v>141</v>
      </c>
      <c r="C98" s="101"/>
      <c r="D98" s="101"/>
      <c r="E98" s="96"/>
      <c r="F98" s="96"/>
      <c r="G98" s="96"/>
      <c r="H98" s="48">
        <f>SUM(H85:H97)</f>
        <v>38.423606100000001</v>
      </c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47">
        <f>SUM(U85:U97)</f>
        <v>38423.606099999997</v>
      </c>
    </row>
    <row r="99" spans="1:21">
      <c r="A99" s="99"/>
      <c r="B99" s="103"/>
      <c r="C99" s="104"/>
      <c r="D99" s="104"/>
      <c r="E99" s="56"/>
      <c r="F99" s="56"/>
      <c r="G99" s="56"/>
      <c r="H99" s="105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134"/>
    </row>
    <row r="100" spans="1:21" ht="12" customHeight="1">
      <c r="A100" s="72"/>
      <c r="B100" s="19" t="s">
        <v>142</v>
      </c>
      <c r="C100" s="69"/>
      <c r="D100" s="91"/>
      <c r="E100" s="56"/>
      <c r="F100" s="56"/>
      <c r="G100" s="56"/>
      <c r="H100" s="106">
        <f>H98/E101/12*1000</f>
        <v>2.0840713193178857</v>
      </c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134"/>
    </row>
    <row r="101" spans="1:21" s="20" customFormat="1">
      <c r="A101" s="86"/>
      <c r="B101" s="107" t="s">
        <v>143</v>
      </c>
      <c r="C101" s="108"/>
      <c r="D101" s="107"/>
      <c r="E101" s="109">
        <v>1536.4</v>
      </c>
      <c r="F101" s="110">
        <f>SUM(E101*12)</f>
        <v>18436.800000000003</v>
      </c>
      <c r="G101" s="111">
        <f>H82+H100</f>
        <v>22.623076475250585</v>
      </c>
      <c r="H101" s="112">
        <f>SUM(F101*G101/1000)</f>
        <v>417.09713635890006</v>
      </c>
      <c r="I101" s="96">
        <f t="shared" ref="I101:R101" si="21">SUM(I11:I100)</f>
        <v>29792.823678916666</v>
      </c>
      <c r="J101" s="96">
        <f t="shared" si="21"/>
        <v>46639.511778916669</v>
      </c>
      <c r="K101" s="96">
        <f t="shared" si="21"/>
        <v>35001.720178916665</v>
      </c>
      <c r="L101" s="96">
        <f t="shared" si="21"/>
        <v>34554.083454916661</v>
      </c>
      <c r="M101" s="96">
        <f t="shared" si="21"/>
        <v>64654.4435104</v>
      </c>
      <c r="N101" s="96">
        <f t="shared" si="21"/>
        <v>25059.018429400003</v>
      </c>
      <c r="O101" s="96">
        <f t="shared" si="21"/>
        <v>33529.939098399998</v>
      </c>
      <c r="P101" s="96">
        <f t="shared" si="21"/>
        <v>27807.516298400002</v>
      </c>
      <c r="Q101" s="96">
        <f t="shared" si="21"/>
        <v>24840.474298399997</v>
      </c>
      <c r="R101" s="96">
        <f t="shared" si="21"/>
        <v>25940.601274399993</v>
      </c>
      <c r="S101" s="96">
        <f>SUM(S11:S100)</f>
        <v>29424.671378916664</v>
      </c>
      <c r="T101" s="96">
        <f>SUM(T11:T100)</f>
        <v>31923.047578916667</v>
      </c>
      <c r="U101" s="47">
        <f>U79+U98</f>
        <v>432895.4826298696</v>
      </c>
    </row>
    <row r="102" spans="1:21">
      <c r="A102" s="72"/>
      <c r="B102" s="72"/>
      <c r="C102" s="72"/>
      <c r="D102" s="72"/>
      <c r="E102" s="113"/>
      <c r="F102" s="113"/>
      <c r="G102" s="113"/>
      <c r="H102" s="113"/>
      <c r="I102" s="113"/>
      <c r="J102" s="113"/>
      <c r="K102" s="113"/>
      <c r="L102" s="113"/>
      <c r="M102" s="72"/>
      <c r="N102" s="113"/>
      <c r="O102" s="72"/>
      <c r="P102" s="72"/>
      <c r="Q102" s="72"/>
      <c r="R102" s="72"/>
      <c r="S102" s="72"/>
      <c r="T102" s="72"/>
      <c r="U102" s="72"/>
    </row>
    <row r="103" spans="1:21">
      <c r="A103" s="72"/>
      <c r="B103" s="72"/>
      <c r="C103" s="72"/>
      <c r="D103" s="72"/>
      <c r="E103" s="113"/>
      <c r="F103" s="113"/>
      <c r="G103" s="113"/>
      <c r="H103" s="113"/>
      <c r="I103" s="113"/>
      <c r="J103" s="114"/>
      <c r="K103" s="115"/>
      <c r="L103" s="114"/>
      <c r="M103" s="113"/>
      <c r="N103" s="72"/>
      <c r="O103" s="72"/>
      <c r="P103" s="72"/>
      <c r="Q103" s="72"/>
      <c r="R103" s="72"/>
      <c r="S103" s="72"/>
      <c r="T103" s="72"/>
      <c r="U103" s="72"/>
    </row>
    <row r="104" spans="1:21" ht="45">
      <c r="A104" s="72"/>
      <c r="B104" s="116" t="s">
        <v>179</v>
      </c>
      <c r="C104" s="147">
        <v>-104.08</v>
      </c>
      <c r="D104" s="148"/>
      <c r="E104" s="148"/>
      <c r="F104" s="149"/>
      <c r="G104" s="113"/>
      <c r="H104" s="113"/>
      <c r="I104" s="113"/>
      <c r="J104" s="114"/>
      <c r="K104" s="115"/>
      <c r="L104" s="114"/>
      <c r="M104" s="113"/>
      <c r="N104" s="72"/>
      <c r="O104" s="72"/>
      <c r="P104" s="72"/>
      <c r="Q104" s="72"/>
      <c r="R104" s="72"/>
      <c r="S104" s="72"/>
      <c r="T104" s="72"/>
      <c r="U104" s="72"/>
    </row>
    <row r="105" spans="1:21" ht="30">
      <c r="A105" s="72"/>
      <c r="B105" s="23" t="s">
        <v>209</v>
      </c>
      <c r="C105" s="151">
        <v>420174.84</v>
      </c>
      <c r="D105" s="152"/>
      <c r="E105" s="152"/>
      <c r="F105" s="153"/>
      <c r="G105" s="113"/>
      <c r="H105" s="113"/>
      <c r="I105" s="113"/>
      <c r="J105" s="114"/>
      <c r="K105" s="115"/>
      <c r="L105" s="114"/>
      <c r="M105" s="113"/>
      <c r="N105" s="72"/>
      <c r="O105" s="72"/>
      <c r="P105" s="72"/>
      <c r="Q105" s="72"/>
      <c r="R105" s="72"/>
      <c r="S105" s="72"/>
      <c r="T105" s="72"/>
      <c r="U105" s="72"/>
    </row>
    <row r="106" spans="1:21" ht="30">
      <c r="A106" s="72"/>
      <c r="B106" s="23" t="s">
        <v>210</v>
      </c>
      <c r="C106" s="151">
        <f>SUM(U101-U98)</f>
        <v>394471.87652986962</v>
      </c>
      <c r="D106" s="152"/>
      <c r="E106" s="152"/>
      <c r="F106" s="153"/>
      <c r="G106" s="113"/>
      <c r="H106" s="113"/>
      <c r="I106" s="113"/>
      <c r="J106" s="114"/>
      <c r="K106" s="115"/>
      <c r="L106" s="114"/>
      <c r="M106" s="113"/>
      <c r="N106" s="72"/>
      <c r="O106" s="72"/>
      <c r="P106" s="72"/>
      <c r="Q106" s="72"/>
      <c r="R106" s="72"/>
      <c r="S106" s="72"/>
      <c r="T106" s="72"/>
      <c r="U106" s="72"/>
    </row>
    <row r="107" spans="1:21" ht="30">
      <c r="A107" s="72"/>
      <c r="B107" s="23" t="s">
        <v>211</v>
      </c>
      <c r="C107" s="151">
        <f>SUM(U98)</f>
        <v>38423.606099999997</v>
      </c>
      <c r="D107" s="152"/>
      <c r="E107" s="152"/>
      <c r="F107" s="153"/>
      <c r="G107" s="113"/>
      <c r="H107" s="113"/>
      <c r="I107" s="113"/>
      <c r="J107" s="114"/>
      <c r="K107" s="115"/>
      <c r="L107" s="114"/>
      <c r="M107" s="113"/>
      <c r="N107" s="72"/>
      <c r="O107" s="72"/>
      <c r="P107" s="72"/>
      <c r="Q107" s="72"/>
      <c r="R107" s="72"/>
      <c r="S107" s="72"/>
      <c r="T107" s="72"/>
      <c r="U107" s="72"/>
    </row>
    <row r="108" spans="1:21" ht="18">
      <c r="A108" s="72"/>
      <c r="B108" s="130" t="s">
        <v>212</v>
      </c>
      <c r="C108" s="147">
        <v>431045.98</v>
      </c>
      <c r="D108" s="148"/>
      <c r="E108" s="148"/>
      <c r="F108" s="149"/>
      <c r="G108" s="72"/>
      <c r="H108" s="117" t="s">
        <v>157</v>
      </c>
      <c r="I108" s="118"/>
      <c r="J108" s="118"/>
      <c r="K108" s="119"/>
      <c r="L108" s="120"/>
      <c r="M108" s="117"/>
      <c r="N108" s="117"/>
      <c r="O108" s="72"/>
      <c r="P108" s="72"/>
      <c r="Q108" s="72"/>
      <c r="R108" s="72"/>
      <c r="S108" s="72"/>
      <c r="T108" s="72"/>
      <c r="U108" s="72"/>
    </row>
    <row r="109" spans="1:21" ht="78.75">
      <c r="A109" s="72"/>
      <c r="B109" s="24" t="s">
        <v>213</v>
      </c>
      <c r="C109" s="154">
        <v>46992.4</v>
      </c>
      <c r="D109" s="155"/>
      <c r="E109" s="155"/>
      <c r="F109" s="156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</row>
    <row r="110" spans="1:21" ht="45">
      <c r="A110" s="72"/>
      <c r="B110" s="121" t="s">
        <v>214</v>
      </c>
      <c r="C110" s="150">
        <f>SUM(U101-C105)+C104</f>
        <v>12616.562629869573</v>
      </c>
      <c r="D110" s="148"/>
      <c r="E110" s="148"/>
      <c r="F110" s="149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</row>
    <row r="112" spans="1:21">
      <c r="J112" s="3"/>
      <c r="K112" s="4"/>
      <c r="L112" s="4"/>
      <c r="M112" s="2"/>
    </row>
    <row r="113" spans="7:8">
      <c r="G113" s="5"/>
      <c r="H113" s="5"/>
    </row>
    <row r="114" spans="7:8">
      <c r="G114" s="6"/>
    </row>
  </sheetData>
  <mergeCells count="12">
    <mergeCell ref="C104:F104"/>
    <mergeCell ref="C110:F110"/>
    <mergeCell ref="C105:F105"/>
    <mergeCell ref="C106:F106"/>
    <mergeCell ref="C107:F107"/>
    <mergeCell ref="C108:F108"/>
    <mergeCell ref="C109:F109"/>
    <mergeCell ref="X80:AB80"/>
    <mergeCell ref="B3:L3"/>
    <mergeCell ref="B4:L4"/>
    <mergeCell ref="B5:L5"/>
    <mergeCell ref="B6:L6"/>
  </mergeCells>
  <pageMargins left="0.31496062992125984" right="0.31496062992125984" top="0.15748031496062992" bottom="0.19685039370078741" header="0.15748031496062992" footer="0.15748031496062992"/>
  <pageSetup paperSize="9" scale="3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Шахт.,7</vt:lpstr>
      <vt:lpstr>'Шахт.,7'!Область_печати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2016-03-10T08:40:16Z</dcterms:modified>
</cp:coreProperties>
</file>