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1" sheetId="1" r:id="rId1"/>
  </sheets>
  <definedNames>
    <definedName name="_xlnm.Print_Area" localSheetId="0">'Косм.,1'!$A$1:$Z$113</definedName>
  </definedNames>
  <calcPr calcId="124519"/>
</workbook>
</file>

<file path=xl/calcChain.xml><?xml version="1.0" encoding="utf-8"?>
<calcChain xmlns="http://schemas.openxmlformats.org/spreadsheetml/2006/main">
  <c r="F90" i="1"/>
  <c r="R90"/>
  <c r="R59"/>
  <c r="R87"/>
  <c r="U87" s="1"/>
  <c r="H87"/>
  <c r="R91" l="1"/>
  <c r="U91" s="1"/>
  <c r="H91"/>
  <c r="F88" l="1"/>
  <c r="T90"/>
  <c r="S90"/>
  <c r="S59"/>
  <c r="T55"/>
  <c r="C111"/>
  <c r="C108"/>
  <c r="T100"/>
  <c r="T97"/>
  <c r="T99"/>
  <c r="U99" s="1"/>
  <c r="T92"/>
  <c r="T98"/>
  <c r="U98" s="1"/>
  <c r="F98"/>
  <c r="U100"/>
  <c r="U77"/>
  <c r="U75"/>
  <c r="U70"/>
  <c r="U71"/>
  <c r="U72"/>
  <c r="U69"/>
  <c r="U60"/>
  <c r="U61"/>
  <c r="U62"/>
  <c r="U63"/>
  <c r="U64"/>
  <c r="U65"/>
  <c r="U66"/>
  <c r="U57"/>
  <c r="U43" l="1"/>
  <c r="U44"/>
  <c r="U45"/>
  <c r="U47"/>
  <c r="U48"/>
  <c r="U49"/>
  <c r="U50"/>
  <c r="U51"/>
  <c r="U42"/>
  <c r="U35"/>
  <c r="U25"/>
  <c r="U28"/>
  <c r="U29"/>
  <c r="U14"/>
  <c r="U15"/>
  <c r="U16"/>
  <c r="U17"/>
  <c r="U18"/>
  <c r="U19"/>
  <c r="U20"/>
  <c r="S94"/>
  <c r="U94" s="1"/>
  <c r="S95"/>
  <c r="U95" s="1"/>
  <c r="H95"/>
  <c r="M94"/>
  <c r="L94"/>
  <c r="H94"/>
  <c r="S55"/>
  <c r="S73"/>
  <c r="U73" s="1"/>
  <c r="S92"/>
  <c r="S97"/>
  <c r="U97" s="1"/>
  <c r="S96"/>
  <c r="U96" s="1"/>
  <c r="S93"/>
  <c r="U93" s="1"/>
  <c r="H93"/>
  <c r="R89"/>
  <c r="U89" s="1"/>
  <c r="H89"/>
  <c r="H88"/>
  <c r="U59" l="1"/>
  <c r="R88"/>
  <c r="U88" s="1"/>
  <c r="H70" l="1"/>
  <c r="F69"/>
  <c r="H69" s="1"/>
  <c r="F67" l="1"/>
  <c r="F66"/>
  <c r="F60"/>
  <c r="F59"/>
  <c r="F57"/>
  <c r="H55"/>
  <c r="I55"/>
  <c r="J55"/>
  <c r="K55"/>
  <c r="L55"/>
  <c r="U55"/>
  <c r="F43"/>
  <c r="H26"/>
  <c r="F38"/>
  <c r="F34"/>
  <c r="F26"/>
  <c r="E26"/>
  <c r="H67" l="1"/>
  <c r="S67"/>
  <c r="T67"/>
  <c r="R67"/>
  <c r="U67" s="1"/>
  <c r="F16"/>
  <c r="F15"/>
  <c r="R92"/>
  <c r="U92" s="1"/>
  <c r="U90"/>
  <c r="U101" s="1"/>
  <c r="C110" s="1"/>
  <c r="Q98"/>
  <c r="Q90"/>
  <c r="P90"/>
  <c r="P98"/>
  <c r="H97" l="1"/>
  <c r="O90"/>
  <c r="H90"/>
  <c r="N100" l="1"/>
  <c r="H100"/>
  <c r="L35"/>
  <c r="K98"/>
  <c r="L98"/>
  <c r="M96"/>
  <c r="L51"/>
  <c r="L50"/>
  <c r="I51"/>
  <c r="I50"/>
  <c r="L97"/>
  <c r="H98"/>
  <c r="L99"/>
  <c r="F99"/>
  <c r="H99" s="1"/>
  <c r="L96"/>
  <c r="J59" l="1"/>
  <c r="I59"/>
  <c r="M77"/>
  <c r="H96" l="1"/>
  <c r="F50"/>
  <c r="H50" s="1"/>
  <c r="T39"/>
  <c r="S39"/>
  <c r="T33"/>
  <c r="S33"/>
  <c r="Q66"/>
  <c r="P51"/>
  <c r="P50"/>
  <c r="Q26"/>
  <c r="L39"/>
  <c r="L33"/>
  <c r="K39"/>
  <c r="K33"/>
  <c r="H77"/>
  <c r="U33" l="1"/>
  <c r="U39"/>
  <c r="M26"/>
  <c r="P26"/>
  <c r="R26"/>
  <c r="U26" s="1"/>
  <c r="N26"/>
  <c r="O26"/>
  <c r="J49"/>
  <c r="J39"/>
  <c r="J33"/>
  <c r="F51" l="1"/>
  <c r="I39"/>
  <c r="I33"/>
  <c r="F45" l="1"/>
  <c r="H45" s="1"/>
  <c r="H92"/>
  <c r="H101" s="1"/>
  <c r="M45" l="1"/>
  <c r="Q45"/>
  <c r="F19"/>
  <c r="M19" s="1"/>
  <c r="M16"/>
  <c r="M15"/>
  <c r="H19" l="1"/>
  <c r="F37"/>
  <c r="H57"/>
  <c r="I37" l="1"/>
  <c r="S37"/>
  <c r="U37" s="1"/>
  <c r="L37"/>
  <c r="K37"/>
  <c r="T37"/>
  <c r="J37"/>
  <c r="S34"/>
  <c r="T34"/>
  <c r="L34"/>
  <c r="K34"/>
  <c r="J34"/>
  <c r="H34"/>
  <c r="I34"/>
  <c r="U34" l="1"/>
  <c r="H35"/>
  <c r="H73" l="1"/>
  <c r="H72" l="1"/>
  <c r="F14" l="1"/>
  <c r="M14" s="1"/>
  <c r="F17"/>
  <c r="M17" s="1"/>
  <c r="F18"/>
  <c r="M18" s="1"/>
  <c r="F104" l="1"/>
  <c r="H103"/>
  <c r="E80"/>
  <c r="H83" s="1"/>
  <c r="F78"/>
  <c r="H75"/>
  <c r="H71"/>
  <c r="H66"/>
  <c r="F65"/>
  <c r="F64"/>
  <c r="F63"/>
  <c r="F62"/>
  <c r="F61"/>
  <c r="H60"/>
  <c r="H59"/>
  <c r="F54"/>
  <c r="H51"/>
  <c r="H49"/>
  <c r="F48"/>
  <c r="F47"/>
  <c r="F46"/>
  <c r="F44"/>
  <c r="F42"/>
  <c r="H39"/>
  <c r="H37"/>
  <c r="F36"/>
  <c r="H33"/>
  <c r="F30"/>
  <c r="H29"/>
  <c r="H28"/>
  <c r="F27"/>
  <c r="F25"/>
  <c r="F24"/>
  <c r="F23"/>
  <c r="F20"/>
  <c r="M20" s="1"/>
  <c r="H18"/>
  <c r="H17"/>
  <c r="H14"/>
  <c r="E13"/>
  <c r="F13" s="1"/>
  <c r="F12"/>
  <c r="F11"/>
  <c r="M44" l="1"/>
  <c r="Q44"/>
  <c r="M42"/>
  <c r="Q42"/>
  <c r="M43"/>
  <c r="Q43"/>
  <c r="I13"/>
  <c r="S13"/>
  <c r="Q13"/>
  <c r="O13"/>
  <c r="M13"/>
  <c r="T13"/>
  <c r="R13"/>
  <c r="P13"/>
  <c r="N13"/>
  <c r="L13"/>
  <c r="K13"/>
  <c r="J13"/>
  <c r="I12"/>
  <c r="S12"/>
  <c r="R12"/>
  <c r="P12"/>
  <c r="N12"/>
  <c r="L12"/>
  <c r="K12"/>
  <c r="T12"/>
  <c r="Q12"/>
  <c r="O12"/>
  <c r="M12"/>
  <c r="J12"/>
  <c r="H23"/>
  <c r="Q23"/>
  <c r="O23"/>
  <c r="R23"/>
  <c r="U23" s="1"/>
  <c r="P23"/>
  <c r="N23"/>
  <c r="M23"/>
  <c r="H25"/>
  <c r="M25"/>
  <c r="I27"/>
  <c r="S27"/>
  <c r="R27"/>
  <c r="P27"/>
  <c r="N27"/>
  <c r="M27"/>
  <c r="L27"/>
  <c r="K27"/>
  <c r="T27"/>
  <c r="Q27"/>
  <c r="O27"/>
  <c r="J27"/>
  <c r="H44"/>
  <c r="H47"/>
  <c r="K47"/>
  <c r="S54"/>
  <c r="L54"/>
  <c r="T54"/>
  <c r="K54"/>
  <c r="J54"/>
  <c r="H62"/>
  <c r="M62"/>
  <c r="H64"/>
  <c r="M64"/>
  <c r="I11"/>
  <c r="S11"/>
  <c r="Q11"/>
  <c r="O11"/>
  <c r="M11"/>
  <c r="T11"/>
  <c r="R11"/>
  <c r="U11" s="1"/>
  <c r="P11"/>
  <c r="N11"/>
  <c r="L11"/>
  <c r="K11"/>
  <c r="J11"/>
  <c r="H20"/>
  <c r="H24"/>
  <c r="R24"/>
  <c r="U24" s="1"/>
  <c r="P24"/>
  <c r="N24"/>
  <c r="M24"/>
  <c r="Q24"/>
  <c r="O24"/>
  <c r="S30"/>
  <c r="Q30"/>
  <c r="O30"/>
  <c r="T30"/>
  <c r="R30"/>
  <c r="U30" s="1"/>
  <c r="P30"/>
  <c r="N30"/>
  <c r="M30"/>
  <c r="L30"/>
  <c r="K30"/>
  <c r="J30"/>
  <c r="S36"/>
  <c r="T36"/>
  <c r="L36"/>
  <c r="K36"/>
  <c r="J36"/>
  <c r="S38"/>
  <c r="U38" s="1"/>
  <c r="T38"/>
  <c r="L38"/>
  <c r="K38"/>
  <c r="J38"/>
  <c r="H42"/>
  <c r="H43"/>
  <c r="I46"/>
  <c r="T46"/>
  <c r="U46" s="1"/>
  <c r="Q46"/>
  <c r="M46"/>
  <c r="J46"/>
  <c r="H48"/>
  <c r="K48"/>
  <c r="H61"/>
  <c r="M61"/>
  <c r="H63"/>
  <c r="M63"/>
  <c r="H65"/>
  <c r="M65"/>
  <c r="I78"/>
  <c r="S78"/>
  <c r="R78"/>
  <c r="P78"/>
  <c r="N78"/>
  <c r="K78"/>
  <c r="T78"/>
  <c r="Q78"/>
  <c r="O78"/>
  <c r="M78"/>
  <c r="L78"/>
  <c r="J78"/>
  <c r="H54"/>
  <c r="H76" s="1"/>
  <c r="I54"/>
  <c r="H30"/>
  <c r="I30"/>
  <c r="H36"/>
  <c r="I36"/>
  <c r="H38"/>
  <c r="I38"/>
  <c r="H78"/>
  <c r="H79" s="1"/>
  <c r="H27"/>
  <c r="H46"/>
  <c r="H52" s="1"/>
  <c r="H11"/>
  <c r="H12"/>
  <c r="H16"/>
  <c r="H13"/>
  <c r="H15"/>
  <c r="F80"/>
  <c r="U36" l="1"/>
  <c r="U54"/>
  <c r="U12"/>
  <c r="U13"/>
  <c r="U78"/>
  <c r="U27"/>
  <c r="H40"/>
  <c r="I80"/>
  <c r="S80"/>
  <c r="Q80"/>
  <c r="O80"/>
  <c r="M80"/>
  <c r="L80"/>
  <c r="T80"/>
  <c r="R80"/>
  <c r="P80"/>
  <c r="N80"/>
  <c r="N104" s="1"/>
  <c r="K80"/>
  <c r="J80"/>
  <c r="U76"/>
  <c r="U79"/>
  <c r="K104"/>
  <c r="M104"/>
  <c r="Q104"/>
  <c r="U31"/>
  <c r="J104"/>
  <c r="L104"/>
  <c r="P104"/>
  <c r="T104"/>
  <c r="O104"/>
  <c r="S104"/>
  <c r="H31"/>
  <c r="U40"/>
  <c r="H80"/>
  <c r="H81" s="1"/>
  <c r="H21"/>
  <c r="U80" l="1"/>
  <c r="R104"/>
  <c r="U81"/>
  <c r="U21"/>
  <c r="U52"/>
  <c r="I104"/>
  <c r="H82"/>
  <c r="H84" s="1"/>
  <c r="G104" s="1"/>
  <c r="H104" s="1"/>
  <c r="U82" l="1"/>
  <c r="U104" s="1"/>
  <c r="C109" l="1"/>
  <c r="C113" s="1"/>
</calcChain>
</file>

<file path=xl/sharedStrings.xml><?xml version="1.0" encoding="utf-8"?>
<sst xmlns="http://schemas.openxmlformats.org/spreadsheetml/2006/main" count="311" uniqueCount="226">
  <si>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</si>
  <si>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</si>
  <si>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</si>
  <si>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</si>
  <si>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</si>
  <si>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</si>
  <si>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</si>
  <si>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</si>
  <si>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</si>
  <si>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</si>
  <si>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</si>
  <si>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</si>
  <si>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</si>
  <si>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</si>
  <si>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</si>
  <si>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</si>
  <si>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</si>
  <si>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</si>
  <si>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</si>
  <si>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</si>
  <si>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</si>
  <si>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</si>
  <si>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</si>
  <si>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</si>
  <si>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</si>
  <si>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</si>
  <si>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</si>
  <si>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</si>
  <si>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</si>
  <si>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</si>
  <si>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</si>
  <si>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</si>
  <si>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</si>
  <si>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</si>
  <si>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</si>
  <si>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</si>
  <si>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</si>
  <si>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</si>
  <si>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</si>
  <si>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</si>
  <si>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</si>
  <si>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</si>
  <si>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</si>
  <si>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</si>
  <si>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</si>
  <si>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</si>
  <si>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</si>
  <si>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</si>
  <si>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</si>
  <si>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</si>
  <si>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</si>
  <si>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</si>
  <si>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</si>
  <si>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</si>
  <si>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</si>
  <si>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</si>
  <si>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</si>
  <si>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</si>
  <si>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</si>
  <si>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</si>
  <si>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</si>
  <si>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</si>
  <si>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</si>
  <si>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</si>
  <si>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</si>
  <si>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</si>
  <si>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</si>
  <si>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</si>
  <si>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</si>
  <si>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</si>
  <si>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</si>
  <si>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</si>
  <si>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</si>
  <si>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</si>
  <si>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</si>
  <si>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</si>
  <si>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</si>
  <si>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</si>
  <si>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</si>
  <si>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</si>
  <si>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</si>
  <si>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</si>
  <si>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</si>
  <si>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</si>
  <si>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</si>
  <si>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</si>
  <si>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</si>
  <si>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</si>
  <si>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</si>
  <si>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</si>
  <si>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</si>
  <si>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</si>
  <si>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</si>
  <si>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</si>
  <si>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</si>
  <si>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</si>
  <si>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Сдвигание снега в дни снегопада (проезд)</t>
  </si>
  <si>
    <t>24 раза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</si>
  <si>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</si>
  <si>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</si>
  <si>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</si>
  <si>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</si>
  <si>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Влажное подметание лестничных клеток 2-4 этажа</t>
  </si>
  <si>
    <t>Мытье лестничных  площадок и маршей 1-4 этаж.</t>
  </si>
  <si>
    <t>Влажная протирка подоконников</t>
  </si>
  <si>
    <t>Осмотр шиферной кровли</t>
  </si>
  <si>
    <t>Подключение и отключение сварочного аппарата</t>
  </si>
  <si>
    <t>Осмотр деревянных конструкций стропил</t>
  </si>
  <si>
    <t>100 м3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</si>
  <si>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</si>
  <si>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</si>
  <si>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</si>
  <si>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</si>
  <si>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</si>
  <si>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</si>
  <si>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</si>
  <si>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</si>
  <si>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</si>
  <si>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</si>
  <si>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</si>
  <si>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</si>
  <si>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1 м</t>
  </si>
  <si>
    <t>калькуляция</t>
  </si>
  <si>
    <t>Работа автовышки</t>
  </si>
  <si>
    <t>4 этажа, 4 подъезда</t>
  </si>
  <si>
    <t>Стоимость (руб.)</t>
  </si>
  <si>
    <t>договор</t>
  </si>
  <si>
    <t>ТО внутридомового газ.оборудования</t>
  </si>
  <si>
    <t>Выполне ние      май</t>
  </si>
  <si>
    <t>смета</t>
  </si>
  <si>
    <t>Баланс выполненных работ на 01.01.2016 г. ( -долг за предприятием, +долг за населением)</t>
  </si>
  <si>
    <t>1 шт</t>
  </si>
  <si>
    <t>1 мЗ</t>
  </si>
  <si>
    <t>Начислено за содержание и текущий ремонт за 2016  г.</t>
  </si>
  <si>
    <t>Выполнено работ по текущему ремонту за 2016 г.</t>
  </si>
  <si>
    <t>Фактически оплачено за 2016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</si>
  <si>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</si>
  <si>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Внеплановый осмотр электросетей, армазуры и электрооборудования на лестничных клетках</t>
  </si>
  <si>
    <t>Выполнено работ по содержанию за 2016 г.</t>
  </si>
  <si>
    <t>100шт</t>
  </si>
  <si>
    <t>Внеплановый осмотр вводных электрических щитков</t>
  </si>
  <si>
    <t xml:space="preserve">Погрузка травы, ветвей </t>
  </si>
  <si>
    <t xml:space="preserve"> - Подметание территории с усовершенствованным покрытием асф.: крыльца, контейнерн пл., проезд, тротуар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</si>
  <si>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</si>
  <si>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</si>
  <si>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</si>
  <si>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</si>
  <si>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Прочистка засоров ГВС, XВC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</si>
  <si>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</si>
  <si>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</si>
  <si>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</si>
  <si>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</si>
  <si>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</si>
  <si>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</si>
  <si>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</si>
  <si>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</si>
  <si>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</si>
  <si>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</si>
  <si>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</si>
  <si>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</si>
  <si>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</si>
  <si>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</si>
  <si>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</si>
  <si>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</si>
  <si>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</si>
  <si>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</si>
  <si>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</si>
  <si>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</si>
  <si>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</si>
  <si>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</si>
  <si>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</si>
  <si>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</si>
  <si>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</si>
  <si>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</si>
  <si>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</si>
  <si>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</si>
  <si>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</si>
  <si>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</si>
  <si>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</si>
  <si>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</si>
  <si>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</si>
  <si>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</si>
  <si>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</si>
  <si>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</si>
  <si>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</si>
  <si>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</si>
  <si>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</si>
  <si>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33-030</t>
  </si>
  <si>
    <t>ТЕР 2-1-1б</t>
  </si>
  <si>
    <t>ТЕР 32-101</t>
  </si>
  <si>
    <t>156 раз в год</t>
  </si>
  <si>
    <t>104 раза в год</t>
  </si>
  <si>
    <t xml:space="preserve">24 раза в год </t>
  </si>
  <si>
    <t xml:space="preserve"> - Уборка газонов, грунта</t>
  </si>
  <si>
    <t>52 раза в сезон</t>
  </si>
  <si>
    <t>78 раз за сезон</t>
  </si>
  <si>
    <t>24 раз за сезон</t>
  </si>
  <si>
    <t xml:space="preserve">Подметание снега с вход.площадок, конт. площадок </t>
  </si>
  <si>
    <t>18 раз за сезон</t>
  </si>
  <si>
    <t>1 раз в месяц (5 раз за год)</t>
  </si>
  <si>
    <t>ТО внутренних сетей водопровода и канализации</t>
  </si>
  <si>
    <t>руб/м2 в мес</t>
  </si>
  <si>
    <t>пр.ТЕР 33-024</t>
  </si>
  <si>
    <t>1 шт.</t>
  </si>
  <si>
    <t>Смена светодиодных светильников в.о.</t>
  </si>
  <si>
    <t>счёт</t>
  </si>
  <si>
    <t>Стоимость светодиодного светильника</t>
  </si>
  <si>
    <t>руб.</t>
  </si>
  <si>
    <t>ТЕР 11-012</t>
  </si>
  <si>
    <t>Водоотлив из подвала электрическими (механическими) насосами (100 м3 воды)</t>
  </si>
  <si>
    <t>10 м3</t>
  </si>
  <si>
    <t>Устройство подстилающих слоев щебеночных</t>
  </si>
  <si>
    <t>ТЕР 11-01-002-4</t>
  </si>
  <si>
    <t>Смена арматуры - вентилей и клапанов обратных муфтовых диаметром до 20 мм</t>
  </si>
  <si>
    <t>ТЕР 32-027</t>
  </si>
  <si>
    <t>ТЕР 33-060</t>
  </si>
  <si>
    <t>Смена трубопроводов на полипропиленовые трубы PN20 диаметром 20мм</t>
  </si>
  <si>
    <t>Смена трубопроводов на полипропиленовые трубы PN20 диаметром 25мм</t>
  </si>
  <si>
    <t>пр.ТЕР 31-009</t>
  </si>
  <si>
    <t xml:space="preserve">Смена сосков у трубопроводов диаметром до 20 мм 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</si>
  <si>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</si>
  <si>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</si>
  <si>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Дезинфекция подвала</t>
  </si>
  <si>
    <t>пр.ТЕР 32-098</t>
  </si>
  <si>
    <t>Устройство хомута диаметром до 50 мм</t>
  </si>
  <si>
    <t>место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</si>
</sst>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13" borderId="3" xfId="0" applyNumberFormat="1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5" borderId="21" xfId="0" applyFont="1" applyFill="1" applyBorder="1"/>
    <xf numFmtId="0" fontId="1" fillId="4" borderId="22" xfId="0" applyFont="1" applyFill="1" applyBorder="1" applyAlignment="1">
      <alignment horizontal="center" vertical="center"/>
    </xf>
    <xf numFmtId="0" fontId="1" fillId="0" borderId="3" xfId="0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7"/>
  <sheetViews>
    <sheetView tabSelected="1" view="pageBreakPreview" zoomScaleNormal="75" zoomScaleSheetLayoutView="100" workbookViewId="0">
      <pane ySplit="7" topLeftCell="A8" activePane="bottomLeft" state="frozen"/>
      <selection activeCell="B1" sqref="B1"/>
      <selection pane="bottomLeft" activeCell="U112" sqref="U11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5" width="9.85546875" customWidth="1"/>
    <col min="6" max="8" width="10.140625" customWidth="1"/>
    <col min="9" max="17" width="9.85546875" hidden="1" customWidth="1"/>
    <col min="18" max="20" width="9.85546875" customWidth="1"/>
    <col min="21" max="21" width="12.28515625" customWidth="1"/>
    <col min="22" max="26" width="9.140625" style="155"/>
  </cols>
  <sheetData>
    <row r="1" spans="1:21" ht="14.25" customHeight="1">
      <c r="A1" s="146"/>
    </row>
    <row r="3" spans="1:21" ht="18">
      <c r="A3" s="124"/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71"/>
      <c r="N3" s="71"/>
      <c r="O3" s="71"/>
      <c r="P3" s="71"/>
      <c r="Q3" s="71"/>
      <c r="R3" s="71"/>
      <c r="S3" s="71"/>
      <c r="T3" s="71"/>
      <c r="U3" s="71"/>
    </row>
    <row r="4" spans="1:21" ht="33" customHeight="1">
      <c r="A4" s="71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71"/>
      <c r="N4" s="71"/>
      <c r="O4" s="71"/>
      <c r="P4" s="71"/>
      <c r="Q4" s="71"/>
      <c r="R4" s="71"/>
      <c r="S4" s="71"/>
      <c r="T4" s="71"/>
      <c r="U4" s="71"/>
    </row>
    <row r="5" spans="1:21" ht="18">
      <c r="A5" s="71"/>
      <c r="B5" s="163" t="s">
        <v>136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71"/>
      <c r="N5" s="71"/>
      <c r="O5" s="71"/>
      <c r="P5" s="71"/>
      <c r="Q5" s="71"/>
      <c r="R5" s="71"/>
      <c r="S5" s="71"/>
      <c r="T5" s="71"/>
      <c r="U5" s="71"/>
    </row>
    <row r="6" spans="1:21" ht="14.25">
      <c r="A6" s="71"/>
      <c r="B6" s="164" t="s">
        <v>124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71"/>
      <c r="N6" s="71"/>
      <c r="O6" s="71"/>
      <c r="P6" s="71"/>
      <c r="Q6" s="71"/>
      <c r="R6" s="71"/>
      <c r="S6" s="71"/>
      <c r="T6" s="71"/>
      <c r="U6" s="71"/>
    </row>
    <row r="7" spans="1:21" ht="54.75" customHeight="1">
      <c r="A7" s="134" t="s">
        <v>2</v>
      </c>
      <c r="B7" s="135" t="s">
        <v>3</v>
      </c>
      <c r="C7" s="135" t="s">
        <v>4</v>
      </c>
      <c r="D7" s="135" t="s">
        <v>5</v>
      </c>
      <c r="E7" s="135" t="s">
        <v>6</v>
      </c>
      <c r="F7" s="135" t="s">
        <v>7</v>
      </c>
      <c r="G7" s="135" t="s">
        <v>8</v>
      </c>
      <c r="H7" s="136" t="s">
        <v>9</v>
      </c>
      <c r="I7" s="27" t="s">
        <v>109</v>
      </c>
      <c r="J7" s="27" t="s">
        <v>110</v>
      </c>
      <c r="K7" s="27" t="s">
        <v>111</v>
      </c>
      <c r="L7" s="27" t="s">
        <v>112</v>
      </c>
      <c r="M7" s="27" t="s">
        <v>128</v>
      </c>
      <c r="N7" s="27" t="s">
        <v>113</v>
      </c>
      <c r="O7" s="27" t="s">
        <v>114</v>
      </c>
      <c r="P7" s="27" t="s">
        <v>115</v>
      </c>
      <c r="Q7" s="27" t="s">
        <v>116</v>
      </c>
      <c r="R7" s="27" t="s">
        <v>117</v>
      </c>
      <c r="S7" s="27" t="s">
        <v>118</v>
      </c>
      <c r="T7" s="27" t="s">
        <v>119</v>
      </c>
      <c r="U7" s="27" t="s">
        <v>125</v>
      </c>
    </row>
    <row r="8" spans="1:21">
      <c r="A8" s="137">
        <v>1</v>
      </c>
      <c r="B8" s="7">
        <v>2</v>
      </c>
      <c r="C8" s="28">
        <v>3</v>
      </c>
      <c r="D8" s="7">
        <v>4</v>
      </c>
      <c r="E8" s="7">
        <v>5</v>
      </c>
      <c r="F8" s="28">
        <v>6</v>
      </c>
      <c r="G8" s="28">
        <v>7</v>
      </c>
      <c r="H8" s="29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9</v>
      </c>
      <c r="S8" s="30">
        <v>10</v>
      </c>
      <c r="T8" s="30">
        <v>11</v>
      </c>
      <c r="U8" s="30">
        <v>12</v>
      </c>
    </row>
    <row r="9" spans="1:21" ht="38.25">
      <c r="A9" s="137"/>
      <c r="B9" s="9" t="s">
        <v>10</v>
      </c>
      <c r="C9" s="28"/>
      <c r="D9" s="10"/>
      <c r="E9" s="10"/>
      <c r="F9" s="28"/>
      <c r="G9" s="28"/>
      <c r="H9" s="31"/>
      <c r="I9" s="32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</row>
    <row r="10" spans="1:21">
      <c r="A10" s="137"/>
      <c r="B10" s="9" t="s">
        <v>11</v>
      </c>
      <c r="C10" s="28"/>
      <c r="D10" s="10"/>
      <c r="E10" s="10"/>
      <c r="F10" s="28"/>
      <c r="G10" s="28"/>
      <c r="H10" s="31"/>
      <c r="I10" s="32"/>
      <c r="J10" s="32"/>
      <c r="K10" s="32"/>
      <c r="L10" s="32"/>
      <c r="M10" s="33"/>
      <c r="N10" s="34"/>
      <c r="O10" s="34"/>
      <c r="P10" s="34"/>
      <c r="Q10" s="34"/>
      <c r="R10" s="34"/>
      <c r="S10" s="34"/>
      <c r="T10" s="34"/>
      <c r="U10" s="34"/>
    </row>
    <row r="11" spans="1:21" ht="12.75" customHeight="1">
      <c r="A11" s="137" t="s">
        <v>149</v>
      </c>
      <c r="B11" s="10" t="s">
        <v>12</v>
      </c>
      <c r="C11" s="28" t="s">
        <v>13</v>
      </c>
      <c r="D11" s="10" t="s">
        <v>190</v>
      </c>
      <c r="E11" s="35">
        <v>70.900000000000006</v>
      </c>
      <c r="F11" s="36">
        <f>SUM(E11*156/100)</f>
        <v>110.60400000000001</v>
      </c>
      <c r="G11" s="36">
        <v>218.21</v>
      </c>
      <c r="H11" s="37">
        <f t="shared" ref="H11:H20" si="0">SUM(F11*G11/1000)</f>
        <v>24.134898840000005</v>
      </c>
      <c r="I11" s="38">
        <f>F11/12*G11</f>
        <v>2011.2415700000001</v>
      </c>
      <c r="J11" s="38">
        <f>F11/12*G11</f>
        <v>2011.2415700000001</v>
      </c>
      <c r="K11" s="38">
        <f>F11/12*G11</f>
        <v>2011.2415700000001</v>
      </c>
      <c r="L11" s="38">
        <f>F11/12*G11</f>
        <v>2011.2415700000001</v>
      </c>
      <c r="M11" s="38">
        <f>F11/12*G11</f>
        <v>2011.2415700000001</v>
      </c>
      <c r="N11" s="38">
        <f>F11/12*G11</f>
        <v>2011.2415700000001</v>
      </c>
      <c r="O11" s="38">
        <f>F11/12*G11</f>
        <v>2011.2415700000001</v>
      </c>
      <c r="P11" s="38">
        <f>F11/12*G11</f>
        <v>2011.2415700000001</v>
      </c>
      <c r="Q11" s="38">
        <f>F11/12*G11</f>
        <v>2011.2415700000001</v>
      </c>
      <c r="R11" s="38">
        <f>F11/12*G11</f>
        <v>2011.2415700000001</v>
      </c>
      <c r="S11" s="38">
        <f>F11/12*G11</f>
        <v>2011.2415700000001</v>
      </c>
      <c r="T11" s="38">
        <f>F11/12*G11</f>
        <v>2011.2415700000001</v>
      </c>
      <c r="U11" s="38">
        <f>SUM(R11:T11)</f>
        <v>6033.7247100000004</v>
      </c>
    </row>
    <row r="12" spans="1:21" ht="25.5">
      <c r="A12" s="137" t="s">
        <v>149</v>
      </c>
      <c r="B12" s="10" t="s">
        <v>102</v>
      </c>
      <c r="C12" s="28" t="s">
        <v>13</v>
      </c>
      <c r="D12" s="10" t="s">
        <v>191</v>
      </c>
      <c r="E12" s="35">
        <v>212.7</v>
      </c>
      <c r="F12" s="36">
        <f>SUM(E12*104/100)</f>
        <v>221.208</v>
      </c>
      <c r="G12" s="36">
        <v>218.21</v>
      </c>
      <c r="H12" s="37">
        <f t="shared" si="0"/>
        <v>48.269797680000003</v>
      </c>
      <c r="I12" s="38">
        <f>F12/12*G12</f>
        <v>4022.4831400000003</v>
      </c>
      <c r="J12" s="38">
        <f>F12/12*G12</f>
        <v>4022.4831400000003</v>
      </c>
      <c r="K12" s="38">
        <f>F12/12*G12</f>
        <v>4022.4831400000003</v>
      </c>
      <c r="L12" s="38">
        <f>F12/12*G12</f>
        <v>4022.4831400000003</v>
      </c>
      <c r="M12" s="38">
        <f>F12/12*G12</f>
        <v>4022.4831400000003</v>
      </c>
      <c r="N12" s="38">
        <f>F12/12*G12</f>
        <v>4022.4831400000003</v>
      </c>
      <c r="O12" s="38">
        <f>F12/12*G12</f>
        <v>4022.4831400000003</v>
      </c>
      <c r="P12" s="38">
        <f>F12/12*G12</f>
        <v>4022.4831400000003</v>
      </c>
      <c r="Q12" s="38">
        <f>F12/12*G12</f>
        <v>4022.4831400000003</v>
      </c>
      <c r="R12" s="38">
        <f>F12/12*G12</f>
        <v>4022.4831400000003</v>
      </c>
      <c r="S12" s="38">
        <f>F12/12*G12</f>
        <v>4022.4831400000003</v>
      </c>
      <c r="T12" s="38">
        <f>F12/12*G12</f>
        <v>4022.4831400000003</v>
      </c>
      <c r="U12" s="38">
        <f t="shared" ref="U12:U20" si="1">SUM(R12:T12)</f>
        <v>12067.449420000001</v>
      </c>
    </row>
    <row r="13" spans="1:21" ht="25.5">
      <c r="A13" s="137" t="s">
        <v>150</v>
      </c>
      <c r="B13" s="10" t="s">
        <v>103</v>
      </c>
      <c r="C13" s="28" t="s">
        <v>13</v>
      </c>
      <c r="D13" s="10" t="s">
        <v>192</v>
      </c>
      <c r="E13" s="35">
        <f>SUM(E11+E12)</f>
        <v>283.60000000000002</v>
      </c>
      <c r="F13" s="36">
        <f>SUM(E13*24/100)</f>
        <v>68.064000000000007</v>
      </c>
      <c r="G13" s="36">
        <v>627.77</v>
      </c>
      <c r="H13" s="37">
        <f t="shared" si="0"/>
        <v>42.728537280000005</v>
      </c>
      <c r="I13" s="38">
        <f>F13/12*G13</f>
        <v>3560.7114400000005</v>
      </c>
      <c r="J13" s="38">
        <f>F13/12*G13</f>
        <v>3560.7114400000005</v>
      </c>
      <c r="K13" s="38">
        <f>F13/12*G13</f>
        <v>3560.7114400000005</v>
      </c>
      <c r="L13" s="38">
        <f>F13/12*G13</f>
        <v>3560.7114400000005</v>
      </c>
      <c r="M13" s="38">
        <f>F13/12*G13</f>
        <v>3560.7114400000005</v>
      </c>
      <c r="N13" s="38">
        <f>F13/12*G13</f>
        <v>3560.7114400000005</v>
      </c>
      <c r="O13" s="38">
        <f>F13/12*G13</f>
        <v>3560.7114400000005</v>
      </c>
      <c r="P13" s="38">
        <f>F13/12*G13</f>
        <v>3560.7114400000005</v>
      </c>
      <c r="Q13" s="38">
        <f>F13/12*G13</f>
        <v>3560.7114400000005</v>
      </c>
      <c r="R13" s="38">
        <f>F13/12*G13</f>
        <v>3560.7114400000005</v>
      </c>
      <c r="S13" s="38">
        <f>F13/12*G13</f>
        <v>3560.7114400000005</v>
      </c>
      <c r="T13" s="38">
        <f>F13/12*G13</f>
        <v>3560.7114400000005</v>
      </c>
      <c r="U13" s="38">
        <f t="shared" si="1"/>
        <v>10682.134320000001</v>
      </c>
    </row>
    <row r="14" spans="1:21">
      <c r="A14" s="137" t="s">
        <v>151</v>
      </c>
      <c r="B14" s="10" t="s">
        <v>14</v>
      </c>
      <c r="C14" s="28" t="s">
        <v>15</v>
      </c>
      <c r="D14" s="10" t="s">
        <v>89</v>
      </c>
      <c r="E14" s="35">
        <v>40</v>
      </c>
      <c r="F14" s="36">
        <f>SUM(E14/10)</f>
        <v>4</v>
      </c>
      <c r="G14" s="36">
        <v>211.74</v>
      </c>
      <c r="H14" s="37">
        <f t="shared" si="0"/>
        <v>0.84696000000000005</v>
      </c>
      <c r="I14" s="38">
        <v>0</v>
      </c>
      <c r="J14" s="38">
        <v>0</v>
      </c>
      <c r="K14" s="38">
        <v>0</v>
      </c>
      <c r="L14" s="38">
        <v>0</v>
      </c>
      <c r="M14" s="38">
        <f>F14/2*G14</f>
        <v>423.48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"/>
        <v>0</v>
      </c>
    </row>
    <row r="15" spans="1:21">
      <c r="A15" s="137" t="s">
        <v>152</v>
      </c>
      <c r="B15" s="10" t="s">
        <v>16</v>
      </c>
      <c r="C15" s="28" t="s">
        <v>13</v>
      </c>
      <c r="D15" s="10" t="s">
        <v>44</v>
      </c>
      <c r="E15" s="35">
        <v>10.5</v>
      </c>
      <c r="F15" s="36">
        <f>SUM(E15*2/100)</f>
        <v>0.21</v>
      </c>
      <c r="G15" s="36">
        <v>271.12</v>
      </c>
      <c r="H15" s="37">
        <f t="shared" si="0"/>
        <v>5.6935200000000005E-2</v>
      </c>
      <c r="I15" s="38">
        <v>0</v>
      </c>
      <c r="J15" s="38">
        <v>0</v>
      </c>
      <c r="K15" s="38">
        <v>0</v>
      </c>
      <c r="L15" s="38">
        <v>0</v>
      </c>
      <c r="M15" s="38">
        <f t="shared" ref="M15:M20" si="2">F15*G15</f>
        <v>56.935200000000002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f t="shared" si="1"/>
        <v>0</v>
      </c>
    </row>
    <row r="16" spans="1:21">
      <c r="A16" s="137" t="s">
        <v>153</v>
      </c>
      <c r="B16" s="10" t="s">
        <v>17</v>
      </c>
      <c r="C16" s="28" t="s">
        <v>13</v>
      </c>
      <c r="D16" s="10" t="s">
        <v>44</v>
      </c>
      <c r="E16" s="35">
        <v>2.7</v>
      </c>
      <c r="F16" s="36">
        <f>SUM(E16*2/100)</f>
        <v>5.4000000000000006E-2</v>
      </c>
      <c r="G16" s="36">
        <v>268.92</v>
      </c>
      <c r="H16" s="37">
        <f t="shared" si="0"/>
        <v>1.4521680000000002E-2</v>
      </c>
      <c r="I16" s="38">
        <v>0</v>
      </c>
      <c r="J16" s="38">
        <v>0</v>
      </c>
      <c r="K16" s="38">
        <v>0</v>
      </c>
      <c r="L16" s="38">
        <v>0</v>
      </c>
      <c r="M16" s="38">
        <f>F16*G16</f>
        <v>14.521680000000002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f t="shared" si="1"/>
        <v>0</v>
      </c>
    </row>
    <row r="17" spans="1:26">
      <c r="A17" s="137" t="s">
        <v>154</v>
      </c>
      <c r="B17" s="10" t="s">
        <v>18</v>
      </c>
      <c r="C17" s="28" t="s">
        <v>19</v>
      </c>
      <c r="D17" s="10" t="s">
        <v>89</v>
      </c>
      <c r="E17" s="35">
        <v>357</v>
      </c>
      <c r="F17" s="36">
        <f t="shared" ref="F17:F20" si="3">SUM(E17/100)</f>
        <v>3.57</v>
      </c>
      <c r="G17" s="36">
        <v>335.05</v>
      </c>
      <c r="H17" s="37">
        <f t="shared" si="0"/>
        <v>1.1961284999999999</v>
      </c>
      <c r="I17" s="38">
        <v>0</v>
      </c>
      <c r="J17" s="38">
        <v>0</v>
      </c>
      <c r="K17" s="38">
        <v>0</v>
      </c>
      <c r="L17" s="38">
        <v>0</v>
      </c>
      <c r="M17" s="38">
        <f t="shared" si="2"/>
        <v>1196.1285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"/>
        <v>0</v>
      </c>
    </row>
    <row r="18" spans="1:26">
      <c r="A18" s="137" t="s">
        <v>155</v>
      </c>
      <c r="B18" s="10" t="s">
        <v>20</v>
      </c>
      <c r="C18" s="28" t="s">
        <v>19</v>
      </c>
      <c r="D18" s="10" t="s">
        <v>89</v>
      </c>
      <c r="E18" s="40">
        <v>38.64</v>
      </c>
      <c r="F18" s="36">
        <f t="shared" si="3"/>
        <v>0.38640000000000002</v>
      </c>
      <c r="G18" s="36">
        <v>55.1</v>
      </c>
      <c r="H18" s="37">
        <f t="shared" si="0"/>
        <v>2.1290640000000003E-2</v>
      </c>
      <c r="I18" s="38">
        <v>0</v>
      </c>
      <c r="J18" s="38">
        <v>0</v>
      </c>
      <c r="K18" s="38">
        <v>0</v>
      </c>
      <c r="L18" s="38">
        <v>0</v>
      </c>
      <c r="M18" s="38">
        <f t="shared" si="2"/>
        <v>21.290640000000003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"/>
        <v>0</v>
      </c>
    </row>
    <row r="19" spans="1:26">
      <c r="A19" s="137" t="s">
        <v>156</v>
      </c>
      <c r="B19" s="10" t="s">
        <v>104</v>
      </c>
      <c r="C19" s="28" t="s">
        <v>19</v>
      </c>
      <c r="D19" s="41" t="s">
        <v>89</v>
      </c>
      <c r="E19" s="42">
        <v>15</v>
      </c>
      <c r="F19" s="43">
        <f t="shared" si="3"/>
        <v>0.15</v>
      </c>
      <c r="G19" s="36">
        <v>484.94</v>
      </c>
      <c r="H19" s="37">
        <f t="shared" si="0"/>
        <v>7.2741E-2</v>
      </c>
      <c r="I19" s="38">
        <v>0</v>
      </c>
      <c r="J19" s="38">
        <v>0</v>
      </c>
      <c r="K19" s="38">
        <v>0</v>
      </c>
      <c r="L19" s="38">
        <v>0</v>
      </c>
      <c r="M19" s="38">
        <f t="shared" si="2"/>
        <v>72.741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si="1"/>
        <v>0</v>
      </c>
    </row>
    <row r="20" spans="1:26">
      <c r="A20" s="137" t="s">
        <v>157</v>
      </c>
      <c r="B20" s="10" t="s">
        <v>21</v>
      </c>
      <c r="C20" s="28" t="s">
        <v>19</v>
      </c>
      <c r="D20" s="10" t="s">
        <v>89</v>
      </c>
      <c r="E20" s="44">
        <v>6.38</v>
      </c>
      <c r="F20" s="36">
        <f t="shared" si="3"/>
        <v>6.3799999999999996E-2</v>
      </c>
      <c r="G20" s="36">
        <v>684.05</v>
      </c>
      <c r="H20" s="37">
        <f t="shared" si="0"/>
        <v>4.3642389999999989E-2</v>
      </c>
      <c r="I20" s="38">
        <v>0</v>
      </c>
      <c r="J20" s="38">
        <v>0</v>
      </c>
      <c r="K20" s="38">
        <v>0</v>
      </c>
      <c r="L20" s="38">
        <v>0</v>
      </c>
      <c r="M20" s="38">
        <f t="shared" si="2"/>
        <v>43.642389999999992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"/>
        <v>0</v>
      </c>
    </row>
    <row r="21" spans="1:26" s="18" customFormat="1">
      <c r="A21" s="138"/>
      <c r="B21" s="19" t="s">
        <v>22</v>
      </c>
      <c r="C21" s="45"/>
      <c r="D21" s="19"/>
      <c r="E21" s="46"/>
      <c r="F21" s="47"/>
      <c r="G21" s="47"/>
      <c r="H21" s="48">
        <f>SUM(H11:H20)</f>
        <v>117.38545321000002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f>SUM(U11:U20)</f>
        <v>28783.30845</v>
      </c>
      <c r="V21" s="155"/>
      <c r="W21" s="155"/>
      <c r="X21" s="155"/>
      <c r="Y21" s="155"/>
      <c r="Z21" s="155"/>
    </row>
    <row r="22" spans="1:26">
      <c r="A22" s="137"/>
      <c r="B22" s="11" t="s">
        <v>23</v>
      </c>
      <c r="C22" s="28"/>
      <c r="D22" s="10"/>
      <c r="E22" s="35"/>
      <c r="F22" s="36"/>
      <c r="G22" s="36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6" ht="12.75" customHeight="1">
      <c r="A23" s="137" t="s">
        <v>158</v>
      </c>
      <c r="B23" s="10" t="s">
        <v>193</v>
      </c>
      <c r="C23" s="28" t="s">
        <v>24</v>
      </c>
      <c r="D23" s="10" t="s">
        <v>194</v>
      </c>
      <c r="E23" s="36">
        <v>65.099999999999994</v>
      </c>
      <c r="F23" s="36">
        <f>SUM(E23*52/1000)</f>
        <v>3.3851999999999998</v>
      </c>
      <c r="G23" s="36">
        <v>193.97</v>
      </c>
      <c r="H23" s="37">
        <f t="shared" ref="H23:H30" si="4">SUM(F23*G23/1000)</f>
        <v>0.65662724399999994</v>
      </c>
      <c r="I23" s="38">
        <v>0</v>
      </c>
      <c r="J23" s="38">
        <v>0</v>
      </c>
      <c r="K23" s="38">
        <v>0</v>
      </c>
      <c r="L23" s="38">
        <v>0</v>
      </c>
      <c r="M23" s="38">
        <f>F23/6*G23</f>
        <v>109.43787399999998</v>
      </c>
      <c r="N23" s="38">
        <f>F23/6*G23</f>
        <v>109.43787399999998</v>
      </c>
      <c r="O23" s="38">
        <f>F23/6*G23</f>
        <v>109.43787399999998</v>
      </c>
      <c r="P23" s="38">
        <f>F23/6*G23</f>
        <v>109.43787399999998</v>
      </c>
      <c r="Q23" s="38">
        <f>F23/6*G23</f>
        <v>109.43787399999998</v>
      </c>
      <c r="R23" s="38">
        <f>F23/6*G23</f>
        <v>109.43787399999998</v>
      </c>
      <c r="S23" s="38">
        <v>0</v>
      </c>
      <c r="T23" s="38">
        <v>0</v>
      </c>
      <c r="U23" s="38">
        <f>SUM(R23:T23)</f>
        <v>109.43787399999998</v>
      </c>
    </row>
    <row r="24" spans="1:26" ht="38.25" customHeight="1">
      <c r="A24" s="137" t="s">
        <v>159</v>
      </c>
      <c r="B24" s="10" t="s">
        <v>142</v>
      </c>
      <c r="C24" s="28" t="s">
        <v>24</v>
      </c>
      <c r="D24" s="10" t="s">
        <v>195</v>
      </c>
      <c r="E24" s="36">
        <v>65.099999999999994</v>
      </c>
      <c r="F24" s="36">
        <f>SUM(E24*78/1000)</f>
        <v>5.077799999999999</v>
      </c>
      <c r="G24" s="36">
        <v>321.82</v>
      </c>
      <c r="H24" s="37">
        <f t="shared" si="4"/>
        <v>1.6341375959999995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272.35626599999995</v>
      </c>
      <c r="N24" s="38">
        <f>F24/6*G24</f>
        <v>272.35626599999995</v>
      </c>
      <c r="O24" s="38">
        <f>F24/6*G24</f>
        <v>272.35626599999995</v>
      </c>
      <c r="P24" s="38">
        <f>F24/6*G24</f>
        <v>272.35626599999995</v>
      </c>
      <c r="Q24" s="38">
        <f>F24/6*G24</f>
        <v>272.35626599999995</v>
      </c>
      <c r="R24" s="38">
        <f>F24/6*G24</f>
        <v>272.35626599999995</v>
      </c>
      <c r="S24" s="38">
        <v>0</v>
      </c>
      <c r="T24" s="38">
        <v>0</v>
      </c>
      <c r="U24" s="38">
        <f t="shared" ref="U24:U30" si="5">SUM(R24:T24)</f>
        <v>272.35626599999995</v>
      </c>
    </row>
    <row r="25" spans="1:26">
      <c r="A25" s="137" t="s">
        <v>160</v>
      </c>
      <c r="B25" s="10" t="s">
        <v>25</v>
      </c>
      <c r="C25" s="28" t="s">
        <v>24</v>
      </c>
      <c r="D25" s="10" t="s">
        <v>26</v>
      </c>
      <c r="E25" s="36">
        <v>65.099999999999994</v>
      </c>
      <c r="F25" s="36">
        <f>SUM(E25/1000)</f>
        <v>6.5099999999999991E-2</v>
      </c>
      <c r="G25" s="36">
        <v>3758.28</v>
      </c>
      <c r="H25" s="37">
        <f t="shared" si="4"/>
        <v>0.24466402799999998</v>
      </c>
      <c r="I25" s="38">
        <v>0</v>
      </c>
      <c r="J25" s="38">
        <v>0</v>
      </c>
      <c r="K25" s="38">
        <v>0</v>
      </c>
      <c r="L25" s="38">
        <v>0</v>
      </c>
      <c r="M25" s="38">
        <f>F25*G25</f>
        <v>244.66402799999997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f t="shared" si="5"/>
        <v>0</v>
      </c>
    </row>
    <row r="26" spans="1:26">
      <c r="A26" s="137" t="s">
        <v>161</v>
      </c>
      <c r="B26" s="10" t="s">
        <v>27</v>
      </c>
      <c r="C26" s="28" t="s">
        <v>28</v>
      </c>
      <c r="D26" s="10" t="s">
        <v>29</v>
      </c>
      <c r="E26" s="51">
        <f>1/6</f>
        <v>0.16666666666666666</v>
      </c>
      <c r="F26" s="36">
        <f>155/6</f>
        <v>25.833333333333332</v>
      </c>
      <c r="G26" s="36">
        <v>70.540000000000006</v>
      </c>
      <c r="H26" s="37">
        <f>SUM(G26*155/6/1000)</f>
        <v>1.8222833333333335</v>
      </c>
      <c r="I26" s="38">
        <v>0</v>
      </c>
      <c r="J26" s="38">
        <v>0</v>
      </c>
      <c r="K26" s="38">
        <v>0</v>
      </c>
      <c r="L26" s="38">
        <v>0</v>
      </c>
      <c r="M26" s="38">
        <f>F26/6*G26</f>
        <v>303.7138888888889</v>
      </c>
      <c r="N26" s="38">
        <f>F26/6*G26</f>
        <v>303.7138888888889</v>
      </c>
      <c r="O26" s="38">
        <f>F26/6*G26</f>
        <v>303.7138888888889</v>
      </c>
      <c r="P26" s="38">
        <f>F26/6*G26</f>
        <v>303.7138888888889</v>
      </c>
      <c r="Q26" s="38">
        <f>F26/6*G26</f>
        <v>303.7138888888889</v>
      </c>
      <c r="R26" s="38">
        <f>F26/6*G26</f>
        <v>303.7138888888889</v>
      </c>
      <c r="S26" s="38">
        <v>0</v>
      </c>
      <c r="T26" s="38">
        <v>0</v>
      </c>
      <c r="U26" s="38">
        <f t="shared" si="5"/>
        <v>303.7138888888889</v>
      </c>
    </row>
    <row r="27" spans="1:26" ht="12.75" customHeight="1">
      <c r="A27" s="137" t="s">
        <v>162</v>
      </c>
      <c r="B27" s="10" t="s">
        <v>30</v>
      </c>
      <c r="C27" s="28" t="s">
        <v>31</v>
      </c>
      <c r="D27" s="10" t="s">
        <v>32</v>
      </c>
      <c r="E27" s="52">
        <v>0.05</v>
      </c>
      <c r="F27" s="36">
        <f>SUM(E27*365)</f>
        <v>18.25</v>
      </c>
      <c r="G27" s="36">
        <v>182.96</v>
      </c>
      <c r="H27" s="37">
        <f t="shared" si="4"/>
        <v>3.3390200000000001</v>
      </c>
      <c r="I27" s="38">
        <f>F27/12*G27</f>
        <v>278.25166666666667</v>
      </c>
      <c r="J27" s="38">
        <f>F27/12*G27</f>
        <v>278.25166666666667</v>
      </c>
      <c r="K27" s="38">
        <f>F27/12*G27</f>
        <v>278.25166666666667</v>
      </c>
      <c r="L27" s="38">
        <f>F27/12*G27</f>
        <v>278.25166666666667</v>
      </c>
      <c r="M27" s="38">
        <f>F27/12*G27</f>
        <v>278.25166666666667</v>
      </c>
      <c r="N27" s="38">
        <f>F27/12*G27</f>
        <v>278.25166666666667</v>
      </c>
      <c r="O27" s="38">
        <f>F27/12*G27</f>
        <v>278.25166666666667</v>
      </c>
      <c r="P27" s="38">
        <f>F27/12*G27</f>
        <v>278.25166666666667</v>
      </c>
      <c r="Q27" s="38">
        <f>F27/12*G27</f>
        <v>278.25166666666667</v>
      </c>
      <c r="R27" s="38">
        <f>F27/12*G27</f>
        <v>278.25166666666667</v>
      </c>
      <c r="S27" s="38">
        <f>F27/12*G27</f>
        <v>278.25166666666667</v>
      </c>
      <c r="T27" s="38">
        <f>F27/12*G27</f>
        <v>278.25166666666667</v>
      </c>
      <c r="U27" s="38">
        <f t="shared" si="5"/>
        <v>834.755</v>
      </c>
    </row>
    <row r="28" spans="1:26" ht="12.75" customHeight="1">
      <c r="A28" s="137" t="s">
        <v>163</v>
      </c>
      <c r="B28" s="10" t="s">
        <v>141</v>
      </c>
      <c r="C28" s="28" t="s">
        <v>31</v>
      </c>
      <c r="D28" s="10" t="s">
        <v>33</v>
      </c>
      <c r="E28" s="35"/>
      <c r="F28" s="36">
        <v>1</v>
      </c>
      <c r="G28" s="36">
        <v>238.07</v>
      </c>
      <c r="H28" s="37">
        <f t="shared" si="4"/>
        <v>0.23807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f t="shared" si="5"/>
        <v>0</v>
      </c>
    </row>
    <row r="29" spans="1:26" ht="12.75" customHeight="1">
      <c r="A29" s="137" t="s">
        <v>122</v>
      </c>
      <c r="B29" s="10" t="s">
        <v>34</v>
      </c>
      <c r="C29" s="28" t="s">
        <v>35</v>
      </c>
      <c r="D29" s="10" t="s">
        <v>33</v>
      </c>
      <c r="E29" s="35"/>
      <c r="F29" s="36">
        <v>1</v>
      </c>
      <c r="G29" s="36">
        <v>1413.96</v>
      </c>
      <c r="H29" s="37">
        <f t="shared" si="4"/>
        <v>1.4139600000000001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f t="shared" si="5"/>
        <v>0</v>
      </c>
    </row>
    <row r="30" spans="1:26">
      <c r="A30" s="137"/>
      <c r="B30" s="53" t="s">
        <v>36</v>
      </c>
      <c r="C30" s="28" t="s">
        <v>37</v>
      </c>
      <c r="D30" s="53" t="s">
        <v>38</v>
      </c>
      <c r="E30" s="35">
        <v>2549.5</v>
      </c>
      <c r="F30" s="36">
        <f>SUM(E30*12)</f>
        <v>30594</v>
      </c>
      <c r="G30" s="36">
        <v>4.24</v>
      </c>
      <c r="H30" s="37">
        <f t="shared" si="4"/>
        <v>129.71856000000002</v>
      </c>
      <c r="I30" s="38">
        <f>F30/12*G30</f>
        <v>10809.880000000001</v>
      </c>
      <c r="J30" s="38">
        <f>F30/12*G30</f>
        <v>10809.880000000001</v>
      </c>
      <c r="K30" s="38">
        <f>F30/12*G30</f>
        <v>10809.880000000001</v>
      </c>
      <c r="L30" s="38">
        <f>F30/12*G30</f>
        <v>10809.880000000001</v>
      </c>
      <c r="M30" s="38">
        <f>F30/12*G30</f>
        <v>10809.880000000001</v>
      </c>
      <c r="N30" s="38">
        <f>F30/12*G30</f>
        <v>10809.880000000001</v>
      </c>
      <c r="O30" s="38">
        <f>F30/12*G30</f>
        <v>10809.880000000001</v>
      </c>
      <c r="P30" s="38">
        <f>F30/12*G30</f>
        <v>10809.880000000001</v>
      </c>
      <c r="Q30" s="38">
        <f>F30/12*G30</f>
        <v>10809.880000000001</v>
      </c>
      <c r="R30" s="38">
        <f>F30/12*G30</f>
        <v>10809.880000000001</v>
      </c>
      <c r="S30" s="38">
        <f>F30/12*G30</f>
        <v>10809.880000000001</v>
      </c>
      <c r="T30" s="38">
        <f>F30/12*G30</f>
        <v>10809.880000000001</v>
      </c>
      <c r="U30" s="38">
        <f t="shared" si="5"/>
        <v>32429.640000000003</v>
      </c>
    </row>
    <row r="31" spans="1:26" s="18" customFormat="1">
      <c r="A31" s="138"/>
      <c r="B31" s="19" t="s">
        <v>22</v>
      </c>
      <c r="C31" s="45"/>
      <c r="D31" s="19"/>
      <c r="E31" s="46"/>
      <c r="F31" s="47"/>
      <c r="G31" s="47"/>
      <c r="H31" s="54">
        <f>SUM(H23:H30)</f>
        <v>139.06732220133335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>
        <f>SUM(U23:U30)</f>
        <v>33949.90302888889</v>
      </c>
      <c r="V31" s="155"/>
      <c r="W31" s="155"/>
      <c r="X31" s="155"/>
      <c r="Y31" s="155"/>
      <c r="Z31" s="155"/>
    </row>
    <row r="32" spans="1:26">
      <c r="A32" s="137"/>
      <c r="B32" s="11" t="s">
        <v>39</v>
      </c>
      <c r="C32" s="28"/>
      <c r="D32" s="10"/>
      <c r="E32" s="35"/>
      <c r="F32" s="36"/>
      <c r="G32" s="36"/>
      <c r="H32" s="37" t="s">
        <v>38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</row>
    <row r="33" spans="1:26" ht="12.75" customHeight="1">
      <c r="A33" s="137" t="s">
        <v>122</v>
      </c>
      <c r="B33" s="12" t="s">
        <v>40</v>
      </c>
      <c r="C33" s="28" t="s">
        <v>35</v>
      </c>
      <c r="D33" s="10"/>
      <c r="E33" s="35"/>
      <c r="F33" s="36">
        <v>2</v>
      </c>
      <c r="G33" s="36">
        <v>1900.37</v>
      </c>
      <c r="H33" s="37">
        <f t="shared" ref="H33:H39" si="6">SUM(F33*G33/1000)</f>
        <v>3.8007399999999998</v>
      </c>
      <c r="I33" s="38">
        <f>F33/6*G33</f>
        <v>633.45666666666659</v>
      </c>
      <c r="J33" s="38">
        <f>F33/6*G33</f>
        <v>633.45666666666659</v>
      </c>
      <c r="K33" s="38">
        <f>F33/6*G33</f>
        <v>633.45666666666659</v>
      </c>
      <c r="L33" s="38">
        <f>F33/6*G33</f>
        <v>633.45666666666659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f>F33/6*G33</f>
        <v>633.45666666666659</v>
      </c>
      <c r="T33" s="38">
        <f>F33/6*G33</f>
        <v>633.45666666666659</v>
      </c>
      <c r="U33" s="38">
        <f>SUM(R33:T33)</f>
        <v>1266.9133333333332</v>
      </c>
    </row>
    <row r="34" spans="1:26">
      <c r="A34" s="139" t="s">
        <v>164</v>
      </c>
      <c r="B34" s="12" t="s">
        <v>96</v>
      </c>
      <c r="C34" s="56" t="s">
        <v>41</v>
      </c>
      <c r="D34" s="10" t="s">
        <v>196</v>
      </c>
      <c r="E34" s="35">
        <v>65.099999999999994</v>
      </c>
      <c r="F34" s="55">
        <f>E34*24/1000</f>
        <v>1.5623999999999998</v>
      </c>
      <c r="G34" s="36">
        <v>2616.4899999999998</v>
      </c>
      <c r="H34" s="37">
        <f>G34*F34/1000</f>
        <v>4.0880039759999987</v>
      </c>
      <c r="I34" s="38">
        <f>F34/6*G34</f>
        <v>681.33399599999984</v>
      </c>
      <c r="J34" s="38">
        <f>F34/6*G34</f>
        <v>681.33399599999984</v>
      </c>
      <c r="K34" s="38">
        <f>F34/6*G34</f>
        <v>681.33399599999984</v>
      </c>
      <c r="L34" s="38">
        <f>F34/6*G34</f>
        <v>681.33399599999984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f>F34/6*G34</f>
        <v>681.33399599999984</v>
      </c>
      <c r="T34" s="38">
        <f>F34/6*G34</f>
        <v>681.33399599999984</v>
      </c>
      <c r="U34" s="38">
        <f t="shared" ref="U34:U39" si="7">SUM(R34:T34)</f>
        <v>1362.6679919999997</v>
      </c>
    </row>
    <row r="35" spans="1:26">
      <c r="A35" s="137" t="s">
        <v>122</v>
      </c>
      <c r="B35" s="10" t="s">
        <v>95</v>
      </c>
      <c r="C35" s="28" t="s">
        <v>59</v>
      </c>
      <c r="D35" s="10" t="s">
        <v>33</v>
      </c>
      <c r="E35" s="35"/>
      <c r="F35" s="55">
        <v>13</v>
      </c>
      <c r="G35" s="36">
        <v>226.84</v>
      </c>
      <c r="H35" s="37">
        <f>G35*F35/1000</f>
        <v>2.9489200000000002</v>
      </c>
      <c r="I35" s="38">
        <v>0</v>
      </c>
      <c r="J35" s="38">
        <v>0</v>
      </c>
      <c r="K35" s="38">
        <v>0</v>
      </c>
      <c r="L35" s="38">
        <f>G35*26</f>
        <v>5897.84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f t="shared" si="7"/>
        <v>0</v>
      </c>
    </row>
    <row r="36" spans="1:26" ht="24.75" customHeight="1">
      <c r="A36" s="137" t="s">
        <v>165</v>
      </c>
      <c r="B36" s="10" t="s">
        <v>197</v>
      </c>
      <c r="C36" s="28" t="s">
        <v>41</v>
      </c>
      <c r="D36" s="10" t="s">
        <v>42</v>
      </c>
      <c r="E36" s="36">
        <v>65.099999999999994</v>
      </c>
      <c r="F36" s="55">
        <f>SUM(E36*155/1000)</f>
        <v>10.0905</v>
      </c>
      <c r="G36" s="36">
        <v>436.45</v>
      </c>
      <c r="H36" s="37">
        <f t="shared" si="6"/>
        <v>4.4039987250000001</v>
      </c>
      <c r="I36" s="38">
        <f>F36/6*G36</f>
        <v>733.99978750000002</v>
      </c>
      <c r="J36" s="38">
        <f>F36/6*G36</f>
        <v>733.99978750000002</v>
      </c>
      <c r="K36" s="38">
        <f>F36/6*G36</f>
        <v>733.99978750000002</v>
      </c>
      <c r="L36" s="38">
        <f>F36/6*G36</f>
        <v>733.99978750000002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f>F36/6*G36</f>
        <v>733.99978750000002</v>
      </c>
      <c r="T36" s="38">
        <f>F36/6*G36</f>
        <v>733.99978750000002</v>
      </c>
      <c r="U36" s="38">
        <f t="shared" si="7"/>
        <v>1467.999575</v>
      </c>
    </row>
    <row r="37" spans="1:26" ht="51" customHeight="1">
      <c r="A37" s="137" t="s">
        <v>166</v>
      </c>
      <c r="B37" s="10" t="s">
        <v>143</v>
      </c>
      <c r="C37" s="28" t="s">
        <v>24</v>
      </c>
      <c r="D37" s="10" t="s">
        <v>97</v>
      </c>
      <c r="E37" s="36">
        <v>65.099999999999994</v>
      </c>
      <c r="F37" s="55">
        <f>SUM(E37*24/1000)</f>
        <v>1.5623999999999998</v>
      </c>
      <c r="G37" s="36">
        <v>7221.21</v>
      </c>
      <c r="H37" s="37">
        <f t="shared" si="6"/>
        <v>11.282418503999999</v>
      </c>
      <c r="I37" s="38">
        <f>F37/6*G37</f>
        <v>1880.4030839999998</v>
      </c>
      <c r="J37" s="38">
        <f>F37/6*G37</f>
        <v>1880.4030839999998</v>
      </c>
      <c r="K37" s="38">
        <f>F37/6*G37</f>
        <v>1880.4030839999998</v>
      </c>
      <c r="L37" s="38">
        <f>F37/6*G37</f>
        <v>1880.4030839999998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f>F37/6*G37</f>
        <v>1880.4030839999998</v>
      </c>
      <c r="T37" s="38">
        <f>F37/6*G37</f>
        <v>1880.4030839999998</v>
      </c>
      <c r="U37" s="38">
        <f t="shared" si="7"/>
        <v>3760.8061679999996</v>
      </c>
    </row>
    <row r="38" spans="1:26" ht="12.75" customHeight="1">
      <c r="A38" s="137" t="s">
        <v>167</v>
      </c>
      <c r="B38" s="10" t="s">
        <v>144</v>
      </c>
      <c r="C38" s="28" t="s">
        <v>24</v>
      </c>
      <c r="D38" s="10" t="s">
        <v>198</v>
      </c>
      <c r="E38" s="36">
        <v>65.099999999999994</v>
      </c>
      <c r="F38" s="55">
        <f>SUM(E38*18/1000)</f>
        <v>1.1718</v>
      </c>
      <c r="G38" s="36">
        <v>533.45000000000005</v>
      </c>
      <c r="H38" s="37">
        <f t="shared" si="6"/>
        <v>0.62509671</v>
      </c>
      <c r="I38" s="38">
        <f>F38/6*G38</f>
        <v>104.18278500000001</v>
      </c>
      <c r="J38" s="38">
        <f>F38/6*G38</f>
        <v>104.18278500000001</v>
      </c>
      <c r="K38" s="38">
        <f>F38/6*G38</f>
        <v>104.18278500000001</v>
      </c>
      <c r="L38" s="38">
        <f>F38/6*G38</f>
        <v>104.18278500000001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f>F38/6*G38</f>
        <v>104.18278500000001</v>
      </c>
      <c r="T38" s="38">
        <f>F38/6*G38</f>
        <v>104.18278500000001</v>
      </c>
      <c r="U38" s="38">
        <f t="shared" si="7"/>
        <v>208.36557000000002</v>
      </c>
    </row>
    <row r="39" spans="1:26" s="1" customFormat="1">
      <c r="A39" s="139"/>
      <c r="B39" s="12" t="s">
        <v>145</v>
      </c>
      <c r="C39" s="56" t="s">
        <v>31</v>
      </c>
      <c r="D39" s="12"/>
      <c r="E39" s="52"/>
      <c r="F39" s="55">
        <v>0.4</v>
      </c>
      <c r="G39" s="55">
        <v>992.97</v>
      </c>
      <c r="H39" s="37">
        <f t="shared" si="6"/>
        <v>0.39718800000000004</v>
      </c>
      <c r="I39" s="57">
        <f>F39/6*G39</f>
        <v>66.198000000000008</v>
      </c>
      <c r="J39" s="57">
        <f>F39/6*G39</f>
        <v>66.198000000000008</v>
      </c>
      <c r="K39" s="57">
        <f>F39/6*G39</f>
        <v>66.198000000000008</v>
      </c>
      <c r="L39" s="57">
        <f>F39/6*G39</f>
        <v>66.198000000000008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f>F39/6*G39</f>
        <v>66.198000000000008</v>
      </c>
      <c r="T39" s="57">
        <f>F39/6*G39</f>
        <v>66.198000000000008</v>
      </c>
      <c r="U39" s="38">
        <f t="shared" si="7"/>
        <v>132.39600000000002</v>
      </c>
      <c r="V39" s="155"/>
      <c r="W39" s="155"/>
      <c r="X39" s="155"/>
      <c r="Y39" s="155"/>
      <c r="Z39" s="155"/>
    </row>
    <row r="40" spans="1:26" s="18" customFormat="1">
      <c r="A40" s="138"/>
      <c r="B40" s="19" t="s">
        <v>22</v>
      </c>
      <c r="C40" s="45"/>
      <c r="D40" s="19"/>
      <c r="E40" s="46"/>
      <c r="F40" s="47" t="s">
        <v>38</v>
      </c>
      <c r="G40" s="47"/>
      <c r="H40" s="54">
        <f>SUM(H33:H39)</f>
        <v>27.546365914999999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f>SUM(U33:U39)</f>
        <v>8199.1486383333322</v>
      </c>
      <c r="V40" s="155"/>
      <c r="W40" s="155"/>
      <c r="X40" s="155"/>
      <c r="Y40" s="155"/>
      <c r="Z40" s="155"/>
    </row>
    <row r="41" spans="1:26">
      <c r="A41" s="137"/>
      <c r="B41" s="13" t="s">
        <v>43</v>
      </c>
      <c r="C41" s="28"/>
      <c r="D41" s="10"/>
      <c r="E41" s="35"/>
      <c r="F41" s="36"/>
      <c r="G41" s="36"/>
      <c r="H41" s="37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6">
      <c r="A42" s="137" t="s">
        <v>168</v>
      </c>
      <c r="B42" s="10" t="s">
        <v>105</v>
      </c>
      <c r="C42" s="28" t="s">
        <v>24</v>
      </c>
      <c r="D42" s="10" t="s">
        <v>44</v>
      </c>
      <c r="E42" s="35">
        <v>1060.4000000000001</v>
      </c>
      <c r="F42" s="36">
        <f>SUM(E42*2/1000)</f>
        <v>2.1208</v>
      </c>
      <c r="G42" s="58">
        <v>1283.46</v>
      </c>
      <c r="H42" s="37">
        <f t="shared" ref="H42:H51" si="8">SUM(F42*G42/1000)</f>
        <v>2.721961968</v>
      </c>
      <c r="I42" s="38">
        <v>0</v>
      </c>
      <c r="J42" s="38">
        <v>0</v>
      </c>
      <c r="K42" s="38">
        <v>0</v>
      </c>
      <c r="L42" s="38">
        <v>0</v>
      </c>
      <c r="M42" s="38">
        <f>F42/2*G42</f>
        <v>1360.980984</v>
      </c>
      <c r="N42" s="38">
        <v>0</v>
      </c>
      <c r="O42" s="38">
        <v>0</v>
      </c>
      <c r="P42" s="38">
        <v>0</v>
      </c>
      <c r="Q42" s="38">
        <f>F42/2*G42</f>
        <v>1360.980984</v>
      </c>
      <c r="R42" s="38">
        <v>0</v>
      </c>
      <c r="S42" s="38">
        <v>0</v>
      </c>
      <c r="T42" s="38">
        <v>0</v>
      </c>
      <c r="U42" s="38">
        <f>SUM(R42:T42)</f>
        <v>0</v>
      </c>
    </row>
    <row r="43" spans="1:26" ht="12.75" customHeight="1">
      <c r="A43" s="137" t="s">
        <v>169</v>
      </c>
      <c r="B43" s="10" t="s">
        <v>45</v>
      </c>
      <c r="C43" s="28" t="s">
        <v>24</v>
      </c>
      <c r="D43" s="10" t="s">
        <v>44</v>
      </c>
      <c r="E43" s="35">
        <v>1251.6199999999999</v>
      </c>
      <c r="F43" s="36">
        <f>SUM(E43*2/1000)</f>
        <v>2.5032399999999999</v>
      </c>
      <c r="G43" s="58">
        <v>1712.28</v>
      </c>
      <c r="H43" s="37">
        <f t="shared" si="8"/>
        <v>4.2862477871999998</v>
      </c>
      <c r="I43" s="38">
        <v>0</v>
      </c>
      <c r="J43" s="38">
        <v>0</v>
      </c>
      <c r="K43" s="38">
        <v>0</v>
      </c>
      <c r="L43" s="38">
        <v>0</v>
      </c>
      <c r="M43" s="38">
        <f t="shared" ref="M43:M45" si="9">F43/2*G43</f>
        <v>2143.1238936</v>
      </c>
      <c r="N43" s="38">
        <v>0</v>
      </c>
      <c r="O43" s="38">
        <v>0</v>
      </c>
      <c r="P43" s="38">
        <v>0</v>
      </c>
      <c r="Q43" s="38">
        <f t="shared" ref="Q43:Q45" si="10">F43/2*G43</f>
        <v>2143.1238936</v>
      </c>
      <c r="R43" s="38">
        <v>0</v>
      </c>
      <c r="S43" s="38">
        <v>0</v>
      </c>
      <c r="T43" s="38">
        <v>0</v>
      </c>
      <c r="U43" s="38">
        <f t="shared" ref="U43:U51" si="11">SUM(R43:T43)</f>
        <v>0</v>
      </c>
    </row>
    <row r="44" spans="1:26">
      <c r="A44" s="137" t="s">
        <v>170</v>
      </c>
      <c r="B44" s="10" t="s">
        <v>46</v>
      </c>
      <c r="C44" s="28" t="s">
        <v>24</v>
      </c>
      <c r="D44" s="10" t="s">
        <v>44</v>
      </c>
      <c r="E44" s="35">
        <v>1295.68</v>
      </c>
      <c r="F44" s="36">
        <f>SUM(E44*2/1000)</f>
        <v>2.5913600000000003</v>
      </c>
      <c r="G44" s="58">
        <v>1179.73</v>
      </c>
      <c r="H44" s="37">
        <f t="shared" si="8"/>
        <v>3.0571051328000003</v>
      </c>
      <c r="I44" s="38">
        <v>0</v>
      </c>
      <c r="J44" s="38">
        <v>0</v>
      </c>
      <c r="K44" s="38">
        <v>0</v>
      </c>
      <c r="L44" s="38">
        <v>0</v>
      </c>
      <c r="M44" s="38">
        <f t="shared" si="9"/>
        <v>1528.5525664000002</v>
      </c>
      <c r="N44" s="38">
        <v>0</v>
      </c>
      <c r="O44" s="38">
        <v>0</v>
      </c>
      <c r="P44" s="38">
        <v>0</v>
      </c>
      <c r="Q44" s="38">
        <f t="shared" si="10"/>
        <v>1528.5525664000002</v>
      </c>
      <c r="R44" s="38">
        <v>0</v>
      </c>
      <c r="S44" s="38">
        <v>0</v>
      </c>
      <c r="T44" s="38">
        <v>0</v>
      </c>
      <c r="U44" s="38">
        <f t="shared" si="11"/>
        <v>0</v>
      </c>
    </row>
    <row r="45" spans="1:26" s="155" customFormat="1">
      <c r="A45" s="149" t="s">
        <v>171</v>
      </c>
      <c r="B45" s="150" t="s">
        <v>107</v>
      </c>
      <c r="C45" s="151" t="s">
        <v>108</v>
      </c>
      <c r="D45" s="150" t="s">
        <v>44</v>
      </c>
      <c r="E45" s="152">
        <v>85.84</v>
      </c>
      <c r="F45" s="153">
        <f>E45*2/100</f>
        <v>1.7168000000000001</v>
      </c>
      <c r="G45" s="154">
        <v>90.61</v>
      </c>
      <c r="H45" s="37">
        <f t="shared" si="8"/>
        <v>0.15555924799999998</v>
      </c>
      <c r="I45" s="154">
        <v>0</v>
      </c>
      <c r="J45" s="154">
        <v>0</v>
      </c>
      <c r="K45" s="154">
        <v>0</v>
      </c>
      <c r="L45" s="154">
        <v>0</v>
      </c>
      <c r="M45" s="154">
        <f t="shared" si="9"/>
        <v>77.779623999999998</v>
      </c>
      <c r="N45" s="154">
        <v>0</v>
      </c>
      <c r="O45" s="154">
        <v>0</v>
      </c>
      <c r="P45" s="154">
        <v>0</v>
      </c>
      <c r="Q45" s="154">
        <f t="shared" si="10"/>
        <v>77.779623999999998</v>
      </c>
      <c r="R45" s="38">
        <v>0</v>
      </c>
      <c r="S45" s="38">
        <v>0</v>
      </c>
      <c r="T45" s="38">
        <v>0</v>
      </c>
      <c r="U45" s="38">
        <f t="shared" si="11"/>
        <v>0</v>
      </c>
    </row>
    <row r="46" spans="1:26" ht="25.5">
      <c r="A46" s="137" t="s">
        <v>172</v>
      </c>
      <c r="B46" s="10" t="s">
        <v>47</v>
      </c>
      <c r="C46" s="28" t="s">
        <v>24</v>
      </c>
      <c r="D46" s="10" t="s">
        <v>199</v>
      </c>
      <c r="E46" s="35">
        <v>2549.5</v>
      </c>
      <c r="F46" s="36">
        <f>SUM(E46*5/1000)</f>
        <v>12.7475</v>
      </c>
      <c r="G46" s="58">
        <v>1711.28</v>
      </c>
      <c r="H46" s="37">
        <f t="shared" si="8"/>
        <v>21.814541800000001</v>
      </c>
      <c r="I46" s="38">
        <f>F46/5*G46</f>
        <v>4362.9083600000004</v>
      </c>
      <c r="J46" s="38">
        <f>F46/5*G46</f>
        <v>4362.9083600000004</v>
      </c>
      <c r="K46" s="38">
        <v>0</v>
      </c>
      <c r="L46" s="38">
        <v>0</v>
      </c>
      <c r="M46" s="38">
        <f>F46/5*G46</f>
        <v>4362.9083600000004</v>
      </c>
      <c r="N46" s="38">
        <v>0</v>
      </c>
      <c r="O46" s="38">
        <v>0</v>
      </c>
      <c r="P46" s="38">
        <v>0</v>
      </c>
      <c r="Q46" s="38">
        <f>F46/5*G46</f>
        <v>4362.9083600000004</v>
      </c>
      <c r="R46" s="38">
        <v>0</v>
      </c>
      <c r="S46" s="38">
        <v>0</v>
      </c>
      <c r="T46" s="38">
        <f>F46/5*G46</f>
        <v>4362.9083600000004</v>
      </c>
      <c r="U46" s="38">
        <f t="shared" si="11"/>
        <v>4362.9083600000004</v>
      </c>
    </row>
    <row r="47" spans="1:26" ht="38.25" customHeight="1">
      <c r="A47" s="137" t="s">
        <v>173</v>
      </c>
      <c r="B47" s="10" t="s">
        <v>48</v>
      </c>
      <c r="C47" s="28" t="s">
        <v>24</v>
      </c>
      <c r="D47" s="10" t="s">
        <v>44</v>
      </c>
      <c r="E47" s="35">
        <v>2549.5</v>
      </c>
      <c r="F47" s="36">
        <f>SUM(E47*2/1000)</f>
        <v>5.0990000000000002</v>
      </c>
      <c r="G47" s="58">
        <v>1510.06</v>
      </c>
      <c r="H47" s="37">
        <f t="shared" si="8"/>
        <v>7.6997959399999996</v>
      </c>
      <c r="I47" s="38">
        <v>0</v>
      </c>
      <c r="J47" s="38">
        <v>0</v>
      </c>
      <c r="K47" s="133">
        <f>F47/2*G47</f>
        <v>3849.89797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f t="shared" si="11"/>
        <v>0</v>
      </c>
    </row>
    <row r="48" spans="1:26" ht="26.25" customHeight="1">
      <c r="A48" s="137" t="s">
        <v>174</v>
      </c>
      <c r="B48" s="10" t="s">
        <v>49</v>
      </c>
      <c r="C48" s="28" t="s">
        <v>50</v>
      </c>
      <c r="D48" s="10" t="s">
        <v>44</v>
      </c>
      <c r="E48" s="35">
        <v>16</v>
      </c>
      <c r="F48" s="36">
        <f>SUM(E48*2/100)</f>
        <v>0.32</v>
      </c>
      <c r="G48" s="58">
        <v>3850.4</v>
      </c>
      <c r="H48" s="37">
        <f t="shared" si="8"/>
        <v>1.2321280000000001</v>
      </c>
      <c r="I48" s="38">
        <v>0</v>
      </c>
      <c r="J48" s="38">
        <v>0</v>
      </c>
      <c r="K48" s="133">
        <f>F48/2*G48</f>
        <v>616.06400000000008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f t="shared" si="11"/>
        <v>0</v>
      </c>
    </row>
    <row r="49" spans="1:26">
      <c r="A49" s="137" t="s">
        <v>175</v>
      </c>
      <c r="B49" s="10" t="s">
        <v>51</v>
      </c>
      <c r="C49" s="28" t="s">
        <v>52</v>
      </c>
      <c r="D49" s="10" t="s">
        <v>44</v>
      </c>
      <c r="E49" s="35">
        <v>1</v>
      </c>
      <c r="F49" s="36">
        <v>0.02</v>
      </c>
      <c r="G49" s="58">
        <v>7033.13</v>
      </c>
      <c r="H49" s="37">
        <f t="shared" si="8"/>
        <v>0.1406626</v>
      </c>
      <c r="I49" s="38">
        <v>0</v>
      </c>
      <c r="J49" s="133">
        <f>F49/2*G49</f>
        <v>70.331299999999999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f t="shared" si="11"/>
        <v>0</v>
      </c>
    </row>
    <row r="50" spans="1:26">
      <c r="A50" s="137" t="s">
        <v>98</v>
      </c>
      <c r="B50" s="10" t="s">
        <v>99</v>
      </c>
      <c r="C50" s="28" t="s">
        <v>53</v>
      </c>
      <c r="D50" s="10" t="s">
        <v>120</v>
      </c>
      <c r="E50" s="35">
        <v>64</v>
      </c>
      <c r="F50" s="36">
        <f>E50*3</f>
        <v>192</v>
      </c>
      <c r="G50" s="58">
        <v>175.6</v>
      </c>
      <c r="H50" s="37">
        <f t="shared" si="8"/>
        <v>33.715199999999996</v>
      </c>
      <c r="I50" s="38">
        <f>E50*G50</f>
        <v>11238.4</v>
      </c>
      <c r="J50" s="38">
        <v>0</v>
      </c>
      <c r="K50" s="38">
        <v>0</v>
      </c>
      <c r="L50" s="38">
        <f>G50*E50</f>
        <v>11238.4</v>
      </c>
      <c r="M50" s="38">
        <v>0</v>
      </c>
      <c r="N50" s="38">
        <v>0</v>
      </c>
      <c r="O50" s="38">
        <v>0</v>
      </c>
      <c r="P50" s="38">
        <f>E50*G50</f>
        <v>11238.4</v>
      </c>
      <c r="Q50" s="38">
        <v>0</v>
      </c>
      <c r="R50" s="38">
        <v>0</v>
      </c>
      <c r="S50" s="38">
        <v>0</v>
      </c>
      <c r="T50" s="38">
        <v>0</v>
      </c>
      <c r="U50" s="38">
        <f t="shared" si="11"/>
        <v>0</v>
      </c>
    </row>
    <row r="51" spans="1:26" ht="13.5" customHeight="1">
      <c r="A51" s="137" t="s">
        <v>54</v>
      </c>
      <c r="B51" s="10" t="s">
        <v>55</v>
      </c>
      <c r="C51" s="28" t="s">
        <v>53</v>
      </c>
      <c r="D51" s="10" t="s">
        <v>120</v>
      </c>
      <c r="E51" s="35">
        <v>128</v>
      </c>
      <c r="F51" s="36">
        <f>SUM(E51)*3</f>
        <v>384</v>
      </c>
      <c r="G51" s="59">
        <v>81.73</v>
      </c>
      <c r="H51" s="37">
        <f t="shared" si="8"/>
        <v>31.384319999999999</v>
      </c>
      <c r="I51" s="38">
        <f>E51*G51</f>
        <v>10461.44</v>
      </c>
      <c r="J51" s="38">
        <v>0</v>
      </c>
      <c r="K51" s="38">
        <v>0</v>
      </c>
      <c r="L51" s="38">
        <f>G51*E51</f>
        <v>10461.44</v>
      </c>
      <c r="M51" s="38">
        <v>0</v>
      </c>
      <c r="N51" s="38">
        <v>0</v>
      </c>
      <c r="O51" s="38">
        <v>0</v>
      </c>
      <c r="P51" s="38">
        <f>E51*G51</f>
        <v>10461.44</v>
      </c>
      <c r="Q51" s="38">
        <v>0</v>
      </c>
      <c r="R51" s="38">
        <v>0</v>
      </c>
      <c r="S51" s="38">
        <v>0</v>
      </c>
      <c r="T51" s="38">
        <v>0</v>
      </c>
      <c r="U51" s="38">
        <f t="shared" si="11"/>
        <v>0</v>
      </c>
    </row>
    <row r="52" spans="1:26" s="20" customFormat="1">
      <c r="A52" s="138"/>
      <c r="B52" s="19" t="s">
        <v>22</v>
      </c>
      <c r="C52" s="60"/>
      <c r="D52" s="19"/>
      <c r="E52" s="61"/>
      <c r="F52" s="62"/>
      <c r="G52" s="62"/>
      <c r="H52" s="54">
        <f>SUM(H42:H51)</f>
        <v>106.20752247600001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>
        <f>SUM(U42:U51)</f>
        <v>4362.9083600000004</v>
      </c>
      <c r="V52" s="155"/>
      <c r="W52" s="155"/>
      <c r="X52" s="155"/>
      <c r="Y52" s="155"/>
      <c r="Z52" s="155"/>
    </row>
    <row r="53" spans="1:26">
      <c r="A53" s="137"/>
      <c r="B53" s="11" t="s">
        <v>56</v>
      </c>
      <c r="C53" s="28"/>
      <c r="D53" s="10"/>
      <c r="E53" s="35"/>
      <c r="F53" s="36"/>
      <c r="G53" s="36"/>
      <c r="H53" s="37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:26" ht="38.25" customHeight="1">
      <c r="A54" s="137" t="s">
        <v>176</v>
      </c>
      <c r="B54" s="10" t="s">
        <v>146</v>
      </c>
      <c r="C54" s="28" t="s">
        <v>13</v>
      </c>
      <c r="D54" s="10" t="s">
        <v>57</v>
      </c>
      <c r="E54" s="35">
        <v>8</v>
      </c>
      <c r="F54" s="36">
        <f>SUM(E54*6/100)</f>
        <v>0.48</v>
      </c>
      <c r="G54" s="58">
        <v>2306.62</v>
      </c>
      <c r="H54" s="37">
        <f>SUM(F54*G54/1000)</f>
        <v>1.1071776</v>
      </c>
      <c r="I54" s="38">
        <f>F54/6*G54</f>
        <v>184.52959999999999</v>
      </c>
      <c r="J54" s="38">
        <f>F54/6*G54</f>
        <v>184.52959999999999</v>
      </c>
      <c r="K54" s="38">
        <f>F54/6*G54</f>
        <v>184.52959999999999</v>
      </c>
      <c r="L54" s="38">
        <f>F54/6*G54</f>
        <v>184.52959999999999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f>F54/6*G54</f>
        <v>184.52959999999999</v>
      </c>
      <c r="T54" s="38">
        <f>F54/6*G54</f>
        <v>184.52959999999999</v>
      </c>
      <c r="U54" s="38">
        <f>SUM(R54:T54)</f>
        <v>369.05919999999998</v>
      </c>
    </row>
    <row r="55" spans="1:26" ht="12.75" customHeight="1">
      <c r="A55" s="140" t="s">
        <v>122</v>
      </c>
      <c r="B55" s="23" t="s">
        <v>123</v>
      </c>
      <c r="C55" s="64" t="s">
        <v>35</v>
      </c>
      <c r="D55" s="23" t="s">
        <v>33</v>
      </c>
      <c r="E55" s="65"/>
      <c r="F55" s="66">
        <v>1</v>
      </c>
      <c r="G55" s="58">
        <v>1501</v>
      </c>
      <c r="H55" s="37">
        <f>SUM(F55*G55/1000)</f>
        <v>1.5009999999999999</v>
      </c>
      <c r="I55" s="38">
        <f>F55/6*G55</f>
        <v>250.16666666666666</v>
      </c>
      <c r="J55" s="38">
        <f>F55/6*G55</f>
        <v>250.16666666666666</v>
      </c>
      <c r="K55" s="38">
        <f>F55/6*G55</f>
        <v>250.16666666666666</v>
      </c>
      <c r="L55" s="38">
        <f>F55/6*G55</f>
        <v>250.16666666666666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f>G55*0.5</f>
        <v>750.5</v>
      </c>
      <c r="T55" s="38">
        <f>G55*2</f>
        <v>3002</v>
      </c>
      <c r="U55" s="38">
        <f>SUM(R55:T55)</f>
        <v>3752.5</v>
      </c>
    </row>
    <row r="56" spans="1:26" ht="12.75" customHeight="1">
      <c r="A56" s="140"/>
      <c r="B56" s="24" t="s">
        <v>58</v>
      </c>
      <c r="C56" s="64"/>
      <c r="D56" s="23"/>
      <c r="E56" s="65"/>
      <c r="F56" s="66"/>
      <c r="G56" s="58"/>
      <c r="H56" s="67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:26" ht="12.75" customHeight="1">
      <c r="A57" s="140" t="s">
        <v>177</v>
      </c>
      <c r="B57" s="23" t="s">
        <v>100</v>
      </c>
      <c r="C57" s="64" t="s">
        <v>19</v>
      </c>
      <c r="D57" s="23" t="s">
        <v>26</v>
      </c>
      <c r="E57" s="65">
        <v>7.4</v>
      </c>
      <c r="F57" s="58">
        <f>SUM(E57/100)</f>
        <v>7.400000000000001E-2</v>
      </c>
      <c r="G57" s="58">
        <v>987.51</v>
      </c>
      <c r="H57" s="67">
        <f>F57*G57/1000</f>
        <v>7.3075740000000014E-2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f>SUM(R57:T57)</f>
        <v>0</v>
      </c>
    </row>
    <row r="58" spans="1:26">
      <c r="A58" s="140"/>
      <c r="B58" s="14" t="s">
        <v>60</v>
      </c>
      <c r="C58" s="64"/>
      <c r="D58" s="23"/>
      <c r="E58" s="65"/>
      <c r="F58" s="68"/>
      <c r="G58" s="68"/>
      <c r="H58" s="66" t="s">
        <v>38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6" ht="12.75" customHeight="1">
      <c r="A59" s="69" t="s">
        <v>178</v>
      </c>
      <c r="B59" s="15" t="s">
        <v>61</v>
      </c>
      <c r="C59" s="69" t="s">
        <v>53</v>
      </c>
      <c r="D59" s="8" t="s">
        <v>33</v>
      </c>
      <c r="E59" s="42">
        <v>1</v>
      </c>
      <c r="F59" s="58">
        <f>SUM(E59)</f>
        <v>1</v>
      </c>
      <c r="G59" s="58">
        <v>276.74</v>
      </c>
      <c r="H59" s="130">
        <f t="shared" ref="H59:H75" si="12">SUM(F59*G59/1000)</f>
        <v>0.27673999999999999</v>
      </c>
      <c r="I59" s="38">
        <f>G59*2</f>
        <v>553.48</v>
      </c>
      <c r="J59" s="38">
        <f>G59*2</f>
        <v>553.48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f>G59*10</f>
        <v>2767.4</v>
      </c>
      <c r="S59" s="38">
        <f>G59*2</f>
        <v>553.48</v>
      </c>
      <c r="T59" s="38">
        <v>0</v>
      </c>
      <c r="U59" s="38">
        <f>SUM(R59:T59)</f>
        <v>3320.88</v>
      </c>
    </row>
    <row r="60" spans="1:26" ht="12.75" customHeight="1">
      <c r="A60" s="69" t="s">
        <v>179</v>
      </c>
      <c r="B60" s="15" t="s">
        <v>62</v>
      </c>
      <c r="C60" s="69" t="s">
        <v>53</v>
      </c>
      <c r="D60" s="8" t="s">
        <v>33</v>
      </c>
      <c r="E60" s="42">
        <v>2</v>
      </c>
      <c r="F60" s="58">
        <f>SUM(E60)</f>
        <v>2</v>
      </c>
      <c r="G60" s="58">
        <v>94.89</v>
      </c>
      <c r="H60" s="130">
        <f t="shared" si="12"/>
        <v>0.18978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f t="shared" ref="U60:U67" si="13">SUM(R60:T60)</f>
        <v>0</v>
      </c>
    </row>
    <row r="61" spans="1:26" s="1" customFormat="1">
      <c r="A61" s="70" t="s">
        <v>180</v>
      </c>
      <c r="B61" s="15" t="s">
        <v>63</v>
      </c>
      <c r="C61" s="70" t="s">
        <v>64</v>
      </c>
      <c r="D61" s="8" t="s">
        <v>26</v>
      </c>
      <c r="E61" s="35">
        <v>10052</v>
      </c>
      <c r="F61" s="59">
        <f>SUM(E61/100)</f>
        <v>100.52</v>
      </c>
      <c r="G61" s="58">
        <v>263.99</v>
      </c>
      <c r="H61" s="130">
        <f t="shared" si="12"/>
        <v>26.536274799999997</v>
      </c>
      <c r="I61" s="57">
        <v>0</v>
      </c>
      <c r="J61" s="57">
        <v>0</v>
      </c>
      <c r="K61" s="57">
        <v>0</v>
      </c>
      <c r="L61" s="57">
        <v>0</v>
      </c>
      <c r="M61" s="57">
        <f>F61*G61</f>
        <v>26536.274799999999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38">
        <f t="shared" si="13"/>
        <v>0</v>
      </c>
      <c r="V61" s="155"/>
      <c r="W61" s="155"/>
      <c r="X61" s="155"/>
      <c r="Y61" s="155"/>
      <c r="Z61" s="155"/>
    </row>
    <row r="62" spans="1:26" ht="12.75" customHeight="1">
      <c r="A62" s="69" t="s">
        <v>181</v>
      </c>
      <c r="B62" s="15" t="s">
        <v>65</v>
      </c>
      <c r="C62" s="69" t="s">
        <v>66</v>
      </c>
      <c r="D62" s="8"/>
      <c r="E62" s="35">
        <v>10052</v>
      </c>
      <c r="F62" s="58">
        <f>SUM(E62/1000)</f>
        <v>10.052</v>
      </c>
      <c r="G62" s="58">
        <v>205.57</v>
      </c>
      <c r="H62" s="130">
        <f t="shared" si="12"/>
        <v>2.0663896399999997</v>
      </c>
      <c r="I62" s="38">
        <v>0</v>
      </c>
      <c r="J62" s="38">
        <v>0</v>
      </c>
      <c r="K62" s="38">
        <v>0</v>
      </c>
      <c r="L62" s="38">
        <v>0</v>
      </c>
      <c r="M62" s="38">
        <f>F62*G62</f>
        <v>2066.3896399999999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f t="shared" si="13"/>
        <v>0</v>
      </c>
    </row>
    <row r="63" spans="1:26">
      <c r="A63" s="69" t="s">
        <v>182</v>
      </c>
      <c r="B63" s="15" t="s">
        <v>67</v>
      </c>
      <c r="C63" s="69" t="s">
        <v>68</v>
      </c>
      <c r="D63" s="8" t="s">
        <v>26</v>
      </c>
      <c r="E63" s="35">
        <v>2200</v>
      </c>
      <c r="F63" s="58">
        <f>SUM(E63/100)</f>
        <v>22</v>
      </c>
      <c r="G63" s="58">
        <v>2581.5300000000002</v>
      </c>
      <c r="H63" s="130">
        <f t="shared" si="12"/>
        <v>56.793660000000003</v>
      </c>
      <c r="I63" s="38">
        <v>0</v>
      </c>
      <c r="J63" s="38">
        <v>0</v>
      </c>
      <c r="K63" s="38">
        <v>0</v>
      </c>
      <c r="L63" s="38">
        <v>0</v>
      </c>
      <c r="M63" s="38">
        <f>F63*G63</f>
        <v>56793.66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 t="shared" si="13"/>
        <v>0</v>
      </c>
    </row>
    <row r="64" spans="1:26">
      <c r="A64" s="69"/>
      <c r="B64" s="16" t="s">
        <v>90</v>
      </c>
      <c r="C64" s="69" t="s">
        <v>31</v>
      </c>
      <c r="D64" s="8"/>
      <c r="E64" s="35">
        <v>9.4</v>
      </c>
      <c r="F64" s="58">
        <f>SUM(E64)</f>
        <v>9.4</v>
      </c>
      <c r="G64" s="58">
        <v>47.45</v>
      </c>
      <c r="H64" s="130">
        <f t="shared" si="12"/>
        <v>0.44603000000000004</v>
      </c>
      <c r="I64" s="38">
        <v>0</v>
      </c>
      <c r="J64" s="38">
        <v>0</v>
      </c>
      <c r="K64" s="38">
        <v>0</v>
      </c>
      <c r="L64" s="38">
        <v>0</v>
      </c>
      <c r="M64" s="38">
        <f>F64*G64</f>
        <v>446.03000000000003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f t="shared" si="13"/>
        <v>0</v>
      </c>
    </row>
    <row r="65" spans="1:26" ht="12.75" customHeight="1">
      <c r="A65" s="141"/>
      <c r="B65" s="16" t="s">
        <v>91</v>
      </c>
      <c r="C65" s="69" t="s">
        <v>31</v>
      </c>
      <c r="D65" s="8"/>
      <c r="E65" s="35">
        <v>9.4</v>
      </c>
      <c r="F65" s="58">
        <f>SUM(E65)</f>
        <v>9.4</v>
      </c>
      <c r="G65" s="58">
        <v>44.27</v>
      </c>
      <c r="H65" s="130">
        <f t="shared" si="12"/>
        <v>0.41613800000000001</v>
      </c>
      <c r="I65" s="38">
        <v>0</v>
      </c>
      <c r="J65" s="38">
        <v>0</v>
      </c>
      <c r="K65" s="38">
        <v>0</v>
      </c>
      <c r="L65" s="38">
        <v>0</v>
      </c>
      <c r="M65" s="38">
        <f>F65*G65</f>
        <v>416.13800000000003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 t="shared" si="13"/>
        <v>0</v>
      </c>
    </row>
    <row r="66" spans="1:26">
      <c r="A66" s="69" t="s">
        <v>183</v>
      </c>
      <c r="B66" s="8" t="s">
        <v>69</v>
      </c>
      <c r="C66" s="69" t="s">
        <v>70</v>
      </c>
      <c r="D66" s="8" t="s">
        <v>26</v>
      </c>
      <c r="E66" s="42">
        <v>2</v>
      </c>
      <c r="F66" s="58">
        <f>SUM(E66)</f>
        <v>2</v>
      </c>
      <c r="G66" s="58">
        <v>62.07</v>
      </c>
      <c r="H66" s="130">
        <f t="shared" si="12"/>
        <v>0.12414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f>F66*G66</f>
        <v>124.14</v>
      </c>
      <c r="R66" s="38">
        <v>0</v>
      </c>
      <c r="S66" s="38">
        <v>0</v>
      </c>
      <c r="T66" s="38">
        <v>0</v>
      </c>
      <c r="U66" s="38">
        <f t="shared" si="13"/>
        <v>0</v>
      </c>
    </row>
    <row r="67" spans="1:26" ht="25.5">
      <c r="A67" s="69"/>
      <c r="B67" s="8" t="s">
        <v>200</v>
      </c>
      <c r="C67" s="156" t="s">
        <v>201</v>
      </c>
      <c r="D67" s="8" t="s">
        <v>33</v>
      </c>
      <c r="E67" s="42">
        <v>2549.5</v>
      </c>
      <c r="F67" s="58">
        <f>SUM(E67*12)</f>
        <v>30594</v>
      </c>
      <c r="G67" s="58">
        <v>2.16</v>
      </c>
      <c r="H67" s="130">
        <f t="shared" si="12"/>
        <v>66.083040000000011</v>
      </c>
      <c r="I67" s="38"/>
      <c r="J67" s="38"/>
      <c r="K67" s="38"/>
      <c r="L67" s="38"/>
      <c r="M67" s="38"/>
      <c r="N67" s="38"/>
      <c r="O67" s="38"/>
      <c r="P67" s="38"/>
      <c r="Q67" s="38"/>
      <c r="R67" s="38">
        <f>F67/12*G67</f>
        <v>5506.92</v>
      </c>
      <c r="S67" s="38">
        <f>F67/12*G67</f>
        <v>5506.92</v>
      </c>
      <c r="T67" s="38">
        <f>F67/12*G67</f>
        <v>5506.92</v>
      </c>
      <c r="U67" s="38">
        <f t="shared" si="13"/>
        <v>16520.760000000002</v>
      </c>
    </row>
    <row r="68" spans="1:26">
      <c r="A68" s="144"/>
      <c r="B68" s="17" t="s">
        <v>71</v>
      </c>
      <c r="C68" s="69"/>
      <c r="D68" s="8"/>
      <c r="E68" s="42"/>
      <c r="F68" s="58"/>
      <c r="G68" s="58"/>
      <c r="H68" s="130" t="s">
        <v>38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6">
      <c r="A69" s="69" t="s">
        <v>202</v>
      </c>
      <c r="B69" s="8" t="s">
        <v>204</v>
      </c>
      <c r="C69" s="69" t="s">
        <v>203</v>
      </c>
      <c r="D69" s="8" t="s">
        <v>33</v>
      </c>
      <c r="E69" s="42">
        <v>1</v>
      </c>
      <c r="F69" s="58">
        <f>E69</f>
        <v>1</v>
      </c>
      <c r="G69" s="58">
        <v>976.4</v>
      </c>
      <c r="H69" s="130">
        <f t="shared" ref="H69:H70" si="14">SUM(F69*G69/1000)</f>
        <v>0.97639999999999993</v>
      </c>
      <c r="I69" s="38"/>
      <c r="J69" s="38"/>
      <c r="K69" s="38"/>
      <c r="L69" s="38"/>
      <c r="M69" s="38"/>
      <c r="N69" s="38"/>
      <c r="O69" s="38"/>
      <c r="P69" s="38"/>
      <c r="Q69" s="38"/>
      <c r="R69" s="38">
        <v>0</v>
      </c>
      <c r="S69" s="38">
        <v>0</v>
      </c>
      <c r="T69" s="38">
        <v>0</v>
      </c>
      <c r="U69" s="38">
        <f>SUM(R69:T69)</f>
        <v>0</v>
      </c>
    </row>
    <row r="70" spans="1:26">
      <c r="A70" s="69" t="s">
        <v>205</v>
      </c>
      <c r="B70" s="8" t="s">
        <v>206</v>
      </c>
      <c r="C70" s="69" t="s">
        <v>207</v>
      </c>
      <c r="D70" s="8"/>
      <c r="E70" s="42">
        <v>1</v>
      </c>
      <c r="F70" s="58">
        <v>1</v>
      </c>
      <c r="G70" s="58">
        <v>735</v>
      </c>
      <c r="H70" s="130">
        <f t="shared" si="14"/>
        <v>0.73499999999999999</v>
      </c>
      <c r="I70" s="38"/>
      <c r="J70" s="38"/>
      <c r="K70" s="38"/>
      <c r="L70" s="38"/>
      <c r="M70" s="38"/>
      <c r="N70" s="38"/>
      <c r="O70" s="38"/>
      <c r="P70" s="38"/>
      <c r="Q70" s="38"/>
      <c r="R70" s="38">
        <v>0</v>
      </c>
      <c r="S70" s="38">
        <v>0</v>
      </c>
      <c r="T70" s="38">
        <v>0</v>
      </c>
      <c r="U70" s="38">
        <f t="shared" ref="U70:U73" si="15">SUM(R70:T70)</f>
        <v>0</v>
      </c>
    </row>
    <row r="71" spans="1:26">
      <c r="A71" s="69" t="s">
        <v>184</v>
      </c>
      <c r="B71" s="8" t="s">
        <v>72</v>
      </c>
      <c r="C71" s="69" t="s">
        <v>73</v>
      </c>
      <c r="D71" s="8" t="s">
        <v>33</v>
      </c>
      <c r="E71" s="42">
        <v>3</v>
      </c>
      <c r="F71" s="58">
        <v>0.3</v>
      </c>
      <c r="G71" s="58">
        <v>624.16999999999996</v>
      </c>
      <c r="H71" s="130">
        <f t="shared" si="12"/>
        <v>0.18725099999999997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f t="shared" si="15"/>
        <v>0</v>
      </c>
    </row>
    <row r="72" spans="1:26">
      <c r="A72" s="69" t="s">
        <v>185</v>
      </c>
      <c r="B72" s="8" t="s">
        <v>92</v>
      </c>
      <c r="C72" s="69" t="s">
        <v>28</v>
      </c>
      <c r="D72" s="8" t="s">
        <v>33</v>
      </c>
      <c r="E72" s="42">
        <v>1</v>
      </c>
      <c r="F72" s="72">
        <v>1</v>
      </c>
      <c r="G72" s="58">
        <v>1061.4100000000001</v>
      </c>
      <c r="H72" s="130">
        <f>F72*G72/1000</f>
        <v>1.0614100000000002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f t="shared" si="15"/>
        <v>0</v>
      </c>
    </row>
    <row r="73" spans="1:26">
      <c r="A73" s="69" t="s">
        <v>186</v>
      </c>
      <c r="B73" s="8" t="s">
        <v>94</v>
      </c>
      <c r="C73" s="69" t="s">
        <v>28</v>
      </c>
      <c r="D73" s="8" t="s">
        <v>33</v>
      </c>
      <c r="E73" s="42">
        <v>1</v>
      </c>
      <c r="F73" s="58">
        <v>1</v>
      </c>
      <c r="G73" s="58">
        <v>446.12</v>
      </c>
      <c r="H73" s="130">
        <f>G73*F73/1000</f>
        <v>0.44612000000000002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f>G73</f>
        <v>446.12</v>
      </c>
      <c r="T73" s="38">
        <v>0</v>
      </c>
      <c r="U73" s="38">
        <f t="shared" si="15"/>
        <v>446.12</v>
      </c>
    </row>
    <row r="74" spans="1:26">
      <c r="A74" s="141"/>
      <c r="B74" s="73" t="s">
        <v>74</v>
      </c>
      <c r="C74" s="69"/>
      <c r="D74" s="8"/>
      <c r="E74" s="42"/>
      <c r="F74" s="58"/>
      <c r="G74" s="58" t="s">
        <v>38</v>
      </c>
      <c r="H74" s="130" t="s">
        <v>38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6" s="1" customFormat="1">
      <c r="A75" s="70" t="s">
        <v>75</v>
      </c>
      <c r="B75" s="74" t="s">
        <v>76</v>
      </c>
      <c r="C75" s="70" t="s">
        <v>68</v>
      </c>
      <c r="D75" s="15"/>
      <c r="E75" s="75"/>
      <c r="F75" s="59">
        <v>1</v>
      </c>
      <c r="G75" s="59">
        <v>3433.68</v>
      </c>
      <c r="H75" s="130">
        <f t="shared" si="12"/>
        <v>3.4336799999999998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38">
        <f>SUM(R75:T75)</f>
        <v>0</v>
      </c>
      <c r="V75" s="155"/>
      <c r="W75" s="155"/>
      <c r="X75" s="155"/>
      <c r="Y75" s="155"/>
      <c r="Z75" s="155"/>
    </row>
    <row r="76" spans="1:26" s="20" customFormat="1">
      <c r="A76" s="142"/>
      <c r="B76" s="19" t="s">
        <v>22</v>
      </c>
      <c r="C76" s="76"/>
      <c r="D76" s="77"/>
      <c r="E76" s="78"/>
      <c r="F76" s="63"/>
      <c r="G76" s="63"/>
      <c r="H76" s="79">
        <f>SUM(H54:H75)</f>
        <v>162.45330678000005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>
        <f>SUM(U54:U75)</f>
        <v>24409.319200000002</v>
      </c>
      <c r="V76" s="155"/>
      <c r="W76" s="155"/>
      <c r="X76" s="155"/>
      <c r="Y76" s="155"/>
      <c r="Z76" s="155"/>
    </row>
    <row r="77" spans="1:26">
      <c r="A77" s="143" t="s">
        <v>126</v>
      </c>
      <c r="B77" s="10" t="s">
        <v>127</v>
      </c>
      <c r="C77" s="81"/>
      <c r="D77" s="82"/>
      <c r="E77" s="129"/>
      <c r="F77" s="83">
        <v>1</v>
      </c>
      <c r="G77" s="84">
        <v>20950</v>
      </c>
      <c r="H77" s="130">
        <f>G77*F77/1000</f>
        <v>20.95</v>
      </c>
      <c r="I77" s="38">
        <v>0</v>
      </c>
      <c r="J77" s="38">
        <v>0</v>
      </c>
      <c r="K77" s="38">
        <v>0</v>
      </c>
      <c r="L77" s="38">
        <v>0</v>
      </c>
      <c r="M77" s="39">
        <f>G77</f>
        <v>20950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f>SUM(R77:T77)</f>
        <v>0</v>
      </c>
    </row>
    <row r="78" spans="1:26" ht="12.75" customHeight="1">
      <c r="A78" s="69"/>
      <c r="B78" s="80" t="s">
        <v>77</v>
      </c>
      <c r="C78" s="69" t="s">
        <v>78</v>
      </c>
      <c r="D78" s="85"/>
      <c r="E78" s="58">
        <v>2549.5</v>
      </c>
      <c r="F78" s="58">
        <f>SUM(E78*12)</f>
        <v>30594</v>
      </c>
      <c r="G78" s="86">
        <v>2.95</v>
      </c>
      <c r="H78" s="130">
        <f>SUM(F78*G78/1000)</f>
        <v>90.252300000000005</v>
      </c>
      <c r="I78" s="38">
        <f>F78/12*G78</f>
        <v>7521.0250000000005</v>
      </c>
      <c r="J78" s="38">
        <f>F78/12*G78</f>
        <v>7521.0250000000005</v>
      </c>
      <c r="K78" s="38">
        <f>F78/12*G78</f>
        <v>7521.0250000000005</v>
      </c>
      <c r="L78" s="38">
        <f>F78/12*G78</f>
        <v>7521.0250000000005</v>
      </c>
      <c r="M78" s="38">
        <f>F78/12*G78</f>
        <v>7521.0250000000005</v>
      </c>
      <c r="N78" s="38">
        <f>F78/12*G78</f>
        <v>7521.0250000000005</v>
      </c>
      <c r="O78" s="38">
        <f>F78/12*G78</f>
        <v>7521.0250000000005</v>
      </c>
      <c r="P78" s="38">
        <f>F78/12*G78</f>
        <v>7521.0250000000005</v>
      </c>
      <c r="Q78" s="38">
        <f>F78/12*G78</f>
        <v>7521.0250000000005</v>
      </c>
      <c r="R78" s="38">
        <f>F78/12*G78</f>
        <v>7521.0250000000005</v>
      </c>
      <c r="S78" s="38">
        <f>F78/12*G78</f>
        <v>7521.0250000000005</v>
      </c>
      <c r="T78" s="38">
        <f>F78/12*G78</f>
        <v>7521.0250000000005</v>
      </c>
      <c r="U78" s="38">
        <f>SUM(R78:T78)</f>
        <v>22563.075000000001</v>
      </c>
    </row>
    <row r="79" spans="1:26" s="18" customFormat="1">
      <c r="A79" s="87"/>
      <c r="B79" s="19" t="s">
        <v>22</v>
      </c>
      <c r="C79" s="88"/>
      <c r="D79" s="89"/>
      <c r="E79" s="90"/>
      <c r="F79" s="49"/>
      <c r="G79" s="91"/>
      <c r="H79" s="50">
        <f>SUM(H77:H78)</f>
        <v>111.20230000000001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>
        <f>SUM(U77:U78)</f>
        <v>22563.075000000001</v>
      </c>
      <c r="V79" s="155"/>
      <c r="W79" s="155"/>
      <c r="X79" s="155"/>
      <c r="Y79" s="155"/>
      <c r="Z79" s="155"/>
    </row>
    <row r="80" spans="1:26" ht="25.5" customHeight="1">
      <c r="A80" s="141"/>
      <c r="B80" s="8" t="s">
        <v>79</v>
      </c>
      <c r="C80" s="69"/>
      <c r="D80" s="92"/>
      <c r="E80" s="35">
        <f>E78</f>
        <v>2549.5</v>
      </c>
      <c r="F80" s="58">
        <f>E80*12</f>
        <v>30594</v>
      </c>
      <c r="G80" s="58">
        <v>3.05</v>
      </c>
      <c r="H80" s="130">
        <f>F80*G80/1000</f>
        <v>93.311700000000002</v>
      </c>
      <c r="I80" s="38">
        <f>F80/12*G80</f>
        <v>7775.9749999999995</v>
      </c>
      <c r="J80" s="38">
        <f>F80/12*G80</f>
        <v>7775.9749999999995</v>
      </c>
      <c r="K80" s="38">
        <f>F80/12*G80</f>
        <v>7775.9749999999995</v>
      </c>
      <c r="L80" s="38">
        <f>F80/12*G80</f>
        <v>7775.9749999999995</v>
      </c>
      <c r="M80" s="38">
        <f>F80/12*G80</f>
        <v>7775.9749999999995</v>
      </c>
      <c r="N80" s="38">
        <f>F80/12*G80</f>
        <v>7775.9749999999995</v>
      </c>
      <c r="O80" s="38">
        <f>F80/12*G80</f>
        <v>7775.9749999999995</v>
      </c>
      <c r="P80" s="38">
        <f>F80/12*G80</f>
        <v>7775.9749999999995</v>
      </c>
      <c r="Q80" s="38">
        <f>F80/12*G80</f>
        <v>7775.9749999999995</v>
      </c>
      <c r="R80" s="38">
        <f>F80/12*G80</f>
        <v>7775.9749999999995</v>
      </c>
      <c r="S80" s="38">
        <f>F80/12*G80</f>
        <v>7775.9749999999995</v>
      </c>
      <c r="T80" s="38">
        <f>F80/12*G80</f>
        <v>7775.9749999999995</v>
      </c>
      <c r="U80" s="38">
        <f>SUM(R80:T80)</f>
        <v>23327.924999999999</v>
      </c>
    </row>
    <row r="81" spans="1:26" s="18" customFormat="1">
      <c r="A81" s="87"/>
      <c r="B81" s="93" t="s">
        <v>80</v>
      </c>
      <c r="C81" s="94"/>
      <c r="D81" s="93"/>
      <c r="E81" s="49"/>
      <c r="F81" s="49"/>
      <c r="G81" s="49"/>
      <c r="H81" s="79">
        <f>H80</f>
        <v>93.311700000000002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125">
        <f>U80</f>
        <v>23327.924999999999</v>
      </c>
      <c r="V81" s="155"/>
      <c r="W81" s="155"/>
      <c r="X81" s="155"/>
      <c r="Y81" s="155"/>
      <c r="Z81" s="155"/>
    </row>
    <row r="82" spans="1:26" s="18" customFormat="1">
      <c r="A82" s="87"/>
      <c r="B82" s="93" t="s">
        <v>81</v>
      </c>
      <c r="C82" s="95"/>
      <c r="D82" s="96"/>
      <c r="E82" s="97"/>
      <c r="F82" s="97"/>
      <c r="G82" s="97"/>
      <c r="H82" s="79">
        <f>SUM(H81+H79+H76+H52+H40+H31+H21)</f>
        <v>757.17397058233348</v>
      </c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125">
        <f>SUM(U81+U79+U76+U52+U40+U31+U21)</f>
        <v>145595.58767722224</v>
      </c>
      <c r="V82" s="155"/>
      <c r="W82" s="155"/>
      <c r="X82" s="155"/>
      <c r="Y82" s="155"/>
      <c r="Z82" s="155"/>
    </row>
    <row r="83" spans="1:26">
      <c r="A83" s="144"/>
      <c r="B83" s="92" t="s">
        <v>82</v>
      </c>
      <c r="C83" s="69"/>
      <c r="D83" s="92"/>
      <c r="E83" s="58"/>
      <c r="F83" s="58"/>
      <c r="G83" s="58" t="s">
        <v>83</v>
      </c>
      <c r="H83" s="98">
        <f>E80</f>
        <v>2549.5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6" s="18" customFormat="1">
      <c r="A84" s="87"/>
      <c r="B84" s="96" t="s">
        <v>84</v>
      </c>
      <c r="C84" s="95"/>
      <c r="D84" s="96"/>
      <c r="E84" s="97"/>
      <c r="F84" s="97"/>
      <c r="G84" s="97"/>
      <c r="H84" s="99">
        <f>SUM(H82/H83/12*1000)</f>
        <v>24.749100169390516</v>
      </c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126"/>
      <c r="V84" s="155"/>
      <c r="W84" s="155"/>
      <c r="X84" s="155"/>
      <c r="Y84" s="155"/>
      <c r="Z84" s="155"/>
    </row>
    <row r="85" spans="1:26">
      <c r="A85" s="100"/>
      <c r="B85" s="92"/>
      <c r="C85" s="69"/>
      <c r="D85" s="92"/>
      <c r="E85" s="58"/>
      <c r="F85" s="58"/>
      <c r="G85" s="58"/>
      <c r="H85" s="101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7"/>
    </row>
    <row r="86" spans="1:26">
      <c r="A86" s="141"/>
      <c r="B86" s="73" t="s">
        <v>85</v>
      </c>
      <c r="C86" s="69"/>
      <c r="D86" s="92"/>
      <c r="E86" s="58"/>
      <c r="F86" s="58"/>
      <c r="G86" s="58"/>
      <c r="H86" s="5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6">
      <c r="A87" s="131" t="s">
        <v>223</v>
      </c>
      <c r="B87" s="132" t="s">
        <v>224</v>
      </c>
      <c r="C87" s="25" t="s">
        <v>225</v>
      </c>
      <c r="D87" s="8"/>
      <c r="E87" s="42"/>
      <c r="F87" s="58">
        <v>1</v>
      </c>
      <c r="G87" s="58">
        <v>185.81</v>
      </c>
      <c r="H87" s="130">
        <f t="shared" ref="H87" si="16">G87*F87/1000</f>
        <v>0.18581</v>
      </c>
      <c r="I87" s="102"/>
      <c r="J87" s="102"/>
      <c r="K87" s="102"/>
      <c r="L87" s="102"/>
      <c r="M87" s="102"/>
      <c r="N87" s="102"/>
      <c r="O87" s="102"/>
      <c r="P87" s="102"/>
      <c r="Q87" s="102"/>
      <c r="R87" s="102">
        <f>G87</f>
        <v>185.81</v>
      </c>
      <c r="S87" s="102">
        <v>0</v>
      </c>
      <c r="T87" s="102">
        <v>0</v>
      </c>
      <c r="U87" s="38">
        <f>SUM(R87:T87)</f>
        <v>185.81</v>
      </c>
    </row>
    <row r="88" spans="1:26" ht="25.5">
      <c r="A88" s="157" t="s">
        <v>208</v>
      </c>
      <c r="B88" s="158" t="s">
        <v>209</v>
      </c>
      <c r="C88" s="156" t="s">
        <v>210</v>
      </c>
      <c r="D88" s="159"/>
      <c r="E88" s="154"/>
      <c r="F88" s="154">
        <f>8/10</f>
        <v>0.8</v>
      </c>
      <c r="G88" s="154">
        <v>298</v>
      </c>
      <c r="H88" s="130">
        <f t="shared" ref="H88:H89" si="17">G88*F88/1000</f>
        <v>0.2384</v>
      </c>
      <c r="I88" s="102"/>
      <c r="J88" s="102"/>
      <c r="K88" s="102"/>
      <c r="L88" s="102"/>
      <c r="M88" s="102"/>
      <c r="N88" s="102"/>
      <c r="O88" s="102"/>
      <c r="P88" s="102"/>
      <c r="Q88" s="102"/>
      <c r="R88" s="102">
        <f>G88*F88</f>
        <v>238.4</v>
      </c>
      <c r="S88" s="102">
        <v>0</v>
      </c>
      <c r="T88" s="102">
        <v>0</v>
      </c>
      <c r="U88" s="38">
        <f>SUM(R88:T88)</f>
        <v>238.4</v>
      </c>
    </row>
    <row r="89" spans="1:26" ht="25.5">
      <c r="A89" s="26" t="s">
        <v>212</v>
      </c>
      <c r="B89" s="160" t="s">
        <v>211</v>
      </c>
      <c r="C89" s="26" t="s">
        <v>132</v>
      </c>
      <c r="D89" s="159"/>
      <c r="E89" s="154"/>
      <c r="F89" s="154">
        <v>0.5</v>
      </c>
      <c r="G89" s="154">
        <v>2313.61</v>
      </c>
      <c r="H89" s="130">
        <f t="shared" si="17"/>
        <v>1.1568050000000001</v>
      </c>
      <c r="I89" s="102"/>
      <c r="J89" s="102"/>
      <c r="K89" s="102"/>
      <c r="L89" s="102"/>
      <c r="M89" s="102"/>
      <c r="N89" s="102"/>
      <c r="O89" s="102"/>
      <c r="P89" s="102"/>
      <c r="Q89" s="102"/>
      <c r="R89" s="102">
        <f>G89*0.5</f>
        <v>1156.8050000000001</v>
      </c>
      <c r="S89" s="102">
        <v>0</v>
      </c>
      <c r="T89" s="102">
        <v>0</v>
      </c>
      <c r="U89" s="38">
        <f t="shared" ref="U89:U97" si="18">SUM(R89:T89)</f>
        <v>1156.8050000000001</v>
      </c>
    </row>
    <row r="90" spans="1:26">
      <c r="A90" s="147" t="s">
        <v>189</v>
      </c>
      <c r="B90" s="148" t="s">
        <v>147</v>
      </c>
      <c r="C90" s="147" t="s">
        <v>148</v>
      </c>
      <c r="D90" s="8"/>
      <c r="E90" s="42"/>
      <c r="F90" s="58">
        <f>27/3</f>
        <v>9</v>
      </c>
      <c r="G90" s="58">
        <v>1063.47</v>
      </c>
      <c r="H90" s="130">
        <f t="shared" ref="H90:H97" si="19">G90*F90/1000</f>
        <v>9.5712299999999999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f>G90*((3+6+3+6)/3)</f>
        <v>6380.82</v>
      </c>
      <c r="P90" s="102">
        <f>G90</f>
        <v>1063.47</v>
      </c>
      <c r="Q90" s="102">
        <f>G90</f>
        <v>1063.47</v>
      </c>
      <c r="R90" s="102">
        <f>G90*5</f>
        <v>5317.35</v>
      </c>
      <c r="S90" s="102">
        <f>G90*((3+3)/3)</f>
        <v>2126.94</v>
      </c>
      <c r="T90" s="102">
        <f>G90*((3+3)/3)</f>
        <v>2126.94</v>
      </c>
      <c r="U90" s="38">
        <f t="shared" si="18"/>
        <v>9571.2300000000014</v>
      </c>
    </row>
    <row r="91" spans="1:26">
      <c r="A91" s="147"/>
      <c r="B91" s="158" t="s">
        <v>222</v>
      </c>
      <c r="C91" s="156" t="s">
        <v>53</v>
      </c>
      <c r="D91" s="159"/>
      <c r="E91" s="154"/>
      <c r="F91" s="154">
        <v>1</v>
      </c>
      <c r="G91" s="154">
        <v>470</v>
      </c>
      <c r="H91" s="130">
        <f t="shared" si="19"/>
        <v>0.47</v>
      </c>
      <c r="I91" s="102"/>
      <c r="J91" s="102"/>
      <c r="K91" s="102"/>
      <c r="L91" s="102"/>
      <c r="M91" s="102"/>
      <c r="N91" s="102"/>
      <c r="O91" s="102"/>
      <c r="P91" s="102"/>
      <c r="Q91" s="102"/>
      <c r="R91" s="102">
        <f>G91</f>
        <v>470</v>
      </c>
      <c r="S91" s="102">
        <v>0</v>
      </c>
      <c r="T91" s="102">
        <v>0</v>
      </c>
      <c r="U91" s="38">
        <f t="shared" si="18"/>
        <v>470</v>
      </c>
    </row>
    <row r="92" spans="1:26" ht="25.5">
      <c r="A92" s="131" t="s">
        <v>215</v>
      </c>
      <c r="B92" s="132" t="s">
        <v>106</v>
      </c>
      <c r="C92" s="25" t="s">
        <v>53</v>
      </c>
      <c r="D92" s="8"/>
      <c r="E92" s="42"/>
      <c r="F92" s="58">
        <v>6</v>
      </c>
      <c r="G92" s="58">
        <v>180.15</v>
      </c>
      <c r="H92" s="58">
        <f t="shared" si="19"/>
        <v>1.0809000000000002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f>G92*3</f>
        <v>540.45000000000005</v>
      </c>
      <c r="S92" s="102">
        <f>G92</f>
        <v>180.15</v>
      </c>
      <c r="T92" s="102">
        <f>G92*2</f>
        <v>360.3</v>
      </c>
      <c r="U92" s="38">
        <f t="shared" si="18"/>
        <v>1080.9000000000001</v>
      </c>
    </row>
    <row r="93" spans="1:26" ht="25.5">
      <c r="A93" s="161" t="s">
        <v>214</v>
      </c>
      <c r="B93" s="132" t="s">
        <v>213</v>
      </c>
      <c r="C93" s="131" t="s">
        <v>131</v>
      </c>
      <c r="D93" s="8"/>
      <c r="E93" s="42"/>
      <c r="F93" s="58">
        <v>1</v>
      </c>
      <c r="G93" s="58">
        <v>559.62</v>
      </c>
      <c r="H93" s="130">
        <f t="shared" si="19"/>
        <v>0.55962000000000001</v>
      </c>
      <c r="I93" s="102"/>
      <c r="J93" s="102"/>
      <c r="K93" s="102"/>
      <c r="L93" s="102"/>
      <c r="M93" s="102"/>
      <c r="N93" s="102"/>
      <c r="O93" s="102"/>
      <c r="P93" s="102"/>
      <c r="Q93" s="102"/>
      <c r="R93" s="102">
        <v>0</v>
      </c>
      <c r="S93" s="102">
        <f>G93</f>
        <v>559.62</v>
      </c>
      <c r="T93" s="102">
        <v>0</v>
      </c>
      <c r="U93" s="38">
        <f t="shared" si="18"/>
        <v>559.62</v>
      </c>
    </row>
    <row r="94" spans="1:26" ht="25.5">
      <c r="A94" s="131" t="s">
        <v>129</v>
      </c>
      <c r="B94" s="132" t="s">
        <v>217</v>
      </c>
      <c r="C94" s="25" t="s">
        <v>121</v>
      </c>
      <c r="D94" s="8"/>
      <c r="E94" s="42"/>
      <c r="F94" s="58">
        <v>12</v>
      </c>
      <c r="G94" s="58">
        <v>1206</v>
      </c>
      <c r="H94" s="130">
        <f t="shared" ref="H94:H95" si="20">G94*F94/1000</f>
        <v>14.472</v>
      </c>
      <c r="I94" s="102">
        <v>0</v>
      </c>
      <c r="J94" s="102">
        <v>0</v>
      </c>
      <c r="K94" s="102">
        <v>0</v>
      </c>
      <c r="L94" s="102">
        <f>G94*6</f>
        <v>7236</v>
      </c>
      <c r="M94" s="102">
        <f>G94*2</f>
        <v>2412</v>
      </c>
      <c r="N94" s="102">
        <v>0</v>
      </c>
      <c r="O94" s="102">
        <v>0</v>
      </c>
      <c r="P94" s="102">
        <v>0</v>
      </c>
      <c r="Q94" s="102">
        <v>0</v>
      </c>
      <c r="R94" s="102">
        <v>0</v>
      </c>
      <c r="S94" s="102">
        <f>G94*12</f>
        <v>14472</v>
      </c>
      <c r="T94" s="102">
        <v>0</v>
      </c>
      <c r="U94" s="38">
        <f t="shared" si="18"/>
        <v>14472</v>
      </c>
    </row>
    <row r="95" spans="1:26" ht="25.5">
      <c r="A95" s="131" t="s">
        <v>218</v>
      </c>
      <c r="B95" s="132" t="s">
        <v>219</v>
      </c>
      <c r="C95" s="131" t="s">
        <v>131</v>
      </c>
      <c r="D95" s="8"/>
      <c r="E95" s="42"/>
      <c r="F95" s="58">
        <v>1</v>
      </c>
      <c r="G95" s="58">
        <v>195.95</v>
      </c>
      <c r="H95" s="130">
        <f t="shared" si="20"/>
        <v>0.19594999999999999</v>
      </c>
      <c r="I95" s="102"/>
      <c r="J95" s="102"/>
      <c r="K95" s="102"/>
      <c r="L95" s="102"/>
      <c r="M95" s="102"/>
      <c r="N95" s="102"/>
      <c r="O95" s="102"/>
      <c r="P95" s="102"/>
      <c r="Q95" s="102"/>
      <c r="R95" s="102">
        <v>0</v>
      </c>
      <c r="S95" s="102">
        <f>G95</f>
        <v>195.95</v>
      </c>
      <c r="T95" s="102">
        <v>0</v>
      </c>
      <c r="U95" s="38">
        <f t="shared" si="18"/>
        <v>195.95</v>
      </c>
    </row>
    <row r="96" spans="1:26" ht="25.5">
      <c r="A96" s="131" t="s">
        <v>129</v>
      </c>
      <c r="B96" s="132" t="s">
        <v>216</v>
      </c>
      <c r="C96" s="25" t="s">
        <v>121</v>
      </c>
      <c r="D96" s="8"/>
      <c r="E96" s="42"/>
      <c r="F96" s="58">
        <v>0.7</v>
      </c>
      <c r="G96" s="58">
        <v>1146</v>
      </c>
      <c r="H96" s="130">
        <f t="shared" si="19"/>
        <v>0.80219999999999991</v>
      </c>
      <c r="I96" s="102">
        <v>0</v>
      </c>
      <c r="J96" s="102">
        <v>0</v>
      </c>
      <c r="K96" s="102">
        <v>0</v>
      </c>
      <c r="L96" s="102">
        <f>G96*6</f>
        <v>6876</v>
      </c>
      <c r="M96" s="102">
        <f>G96*2</f>
        <v>2292</v>
      </c>
      <c r="N96" s="102">
        <v>0</v>
      </c>
      <c r="O96" s="102">
        <v>0</v>
      </c>
      <c r="P96" s="102">
        <v>0</v>
      </c>
      <c r="Q96" s="102">
        <v>0</v>
      </c>
      <c r="R96" s="102">
        <v>0</v>
      </c>
      <c r="S96" s="102">
        <f>G96*0.7</f>
        <v>802.19999999999993</v>
      </c>
      <c r="T96" s="102">
        <v>0</v>
      </c>
      <c r="U96" s="38">
        <f t="shared" si="18"/>
        <v>802.19999999999993</v>
      </c>
    </row>
    <row r="97" spans="1:26" ht="25.5">
      <c r="A97" s="161" t="s">
        <v>187</v>
      </c>
      <c r="B97" s="132" t="s">
        <v>101</v>
      </c>
      <c r="C97" s="25" t="s">
        <v>53</v>
      </c>
      <c r="D97" s="8"/>
      <c r="E97" s="42"/>
      <c r="F97" s="58">
        <v>2</v>
      </c>
      <c r="G97" s="58">
        <v>79.09</v>
      </c>
      <c r="H97" s="130">
        <f t="shared" si="19"/>
        <v>0.15818000000000002</v>
      </c>
      <c r="I97" s="102">
        <v>0</v>
      </c>
      <c r="J97" s="102">
        <v>0</v>
      </c>
      <c r="K97" s="102">
        <v>0</v>
      </c>
      <c r="L97" s="102">
        <f>G97</f>
        <v>79.09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f>G97</f>
        <v>79.09</v>
      </c>
      <c r="T97" s="102">
        <f>G97</f>
        <v>79.09</v>
      </c>
      <c r="U97" s="38">
        <f t="shared" si="18"/>
        <v>158.18</v>
      </c>
    </row>
    <row r="98" spans="1:26" ht="25.5">
      <c r="A98" s="131" t="s">
        <v>174</v>
      </c>
      <c r="B98" s="132" t="s">
        <v>137</v>
      </c>
      <c r="C98" s="26" t="s">
        <v>50</v>
      </c>
      <c r="D98" s="8"/>
      <c r="E98" s="42"/>
      <c r="F98" s="58">
        <f>1/100</f>
        <v>0.01</v>
      </c>
      <c r="G98" s="58">
        <v>3397.65</v>
      </c>
      <c r="H98" s="130">
        <f>G98*F98/1000</f>
        <v>3.39765E-2</v>
      </c>
      <c r="I98" s="102">
        <v>0</v>
      </c>
      <c r="J98" s="102">
        <v>0</v>
      </c>
      <c r="K98" s="102">
        <f>G98*0.03</f>
        <v>101.9295</v>
      </c>
      <c r="L98" s="102">
        <f>G98*0.01</f>
        <v>33.976500000000001</v>
      </c>
      <c r="M98" s="102">
        <v>0</v>
      </c>
      <c r="N98" s="102">
        <v>0</v>
      </c>
      <c r="O98" s="102">
        <v>0</v>
      </c>
      <c r="P98" s="102">
        <f>G98*0.01</f>
        <v>33.976500000000001</v>
      </c>
      <c r="Q98" s="102">
        <f>G98*0.01</f>
        <v>33.976500000000001</v>
      </c>
      <c r="R98" s="102">
        <v>0</v>
      </c>
      <c r="S98" s="102">
        <v>0</v>
      </c>
      <c r="T98" s="102">
        <f>G98*0.01</f>
        <v>33.976500000000001</v>
      </c>
      <c r="U98" s="38">
        <f>SUM(R98:T98)</f>
        <v>33.976500000000001</v>
      </c>
    </row>
    <row r="99" spans="1:26" ht="25.5">
      <c r="A99" s="131" t="s">
        <v>175</v>
      </c>
      <c r="B99" s="132" t="s">
        <v>140</v>
      </c>
      <c r="C99" s="26" t="s">
        <v>139</v>
      </c>
      <c r="D99" s="8"/>
      <c r="E99" s="42"/>
      <c r="F99" s="58">
        <f>1/100</f>
        <v>0.01</v>
      </c>
      <c r="G99" s="58">
        <v>7033.13</v>
      </c>
      <c r="H99" s="130">
        <f>G99*F99/1000</f>
        <v>7.0331299999999999E-2</v>
      </c>
      <c r="I99" s="102">
        <v>0</v>
      </c>
      <c r="J99" s="102">
        <v>0</v>
      </c>
      <c r="K99" s="102">
        <v>0</v>
      </c>
      <c r="L99" s="102">
        <f>G99*0.01</f>
        <v>70.331299999999999</v>
      </c>
      <c r="M99" s="102">
        <v>0</v>
      </c>
      <c r="N99" s="102">
        <v>0</v>
      </c>
      <c r="O99" s="102">
        <v>0</v>
      </c>
      <c r="P99" s="102">
        <v>0</v>
      </c>
      <c r="Q99" s="102">
        <v>0</v>
      </c>
      <c r="R99" s="102">
        <v>0</v>
      </c>
      <c r="S99" s="102">
        <v>0</v>
      </c>
      <c r="T99" s="102">
        <f>G99*0.01</f>
        <v>70.331299999999999</v>
      </c>
      <c r="U99" s="38">
        <f>SUM(R99:T99)</f>
        <v>70.331299999999999</v>
      </c>
    </row>
    <row r="100" spans="1:26">
      <c r="A100" s="149" t="s">
        <v>188</v>
      </c>
      <c r="B100" s="150" t="s">
        <v>55</v>
      </c>
      <c r="C100" s="28" t="s">
        <v>53</v>
      </c>
      <c r="D100" s="8"/>
      <c r="E100" s="42"/>
      <c r="F100" s="58">
        <v>4</v>
      </c>
      <c r="G100" s="58">
        <v>81.73</v>
      </c>
      <c r="H100" s="130">
        <f>G100*F100/1000</f>
        <v>0.32691999999999999</v>
      </c>
      <c r="I100" s="102">
        <v>0</v>
      </c>
      <c r="J100" s="102">
        <v>0</v>
      </c>
      <c r="K100" s="102">
        <v>0</v>
      </c>
      <c r="L100" s="102">
        <v>0</v>
      </c>
      <c r="M100" s="102">
        <v>0</v>
      </c>
      <c r="N100" s="102">
        <f>G100</f>
        <v>81.73</v>
      </c>
      <c r="O100" s="102">
        <v>0</v>
      </c>
      <c r="P100" s="102">
        <v>0</v>
      </c>
      <c r="Q100" s="102">
        <v>0</v>
      </c>
      <c r="R100" s="102">
        <v>0</v>
      </c>
      <c r="S100" s="102">
        <v>0</v>
      </c>
      <c r="T100" s="102">
        <f>G100*4</f>
        <v>326.92</v>
      </c>
      <c r="U100" s="38">
        <f>SUM(R100:T100)</f>
        <v>326.92</v>
      </c>
    </row>
    <row r="101" spans="1:26" s="18" customFormat="1">
      <c r="A101" s="103"/>
      <c r="B101" s="104" t="s">
        <v>86</v>
      </c>
      <c r="C101" s="103"/>
      <c r="D101" s="103"/>
      <c r="E101" s="97"/>
      <c r="F101" s="97"/>
      <c r="G101" s="97"/>
      <c r="H101" s="50">
        <f>SUM(H88:H100)</f>
        <v>29.136512800000002</v>
      </c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49">
        <f>SUM(U88:U100)</f>
        <v>29136.512800000004</v>
      </c>
      <c r="V101" s="155"/>
      <c r="W101" s="155"/>
      <c r="X101" s="155"/>
      <c r="Y101" s="155"/>
      <c r="Z101" s="155"/>
    </row>
    <row r="102" spans="1:26">
      <c r="A102" s="100"/>
      <c r="B102" s="105"/>
      <c r="C102" s="106"/>
      <c r="D102" s="106"/>
      <c r="E102" s="58"/>
      <c r="F102" s="58"/>
      <c r="G102" s="58"/>
      <c r="H102" s="107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128"/>
    </row>
    <row r="103" spans="1:26" ht="12" customHeight="1">
      <c r="A103" s="141"/>
      <c r="B103" s="17" t="s">
        <v>87</v>
      </c>
      <c r="C103" s="69"/>
      <c r="D103" s="92"/>
      <c r="E103" s="58"/>
      <c r="F103" s="58"/>
      <c r="G103" s="58"/>
      <c r="H103" s="108">
        <f>H101/E104/12*1000</f>
        <v>0.95236035824017784</v>
      </c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128"/>
    </row>
    <row r="104" spans="1:26" s="18" customFormat="1">
      <c r="A104" s="87"/>
      <c r="B104" s="109" t="s">
        <v>88</v>
      </c>
      <c r="C104" s="110"/>
      <c r="D104" s="109"/>
      <c r="E104" s="145">
        <v>2549.5</v>
      </c>
      <c r="F104" s="111">
        <f>SUM(E104*12)</f>
        <v>30594</v>
      </c>
      <c r="G104" s="112">
        <f>H84+H103</f>
        <v>25.701460527630694</v>
      </c>
      <c r="H104" s="113">
        <f>SUM(F104*G104/1000)</f>
        <v>786.31048338233347</v>
      </c>
      <c r="I104" s="97">
        <f t="shared" ref="I104:Q104" si="21">SUM(I11:I103)</f>
        <v>67130.066762500021</v>
      </c>
      <c r="J104" s="97">
        <f t="shared" si="21"/>
        <v>45500.558062500008</v>
      </c>
      <c r="K104" s="97">
        <f t="shared" si="21"/>
        <v>45081.7298725</v>
      </c>
      <c r="L104" s="97">
        <f t="shared" si="21"/>
        <v>82406.916202500011</v>
      </c>
      <c r="M104" s="97">
        <f t="shared" si="21"/>
        <v>160124.31715155556</v>
      </c>
      <c r="N104" s="97">
        <f t="shared" si="21"/>
        <v>36746.805845555566</v>
      </c>
      <c r="O104" s="97">
        <f t="shared" si="21"/>
        <v>43045.895845555562</v>
      </c>
      <c r="P104" s="97">
        <f t="shared" si="21"/>
        <v>59462.362345555557</v>
      </c>
      <c r="Q104" s="97">
        <f t="shared" si="21"/>
        <v>47360.007773555561</v>
      </c>
      <c r="R104" s="97">
        <f>SUM(R11:R103)</f>
        <v>52848.210845555557</v>
      </c>
      <c r="S104" s="97">
        <f>SUM(S11:S103)</f>
        <v>65936.641735833342</v>
      </c>
      <c r="T104" s="97">
        <f>SUM(T11:T103)</f>
        <v>56133.057895833335</v>
      </c>
      <c r="U104" s="49">
        <f>U82+U101</f>
        <v>174732.10047722224</v>
      </c>
      <c r="V104" s="155"/>
      <c r="W104" s="155"/>
      <c r="X104" s="155"/>
      <c r="Y104" s="155"/>
      <c r="Z104" s="155"/>
    </row>
    <row r="105" spans="1:26">
      <c r="A105" s="71"/>
      <c r="B105" s="71"/>
      <c r="C105" s="71"/>
      <c r="D105" s="71"/>
      <c r="E105" s="114"/>
      <c r="F105" s="114"/>
      <c r="G105" s="114"/>
      <c r="H105" s="114"/>
      <c r="I105" s="114"/>
      <c r="J105" s="114"/>
      <c r="K105" s="114"/>
      <c r="L105" s="114"/>
      <c r="M105" s="71"/>
      <c r="N105" s="114"/>
      <c r="O105" s="71"/>
      <c r="P105" s="71"/>
      <c r="Q105" s="71"/>
      <c r="R105" s="71"/>
      <c r="S105" s="71"/>
      <c r="T105" s="71"/>
      <c r="U105" s="71"/>
    </row>
    <row r="106" spans="1:26">
      <c r="A106" s="71"/>
      <c r="B106" s="71"/>
      <c r="C106" s="71"/>
      <c r="D106" s="71"/>
      <c r="E106" s="114"/>
      <c r="F106" s="114"/>
      <c r="G106" s="114"/>
      <c r="H106" s="114"/>
      <c r="I106" s="114"/>
      <c r="J106" s="115"/>
      <c r="K106" s="116"/>
      <c r="L106" s="115"/>
      <c r="M106" s="114"/>
      <c r="N106" s="71"/>
      <c r="O106" s="71"/>
      <c r="P106" s="71"/>
      <c r="Q106" s="71"/>
      <c r="R106" s="71"/>
      <c r="S106" s="71"/>
      <c r="T106" s="71"/>
      <c r="U106" s="71"/>
    </row>
    <row r="107" spans="1:26" ht="45">
      <c r="A107" s="71"/>
      <c r="B107" s="117" t="s">
        <v>130</v>
      </c>
      <c r="C107" s="165">
        <v>262456.61</v>
      </c>
      <c r="D107" s="166"/>
      <c r="E107" s="166"/>
      <c r="F107" s="167"/>
      <c r="G107" s="114"/>
      <c r="H107" s="114"/>
      <c r="I107" s="114"/>
      <c r="J107" s="115"/>
      <c r="K107" s="116"/>
      <c r="L107" s="115"/>
      <c r="M107" s="114"/>
      <c r="N107" s="71"/>
      <c r="O107" s="71"/>
      <c r="P107" s="71"/>
      <c r="Q107" s="71"/>
      <c r="R107" s="71"/>
      <c r="S107" s="71"/>
      <c r="T107" s="71"/>
      <c r="U107" s="71"/>
    </row>
    <row r="108" spans="1:26" ht="30">
      <c r="A108" s="71"/>
      <c r="B108" s="21" t="s">
        <v>133</v>
      </c>
      <c r="C108" s="169">
        <f>(60805.74*9)+(74751.36*3)</f>
        <v>771505.74</v>
      </c>
      <c r="D108" s="170"/>
      <c r="E108" s="170"/>
      <c r="F108" s="171"/>
      <c r="G108" s="114"/>
      <c r="H108" s="114"/>
      <c r="I108" s="114"/>
      <c r="J108" s="115"/>
      <c r="K108" s="116"/>
      <c r="L108" s="115"/>
      <c r="M108" s="114"/>
      <c r="N108" s="71"/>
      <c r="O108" s="71"/>
      <c r="P108" s="71"/>
      <c r="Q108" s="71"/>
      <c r="R108" s="71"/>
      <c r="S108" s="71"/>
      <c r="T108" s="71"/>
      <c r="U108" s="71"/>
    </row>
    <row r="109" spans="1:26" ht="30">
      <c r="A109" s="71"/>
      <c r="B109" s="21" t="s">
        <v>138</v>
      </c>
      <c r="C109" s="169">
        <f>SUM(U104-U101)+526112.68</f>
        <v>671708.26767722226</v>
      </c>
      <c r="D109" s="170"/>
      <c r="E109" s="170"/>
      <c r="F109" s="171"/>
      <c r="G109" s="114"/>
      <c r="H109" s="114"/>
      <c r="I109" s="114"/>
      <c r="J109" s="115"/>
      <c r="K109" s="116"/>
      <c r="L109" s="115"/>
      <c r="M109" s="114"/>
      <c r="N109" s="71"/>
      <c r="O109" s="71"/>
      <c r="P109" s="71"/>
      <c r="Q109" s="71"/>
      <c r="R109" s="71"/>
      <c r="S109" s="71"/>
      <c r="T109" s="71"/>
      <c r="U109" s="71"/>
    </row>
    <row r="110" spans="1:26" ht="30">
      <c r="A110" s="71"/>
      <c r="B110" s="21" t="s">
        <v>134</v>
      </c>
      <c r="C110" s="169">
        <f>SUM(U101)+26887.18</f>
        <v>56023.692800000004</v>
      </c>
      <c r="D110" s="170"/>
      <c r="E110" s="170"/>
      <c r="F110" s="171"/>
      <c r="G110" s="114"/>
      <c r="H110" s="114"/>
      <c r="I110" s="114"/>
      <c r="J110" s="115"/>
      <c r="K110" s="116"/>
      <c r="L110" s="115"/>
      <c r="M110" s="114"/>
      <c r="N110" s="71"/>
      <c r="O110" s="71"/>
      <c r="P110" s="71"/>
      <c r="Q110" s="71"/>
      <c r="R110" s="118" t="s">
        <v>93</v>
      </c>
      <c r="S110" s="71"/>
      <c r="T110" s="71"/>
      <c r="U110" s="71"/>
    </row>
    <row r="111" spans="1:26" ht="18">
      <c r="A111" s="71"/>
      <c r="B111" s="123" t="s">
        <v>135</v>
      </c>
      <c r="C111" s="169">
        <f>(44211.78+92259.39+64915.44+56311.75+60860.84+46787.95+67660.68+54431+45893.83)+67157.94+55659.39+90677.42</f>
        <v>746827.40999999992</v>
      </c>
      <c r="D111" s="170"/>
      <c r="E111" s="170"/>
      <c r="F111" s="171"/>
      <c r="G111" s="71"/>
      <c r="I111" s="118" t="s">
        <v>93</v>
      </c>
      <c r="J111" s="119"/>
      <c r="K111" s="120"/>
      <c r="L111" s="121"/>
      <c r="M111" s="118"/>
      <c r="N111" s="118"/>
      <c r="O111" s="71"/>
      <c r="P111" s="71"/>
      <c r="Q111" s="71"/>
      <c r="R111" s="71"/>
      <c r="S111" s="71"/>
      <c r="T111" s="71"/>
      <c r="U111" s="71"/>
    </row>
    <row r="112" spans="1:26" ht="78.75">
      <c r="A112" s="71"/>
      <c r="B112" s="22" t="s">
        <v>220</v>
      </c>
      <c r="C112" s="172">
        <v>221595.88</v>
      </c>
      <c r="D112" s="173"/>
      <c r="E112" s="173"/>
      <c r="F112" s="174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</row>
    <row r="113" spans="1:21" ht="45">
      <c r="A113" s="71"/>
      <c r="B113" s="122" t="s">
        <v>221</v>
      </c>
      <c r="C113" s="168">
        <f>SUM(C109+C110-C108)+C107</f>
        <v>218682.83047722222</v>
      </c>
      <c r="D113" s="166"/>
      <c r="E113" s="166"/>
      <c r="F113" s="167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</row>
    <row r="115" spans="1:21">
      <c r="J115" s="3"/>
      <c r="K115" s="4"/>
      <c r="L115" s="4"/>
      <c r="M115" s="2"/>
    </row>
    <row r="116" spans="1:21">
      <c r="G116" s="5"/>
      <c r="H116" s="5"/>
    </row>
    <row r="117" spans="1:21">
      <c r="G117" s="6"/>
    </row>
  </sheetData>
  <mergeCells count="11">
    <mergeCell ref="C113:F113"/>
    <mergeCell ref="C108:F108"/>
    <mergeCell ref="C109:F109"/>
    <mergeCell ref="C110:F110"/>
    <mergeCell ref="C111:F111"/>
    <mergeCell ref="C112:F112"/>
    <mergeCell ref="B3:L3"/>
    <mergeCell ref="B4:L4"/>
    <mergeCell ref="B5:L5"/>
    <mergeCell ref="B6:L6"/>
    <mergeCell ref="C107:F107"/>
  </mergeCells>
  <pageMargins left="0.31496062992125984" right="0.31496062992125984" top="0.15748031496062992" bottom="0.19685039370078741" header="0.15748031496062992" footer="0.15748031496062992"/>
  <pageSetup paperSize="9" scale="4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Косм.,1</vt:lpstr>
      <vt:lpstr>'Косм.,1'!Область_печати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2017-04-06T12:01:44Z</cp:lastPrinted>
  <dcterms:created xsi:type="dcterms:W3CDTF">2014-02-05T12:20:20Z</dcterms:created>
  <dcterms:modified xsi:type="dcterms:W3CDTF">2017-04-06T12:01:49Z</dcterms:modified>
</cp:coreProperties>
</file>