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45" windowWidth="15480" windowHeight="8145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_FilterDatabase" localSheetId="0" hidden="1">'01.18'!$I$12:$I$58</definedName>
    <definedName name="_xlnm._FilterDatabase" localSheetId="1" hidden="1">'02.18'!$I$12:$I$58</definedName>
    <definedName name="_xlnm._FilterDatabase" localSheetId="2" hidden="1">'03.18'!$I$12:$I$58</definedName>
    <definedName name="_xlnm._FilterDatabase" localSheetId="3" hidden="1">'04.18'!$I$12:$I$58</definedName>
    <definedName name="_xlnm._FilterDatabase" localSheetId="4" hidden="1">'05.18'!$I$12:$I$58</definedName>
    <definedName name="_xlnm._FilterDatabase" localSheetId="5" hidden="1">'06.18'!$I$12:$I$58</definedName>
    <definedName name="_xlnm._FilterDatabase" localSheetId="6" hidden="1">'07.18'!$I$12:$I$58</definedName>
    <definedName name="_xlnm._FilterDatabase" localSheetId="7" hidden="1">'08.18'!$I$12:$I$58</definedName>
    <definedName name="_xlnm._FilterDatabase" localSheetId="8" hidden="1">'09.18'!$I$12:$I$58</definedName>
    <definedName name="_xlnm._FilterDatabase" localSheetId="9" hidden="1">'10.18'!$I$12:$I$58</definedName>
    <definedName name="_xlnm._FilterDatabase" localSheetId="10" hidden="1">'11.18'!$I$12:$I$58</definedName>
    <definedName name="_xlnm._FilterDatabase" localSheetId="11" hidden="1">'12.18'!$I$12:$I$58</definedName>
    <definedName name="_xlnm.Print_Titles" localSheetId="8">'09.18'!$12:$13</definedName>
    <definedName name="_xlnm.Print_Area" localSheetId="0">'01.18'!$A$1:$I$110</definedName>
    <definedName name="_xlnm.Print_Area" localSheetId="1">'02.18'!$A$1:$I$109</definedName>
    <definedName name="_xlnm.Print_Area" localSheetId="2">'03.18'!$A$1:$I$112</definedName>
    <definedName name="_xlnm.Print_Area" localSheetId="3">'04.18'!$A$1:$I$113</definedName>
    <definedName name="_xlnm.Print_Area" localSheetId="4">'05.18'!$A$1:$I$108</definedName>
    <definedName name="_xlnm.Print_Area" localSheetId="5">'06.18'!$A$1:$I$126</definedName>
    <definedName name="_xlnm.Print_Area" localSheetId="6">'07.18'!$A$1:$I$109</definedName>
    <definedName name="_xlnm.Print_Area" localSheetId="7">'08.18'!$A$1:$I$128</definedName>
    <definedName name="_xlnm.Print_Area" localSheetId="8">'09.18'!$A$1:$I$118</definedName>
    <definedName name="_xlnm.Print_Area" localSheetId="9">'10.18'!$A$1:$I$115</definedName>
    <definedName name="_xlnm.Print_Area" localSheetId="10">'11.18'!$A$1:$I$126</definedName>
    <definedName name="_xlnm.Print_Area" localSheetId="11">'12.18'!$A$1:$I$112</definedName>
  </definedNames>
  <calcPr calcId="124519"/>
</workbook>
</file>

<file path=xl/calcChain.xml><?xml version="1.0" encoding="utf-8"?>
<calcChain xmlns="http://schemas.openxmlformats.org/spreadsheetml/2006/main">
  <c r="I95" i="25"/>
  <c r="I94"/>
  <c r="I81" i="28" l="1"/>
  <c r="I89"/>
  <c r="I88"/>
  <c r="I87"/>
  <c r="I86"/>
  <c r="I85"/>
  <c r="I84"/>
  <c r="I83"/>
  <c r="I71"/>
  <c r="I56"/>
  <c r="I43"/>
  <c r="I43" i="27" l="1"/>
  <c r="I42"/>
  <c r="I81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103" s="1"/>
  <c r="I83"/>
  <c r="I71"/>
  <c r="I61"/>
  <c r="I84" i="26" l="1"/>
  <c r="I92" s="1"/>
  <c r="I81"/>
  <c r="I56"/>
  <c r="I91"/>
  <c r="I52"/>
  <c r="I51"/>
  <c r="I50"/>
  <c r="I90"/>
  <c r="I89"/>
  <c r="I88"/>
  <c r="I87"/>
  <c r="I86"/>
  <c r="I85"/>
  <c r="I83"/>
  <c r="I71"/>
  <c r="I93" i="25"/>
  <c r="I92"/>
  <c r="I81" l="1"/>
  <c r="I105" i="24"/>
  <c r="I104"/>
  <c r="I103"/>
  <c r="I102"/>
  <c r="I86" i="25" l="1"/>
  <c r="I85"/>
  <c r="I84"/>
  <c r="I83"/>
  <c r="I71"/>
  <c r="I101" i="24" l="1"/>
  <c r="I100"/>
  <c r="I99"/>
  <c r="I98"/>
  <c r="I97"/>
  <c r="I96"/>
  <c r="I95"/>
  <c r="I94"/>
  <c r="I93"/>
  <c r="I81"/>
  <c r="I86"/>
  <c r="I85"/>
  <c r="I84"/>
  <c r="I83"/>
  <c r="I71"/>
  <c r="I56" i="20"/>
  <c r="I56" i="19"/>
  <c r="I56" i="18"/>
  <c r="I56" i="17"/>
  <c r="I89" i="19"/>
  <c r="I88"/>
  <c r="I86" i="23"/>
  <c r="I81"/>
  <c r="I85"/>
  <c r="I84"/>
  <c r="I83"/>
  <c r="I71"/>
  <c r="I83" i="22"/>
  <c r="I103"/>
  <c r="I99"/>
  <c r="I98"/>
  <c r="I97"/>
  <c r="I96"/>
  <c r="I95"/>
  <c r="I94"/>
  <c r="I93"/>
  <c r="I92"/>
  <c r="I91"/>
  <c r="I90"/>
  <c r="I89"/>
  <c r="I88"/>
  <c r="I87"/>
  <c r="I86"/>
  <c r="I85"/>
  <c r="I84"/>
  <c r="I71"/>
  <c r="I85" i="21" l="1"/>
  <c r="I84"/>
  <c r="I83"/>
  <c r="I71"/>
  <c r="I71" i="19"/>
  <c r="I86" i="20"/>
  <c r="I81"/>
  <c r="I88"/>
  <c r="I52"/>
  <c r="F56"/>
  <c r="H56" s="1"/>
  <c r="I89"/>
  <c r="I87"/>
  <c r="I90"/>
  <c r="I85"/>
  <c r="I84"/>
  <c r="I83"/>
  <c r="I71"/>
  <c r="I43"/>
  <c r="I87" i="19"/>
  <c r="I86"/>
  <c r="I85"/>
  <c r="H87"/>
  <c r="H86"/>
  <c r="H85"/>
  <c r="I84"/>
  <c r="H84"/>
  <c r="I83"/>
  <c r="H83"/>
  <c r="F59"/>
  <c r="I43"/>
  <c r="I81" i="18"/>
  <c r="I43"/>
  <c r="I42"/>
  <c r="I43" i="17"/>
  <c r="I42"/>
  <c r="I85" i="18" l="1"/>
  <c r="I84"/>
  <c r="I83"/>
  <c r="H85"/>
  <c r="H84"/>
  <c r="H83"/>
  <c r="I71"/>
  <c r="F59"/>
  <c r="H59" s="1"/>
  <c r="I86" i="17"/>
  <c r="H86"/>
  <c r="I85"/>
  <c r="H85"/>
  <c r="I84"/>
  <c r="H84"/>
  <c r="I83"/>
  <c r="H83"/>
  <c r="I71"/>
  <c r="F59"/>
  <c r="H59" s="1"/>
  <c r="I59" i="18" l="1"/>
  <c r="H85" i="23" l="1"/>
  <c r="H102" i="22"/>
  <c r="H88" i="28"/>
  <c r="H87"/>
  <c r="H86"/>
  <c r="H85"/>
  <c r="H84"/>
  <c r="H83"/>
  <c r="I77"/>
  <c r="E80"/>
  <c r="F80" s="1"/>
  <c r="F79"/>
  <c r="H79" s="1"/>
  <c r="H77"/>
  <c r="H75"/>
  <c r="H73"/>
  <c r="H72"/>
  <c r="H71"/>
  <c r="H70"/>
  <c r="F70"/>
  <c r="H68"/>
  <c r="F67"/>
  <c r="H67" s="1"/>
  <c r="F66"/>
  <c r="H66" s="1"/>
  <c r="F65"/>
  <c r="H65" s="1"/>
  <c r="F64"/>
  <c r="H64" s="1"/>
  <c r="F63"/>
  <c r="H63" s="1"/>
  <c r="H62"/>
  <c r="I61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87" i="27"/>
  <c r="H86"/>
  <c r="H85"/>
  <c r="H84"/>
  <c r="H83"/>
  <c r="E80"/>
  <c r="F80" s="1"/>
  <c r="F79"/>
  <c r="H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89" i="26"/>
  <c r="H89" s="1"/>
  <c r="H88"/>
  <c r="H87"/>
  <c r="H86"/>
  <c r="H85"/>
  <c r="H84"/>
  <c r="F83"/>
  <c r="H83" s="1"/>
  <c r="I61"/>
  <c r="H89" i="20"/>
  <c r="H42" i="28" l="1"/>
  <c r="I42"/>
  <c r="H76"/>
  <c r="I18"/>
  <c r="H18"/>
  <c r="H80"/>
  <c r="H81" s="1"/>
  <c r="I80"/>
  <c r="I16"/>
  <c r="H17"/>
  <c r="I25"/>
  <c r="H26"/>
  <c r="I29"/>
  <c r="H30"/>
  <c r="I31"/>
  <c r="I38"/>
  <c r="I40"/>
  <c r="H41"/>
  <c r="H49"/>
  <c r="I59"/>
  <c r="I79"/>
  <c r="I18" i="27"/>
  <c r="H18"/>
  <c r="H80"/>
  <c r="H81" s="1"/>
  <c r="I80"/>
  <c r="H76"/>
  <c r="I16"/>
  <c r="H17"/>
  <c r="I25"/>
  <c r="H26"/>
  <c r="I29"/>
  <c r="H30"/>
  <c r="I31"/>
  <c r="I38"/>
  <c r="I40"/>
  <c r="H41"/>
  <c r="H49"/>
  <c r="I56"/>
  <c r="I59"/>
  <c r="I79"/>
  <c r="I91" i="28" l="1"/>
  <c r="I105" i="27"/>
  <c r="H91" i="25" l="1"/>
  <c r="H90"/>
  <c r="H89"/>
  <c r="H88"/>
  <c r="H87"/>
  <c r="H86"/>
  <c r="H85"/>
  <c r="F84"/>
  <c r="H84" s="1"/>
  <c r="F83"/>
  <c r="H83" s="1"/>
  <c r="I61"/>
  <c r="F92" i="24"/>
  <c r="H92" s="1"/>
  <c r="H91"/>
  <c r="H90"/>
  <c r="F90"/>
  <c r="H89"/>
  <c r="H88"/>
  <c r="H87"/>
  <c r="H86"/>
  <c r="H85"/>
  <c r="H84"/>
  <c r="F83"/>
  <c r="H83" s="1"/>
  <c r="H84" i="23"/>
  <c r="H83"/>
  <c r="H85" i="22"/>
  <c r="H83"/>
  <c r="H84" i="21"/>
  <c r="F83"/>
  <c r="H83" s="1"/>
  <c r="H88" i="20"/>
  <c r="H87"/>
  <c r="H86"/>
  <c r="H85"/>
  <c r="H84"/>
  <c r="F83"/>
  <c r="H83" s="1"/>
  <c r="I86" i="18"/>
  <c r="I61"/>
  <c r="I87" i="17"/>
  <c r="E80" i="26" l="1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H58"/>
  <c r="F56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I18" s="1"/>
  <c r="F17"/>
  <c r="I17" s="1"/>
  <c r="F16"/>
  <c r="I16" s="1"/>
  <c r="I68" i="25"/>
  <c r="I52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4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3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2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0" i="21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I81" s="1"/>
  <c r="H58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E18"/>
  <c r="F18" s="1"/>
  <c r="F17"/>
  <c r="I17" s="1"/>
  <c r="F16"/>
  <c r="H16" s="1"/>
  <c r="H76" i="22" l="1"/>
  <c r="H19" i="21"/>
  <c r="I19"/>
  <c r="H59" i="24"/>
  <c r="I59"/>
  <c r="H76"/>
  <c r="H25" i="26"/>
  <c r="H40"/>
  <c r="H16"/>
  <c r="H59"/>
  <c r="H56"/>
  <c r="H38"/>
  <c r="H42"/>
  <c r="H29"/>
  <c r="H31"/>
  <c r="I30"/>
  <c r="I49"/>
  <c r="H17"/>
  <c r="H18"/>
  <c r="H26"/>
  <c r="H41"/>
  <c r="H79"/>
  <c r="H80"/>
  <c r="H81" s="1"/>
  <c r="H17" i="25"/>
  <c r="I20"/>
  <c r="I48"/>
  <c r="I46"/>
  <c r="I50"/>
  <c r="I51"/>
  <c r="I19"/>
  <c r="I21"/>
  <c r="I47"/>
  <c r="I45"/>
  <c r="I18"/>
  <c r="H18"/>
  <c r="I16"/>
  <c r="I25"/>
  <c r="H26"/>
  <c r="I29"/>
  <c r="H30"/>
  <c r="I31"/>
  <c r="I38"/>
  <c r="I40"/>
  <c r="H41"/>
  <c r="I42"/>
  <c r="H49"/>
  <c r="I56"/>
  <c r="I59"/>
  <c r="H79"/>
  <c r="H80"/>
  <c r="H81" s="1"/>
  <c r="I18" i="24"/>
  <c r="H18"/>
  <c r="I16"/>
  <c r="H17"/>
  <c r="I25"/>
  <c r="H26"/>
  <c r="I29"/>
  <c r="H30"/>
  <c r="I31"/>
  <c r="I38"/>
  <c r="I40"/>
  <c r="H41"/>
  <c r="I42"/>
  <c r="H49"/>
  <c r="I56"/>
  <c r="H79"/>
  <c r="H80"/>
  <c r="H81" s="1"/>
  <c r="I18" i="23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I18" i="22"/>
  <c r="H18"/>
  <c r="I16"/>
  <c r="H17"/>
  <c r="I25"/>
  <c r="H26"/>
  <c r="I29"/>
  <c r="H30"/>
  <c r="I31"/>
  <c r="I38"/>
  <c r="I40"/>
  <c r="H41"/>
  <c r="I42"/>
  <c r="H49"/>
  <c r="I56"/>
  <c r="I59"/>
  <c r="I81" s="1"/>
  <c r="H79"/>
  <c r="H80"/>
  <c r="H81" s="1"/>
  <c r="I21" i="21"/>
  <c r="I24"/>
  <c r="I47"/>
  <c r="I45"/>
  <c r="I63"/>
  <c r="I66"/>
  <c r="I64"/>
  <c r="I20"/>
  <c r="I22"/>
  <c r="I23"/>
  <c r="I48"/>
  <c r="I46"/>
  <c r="I67"/>
  <c r="I65"/>
  <c r="H59"/>
  <c r="H56"/>
  <c r="I18"/>
  <c r="H18"/>
  <c r="I16"/>
  <c r="H17"/>
  <c r="I25"/>
  <c r="H26"/>
  <c r="I29"/>
  <c r="H30"/>
  <c r="I31"/>
  <c r="I38"/>
  <c r="I40"/>
  <c r="H41"/>
  <c r="I42"/>
  <c r="H49"/>
  <c r="H79"/>
  <c r="H80"/>
  <c r="H81" s="1"/>
  <c r="E80" i="2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2" i="19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9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62" i="18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76" i="26" l="1"/>
  <c r="I97" i="25"/>
  <c r="H42" i="20"/>
  <c r="I42"/>
  <c r="H42" i="19"/>
  <c r="I42"/>
  <c r="I87" i="21"/>
  <c r="I107" i="24"/>
  <c r="H76" i="19"/>
  <c r="I94" i="26"/>
  <c r="I88" i="23"/>
  <c r="I105" i="22"/>
  <c r="H76" i="21"/>
  <c r="I51" i="20"/>
  <c r="H76"/>
  <c r="I50"/>
  <c r="I18"/>
  <c r="H18"/>
  <c r="I16"/>
  <c r="H17"/>
  <c r="I25"/>
  <c r="H26"/>
  <c r="I29"/>
  <c r="H30"/>
  <c r="I31"/>
  <c r="I38"/>
  <c r="I40"/>
  <c r="H41"/>
  <c r="H49"/>
  <c r="I59"/>
  <c r="H79"/>
  <c r="H80"/>
  <c r="H81" s="1"/>
  <c r="I18" i="19"/>
  <c r="H18"/>
  <c r="I16"/>
  <c r="H17"/>
  <c r="I25"/>
  <c r="H26"/>
  <c r="I29"/>
  <c r="H30"/>
  <c r="I31"/>
  <c r="I38"/>
  <c r="I40"/>
  <c r="H41"/>
  <c r="H49"/>
  <c r="I59"/>
  <c r="I81" s="1"/>
  <c r="H79"/>
  <c r="H80"/>
  <c r="H81" s="1"/>
  <c r="H76" i="18"/>
  <c r="I18"/>
  <c r="H18"/>
  <c r="I16"/>
  <c r="H17"/>
  <c r="I25"/>
  <c r="H26"/>
  <c r="I29"/>
  <c r="H30"/>
  <c r="I31"/>
  <c r="I38"/>
  <c r="I40"/>
  <c r="H41"/>
  <c r="H49"/>
  <c r="H79"/>
  <c r="H80"/>
  <c r="H81" s="1"/>
  <c r="I32" i="17"/>
  <c r="E80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8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I41" s="1"/>
  <c r="F40"/>
  <c r="H40" s="1"/>
  <c r="H39"/>
  <c r="F38"/>
  <c r="H38" s="1"/>
  <c r="I37"/>
  <c r="H37"/>
  <c r="F26"/>
  <c r="H26" s="1"/>
  <c r="H35"/>
  <c r="H34"/>
  <c r="F25"/>
  <c r="I25" s="1"/>
  <c r="H33"/>
  <c r="F33"/>
  <c r="I33" s="1"/>
  <c r="H32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88" i="18" l="1"/>
  <c r="I92" i="20"/>
  <c r="I91" i="19"/>
  <c r="I29" i="17"/>
  <c r="I30"/>
  <c r="I31"/>
  <c r="H76"/>
  <c r="H79"/>
  <c r="F80"/>
  <c r="H80" s="1"/>
  <c r="H81" s="1"/>
  <c r="H17"/>
  <c r="H18"/>
  <c r="I18"/>
  <c r="H16"/>
  <c r="H25"/>
  <c r="I26"/>
  <c r="I38"/>
  <c r="I40"/>
  <c r="H41"/>
  <c r="I49"/>
  <c r="I59"/>
  <c r="I80"/>
  <c r="I81" l="1"/>
  <c r="I89" s="1"/>
</calcChain>
</file>

<file path=xl/sharedStrings.xml><?xml version="1.0" encoding="utf-8"?>
<sst xmlns="http://schemas.openxmlformats.org/spreadsheetml/2006/main" count="2630" uniqueCount="266">
  <si>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</si>
  <si>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</si>
  <si>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</si>
  <si>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</si>
  <si>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</si>
  <si>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</si>
  <si>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</si>
  <si>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</si>
  <si>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</si>
  <si>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</si>
  <si>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</si>
  <si>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</si>
  <si>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</si>
  <si>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</si>
  <si>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</si>
  <si>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</si>
  <si>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</si>
  <si>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</si>
  <si>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</si>
  <si>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</si>
  <si>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</si>
  <si>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</si>
  <si>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</si>
  <si>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</si>
  <si>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</si>
  <si>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</si>
  <si>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</si>
  <si>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</si>
  <si>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</si>
  <si>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</si>
  <si>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</si>
  <si>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</si>
  <si>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</si>
  <si>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</si>
  <si>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</si>
  <si>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</si>
  <si>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</si>
  <si>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</si>
  <si>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</si>
  <si>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</si>
  <si>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</si>
  <si>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</si>
  <si>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</si>
  <si>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</si>
  <si>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</si>
  <si>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</si>
  <si>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</si>
  <si>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</si>
  <si>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</si>
  <si>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</si>
  <si>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</si>
  <si>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</si>
  <si>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</si>
  <si>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</si>
  <si>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</si>
  <si>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</si>
  <si>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</si>
  <si>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</si>
  <si>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</si>
  <si>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</si>
  <si>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</si>
  <si>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</si>
  <si>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</si>
  <si>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</si>
  <si>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</si>
  <si>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</si>
  <si>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</si>
  <si>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</si>
  <si>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</si>
  <si>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</si>
  <si>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</si>
  <si>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</si>
  <si>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</si>
  <si>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</si>
  <si>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</si>
  <si>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</si>
  <si>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</si>
  <si>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</si>
  <si>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</si>
  <si>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</si>
  <si>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</si>
  <si>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</si>
  <si>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</si>
  <si>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</si>
  <si>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</si>
  <si>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</si>
  <si>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</si>
  <si>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</si>
  <si>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</si>
  <si>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</si>
  <si>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</si>
  <si>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Дератизация</t>
  </si>
  <si>
    <t>Смена патронов</t>
  </si>
  <si>
    <t>Влажное подметание лестничных клеток 2-5 этажа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</si>
  <si>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</si>
  <si>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</si>
  <si>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</si>
  <si>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</si>
  <si>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</si>
  <si>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</si>
  <si>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</si>
  <si>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</si>
  <si>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</si>
  <si>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</si>
  <si>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</si>
  <si>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</si>
  <si>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</si>
  <si>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</si>
  <si>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</si>
  <si>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</si>
  <si>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</si>
  <si>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</si>
  <si>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</si>
  <si>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</si>
  <si>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</si>
  <si>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</si>
  <si>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</si>
  <si>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</si>
  <si>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</si>
  <si>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</si>
  <si>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</si>
  <si>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</si>
  <si>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</si>
  <si>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</si>
  <si>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</si>
  <si>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</si>
  <si>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</si>
  <si>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</si>
  <si>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</si>
  <si>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</si>
  <si>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t>Смена выключателей</t>
  </si>
  <si>
    <t>1 шт</t>
  </si>
  <si>
    <t>АКТ №1</t>
  </si>
  <si>
    <t>1000-м2</t>
  </si>
  <si>
    <t>2 раза в неделю 52 раза в сезон</t>
  </si>
  <si>
    <t>3 раза в неделю 78 раз за сезон</t>
  </si>
  <si>
    <t>по мере необходимости</t>
  </si>
  <si>
    <t xml:space="preserve"> </t>
  </si>
  <si>
    <t>30 раз за сезон</t>
  </si>
  <si>
    <t>Очистка  от мусора</t>
  </si>
  <si>
    <t>Ремонт силового предохранительного шкафа (без стоимости материалов)</t>
  </si>
  <si>
    <t>Внеплановый осмотр электросетей, армазуры и электрооборудования на лестничных клетках</t>
  </si>
  <si>
    <t>1м</t>
  </si>
  <si>
    <t>Мытье лестничных площадок и маршей 1-5 этаж.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</si>
  <si>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</si>
  <si>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</si>
  <si>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</si>
  <si>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</si>
  <si>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</si>
  <si>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</si>
  <si>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</si>
  <si>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</si>
  <si>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</si>
  <si>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</si>
  <si>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</si>
  <si>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</si>
  <si>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</si>
  <si>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</si>
  <si>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</si>
  <si>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</si>
  <si>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</si>
  <si>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156 раз в год</t>
  </si>
  <si>
    <t>104 раза в год</t>
  </si>
  <si>
    <t xml:space="preserve">24 раза в год </t>
  </si>
  <si>
    <t>5 раз в год</t>
  </si>
  <si>
    <t>Итого затраты за месяц</t>
  </si>
  <si>
    <t>Водоотлив из подвала электрическими (механическими) насосами (100 м3 воды)</t>
  </si>
  <si>
    <t>10 м3</t>
  </si>
  <si>
    <t>Внеплановый осмотр вводных электрических щитков</t>
  </si>
  <si>
    <t>100шт</t>
  </si>
  <si>
    <t>АКТ №11</t>
  </si>
  <si>
    <t>м</t>
  </si>
  <si>
    <t>АКТ №12</t>
  </si>
  <si>
    <t>за период с 01.01.2018 г. по 31.01.2018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</si>
  <si>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</si>
  <si>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>II. Уборка земельного участка</t>
  </si>
  <si>
    <t>Водосчетчик ВСКМ Ду32 в комплекте с присоед.узлом</t>
  </si>
  <si>
    <t>за период с 01.02.2018 г. по 28.02.2018 г.</t>
  </si>
  <si>
    <t>Очистка канализационной сети внутренней</t>
  </si>
  <si>
    <t>за период с 01.03.2018 г. по 31.03.2018 г.</t>
  </si>
  <si>
    <t>Смена трубопроводов на полипропиленовые трубы PN25 диаметром 20мм</t>
  </si>
  <si>
    <t>Смена вентилей ПП диаметром 20 мм</t>
  </si>
  <si>
    <t>за период с 01.04.2018 г. по 30.04.2018 г.</t>
  </si>
  <si>
    <t>Кабель АВВГ 2*2,5 мм2</t>
  </si>
  <si>
    <t>135м2</t>
  </si>
  <si>
    <t>Работа ротенбергера</t>
  </si>
  <si>
    <t>час</t>
  </si>
  <si>
    <t>2. Всего за период с 01.04.2018 по 30.04.2018 выполнено работ (оказано услуг) на общую сумму: 48332,80руб.</t>
  </si>
  <si>
    <t>(сорок восемь тысяч триста тридцать два рубля 80 копеек)</t>
  </si>
  <si>
    <t>0,4м3</t>
  </si>
  <si>
    <t>2. Всего за период с 01.05.2018 по 31.05.2018 выполнено работ (оказано услуг) на общую сумму: 119 304,01 руб.</t>
  </si>
  <si>
    <t>(сто девятнадцать тысяч триста четыре рубля 1 копейка)</t>
  </si>
  <si>
    <t>за период с 01.05.2018 г. по 31.05.2018 г.</t>
  </si>
  <si>
    <t>за период с 01.06.2018 г. по 30.06.2018 г.</t>
  </si>
  <si>
    <t>Внеплановый осмотр водопроводов, канализации, отопления в квартирах</t>
  </si>
  <si>
    <t>100 кв.</t>
  </si>
  <si>
    <t>Установка хомута диаметром до 50 мм</t>
  </si>
  <si>
    <t>1шт</t>
  </si>
  <si>
    <t>Переход чугун-пластик Ду 100</t>
  </si>
  <si>
    <t>Патрубок компенсационный ПП Ду 100</t>
  </si>
  <si>
    <t>Муфта ремонтная Ду 100</t>
  </si>
  <si>
    <t>Тройник 100*100*100</t>
  </si>
  <si>
    <t>Манжета Ду 100</t>
  </si>
  <si>
    <t>Смена трубопроводов на мет/плас. Трубы Ду 15 мм</t>
  </si>
  <si>
    <t>Ревизия Ду 100</t>
  </si>
  <si>
    <t xml:space="preserve">Пресс-муфта 15*15 НР </t>
  </si>
  <si>
    <t>Герметик</t>
  </si>
  <si>
    <t>Смена полиэтиленовых канализационных труб 110×1000 мм</t>
  </si>
  <si>
    <t>Перекрытие (открытие) стояка ХВС</t>
  </si>
  <si>
    <t>Смена полипропиленовых канализационных труб Ду-100 2м</t>
  </si>
  <si>
    <t>2. Всего за период с 01.06.2018 по 30.06.2018 выполнено работ (оказано услуг) на общую сумму: 65626,95 руб.</t>
  </si>
  <si>
    <t>(шестьдесят пять тысяч шестьсот двадцать шесть рублей 95  копеек)</t>
  </si>
  <si>
    <t>ООО «Движение»</t>
  </si>
  <si>
    <t>за период с 01.07.2018 г. по 30.07.2018 г.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</si>
  <si>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</si>
  <si>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49208,77 руб.</t>
  </si>
  <si>
    <t>(сорок девять тысяч двести восемь рублей 77 копеек)</t>
  </si>
  <si>
    <t>2. Всего за период с 01.01.2018 по 31.01.2018 выполнено работ (оказано услуг) на общую сумму: 64296,65 руб.</t>
  </si>
  <si>
    <t>(шестьдесят четыре тысячи двести девяносто шесть рублей 65 копеек)</t>
  </si>
  <si>
    <t>2. Всего за период с 01.02.2018 по 28.02.2018 выполнено работ (оказано услуг) на общую сумму: 45224,09 руб.</t>
  </si>
  <si>
    <t>(сорок пять тысяч двести двадцать четыре рубля 09 копеек)</t>
  </si>
  <si>
    <t>2. Всего за период с 01.03.2018 по 31.03.2018 выполнено работ (оказано услуг) на общую сумму: 52839,57 руб.</t>
  </si>
  <si>
    <t>(пятьдесят две тысячи восемьсот тридцать девять рублей 57 копеек)</t>
  </si>
  <si>
    <t>за период с 01.08.2018 г. по 31.08.2018 г.</t>
  </si>
  <si>
    <t xml:space="preserve"> Переход чугун-пластик Ду 50 </t>
  </si>
  <si>
    <t>Смена полипропиленовых канализационных труб Ду-50</t>
  </si>
  <si>
    <t>за период с 01.09.2018 г. по 30.09.2018 г.</t>
  </si>
  <si>
    <t>Смена трубопроводов на мет/плас. трубы Ду 20 мм</t>
  </si>
  <si>
    <t>Пресс-муфта 20</t>
  </si>
  <si>
    <t>Пресс муфта 20*3/4 ВР</t>
  </si>
  <si>
    <t>2. Всего за период с 01.08.2018 по 31.08.2018 выполнено работ (оказано услуг) на общую сумму: 56085,29 руб.</t>
  </si>
  <si>
    <t>(пятьдесят шесть тысяч восемьдесят пять рублей 29 копеек)</t>
  </si>
  <si>
    <t>Погрузка строительного мусора</t>
  </si>
  <si>
    <t>мЗ</t>
  </si>
  <si>
    <t>Работа автовышки</t>
  </si>
  <si>
    <t>маш-час</t>
  </si>
  <si>
    <t>3маш-часа</t>
  </si>
  <si>
    <t>7,5м3</t>
  </si>
  <si>
    <t>за период с 01.10.2018 г. по 31.10.2018 г.</t>
  </si>
  <si>
    <t>Смена дверных приборов /замки навесные)</t>
  </si>
  <si>
    <t>Работа ассенизационной машины</t>
  </si>
  <si>
    <t>2. Всего за период с 01.10.2018 по 31.10.2018 выполнено работ (оказано услуг) на общую сумму: 57882,52 руб.</t>
  </si>
  <si>
    <t>(пятьдесят семь тысяч восемьсот восемьдесят два рубля 52 копейки)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</si>
  <si>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</si>
  <si>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</si>
  <si>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Смена внутренних трубопроводов PN 32*5,4</t>
  </si>
  <si>
    <t>Смена трубопроводов на полипропиленовые трубы PN25 диаметром 25мм</t>
  </si>
  <si>
    <t>Смена трубопроводов на полипропиленовые трубы PN20 диаметром 20мм</t>
  </si>
  <si>
    <t>Колено 20-90</t>
  </si>
  <si>
    <t>Муфта 20</t>
  </si>
  <si>
    <t>Колено 20-45</t>
  </si>
  <si>
    <t>Тройник 20</t>
  </si>
  <si>
    <t>Муфта 25*20</t>
  </si>
  <si>
    <t>Тройник 32*20</t>
  </si>
  <si>
    <t xml:space="preserve">Муфта разъемная 20*1/2 НР </t>
  </si>
  <si>
    <t>Муфта разъемная 32*25 НР</t>
  </si>
  <si>
    <t>Муфта разъемная 32*25 ВР</t>
  </si>
  <si>
    <t>Вентиль (ш) ПП Dу 25 мм</t>
  </si>
  <si>
    <t>Смена арматуры - вентилей и клапанов обратных муфтовых диаметром до 32 мм</t>
  </si>
  <si>
    <t>2. Всего за период с 01.11.2018 по 30.11.2018 выполнено работ (оказано услуг) на общую сумму: 44592,26 руб.</t>
  </si>
  <si>
    <t>(сорок четыре тысячи пятьсот девяносто два рубля 26 копеек)</t>
  </si>
  <si>
    <t>за период с 01.12.2018 г. по 31.12.2018 г.</t>
  </si>
  <si>
    <t>2. Всего за период с 01.12.2018 по 31.12.2018 выполнено работ (оказано услуг) на общую сумму: 34532,03 руб.</t>
  </si>
  <si>
    <t>(тридцать четыре тысячи пятьсот тридцать два рубля 03 копейки)</t>
  </si>
  <si>
    <t>2. Всего за период с 01.09.2018 по 30.09.2018 выполнено работ (оказано услуг) на общую сумму: 76040,37 руб.</t>
  </si>
  <si>
    <t>(семьдесят шесть тысяч сорок рублей 37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</si>
</sst>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0"/>
  <sheetViews>
    <sheetView topLeftCell="A69" workbookViewId="0">
      <selection activeCell="B91" sqref="B91:G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132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173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43131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175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103</v>
      </c>
      <c r="C29" s="66" t="s">
        <v>133</v>
      </c>
      <c r="D29" s="65" t="s">
        <v>134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135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12</v>
      </c>
      <c r="B49" s="65" t="s">
        <v>55</v>
      </c>
      <c r="C49" s="66" t="s">
        <v>104</v>
      </c>
      <c r="D49" s="65" t="s">
        <v>164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G56*0.16</f>
        <v>281.584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15</v>
      </c>
      <c r="B59" s="105" t="s">
        <v>91</v>
      </c>
      <c r="C59" s="106" t="s">
        <v>25</v>
      </c>
      <c r="D59" s="105" t="s">
        <v>30</v>
      </c>
      <c r="E59" s="107">
        <v>100</v>
      </c>
      <c r="F59" s="108">
        <f>E59*12</f>
        <v>1200</v>
      </c>
      <c r="G59" s="109">
        <v>1.2</v>
      </c>
      <c r="H59" s="110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16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G71*4.9</f>
        <v>2795.6460000000002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17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18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I16+I17+I18+I25+I26+I37+I38+I40+I41+I42+I43+I49+I53+I56+I59+I71+I79+I80</f>
        <v>56566.480013483342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15.75" customHeight="1">
      <c r="A83" s="29">
        <v>19</v>
      </c>
      <c r="B83" s="47" t="s">
        <v>168</v>
      </c>
      <c r="C83" s="64" t="s">
        <v>169</v>
      </c>
      <c r="D83" s="14"/>
      <c r="E83" s="18"/>
      <c r="F83" s="13">
        <v>0.02</v>
      </c>
      <c r="G83" s="13">
        <v>7709.44</v>
      </c>
      <c r="H83" s="81">
        <f>G83*F83/1000</f>
        <v>0.15418879999999999</v>
      </c>
      <c r="I83" s="88">
        <f>G83*0.02</f>
        <v>154.18879999999999</v>
      </c>
    </row>
    <row r="84" spans="1:9" ht="31.5" customHeight="1">
      <c r="A84" s="29">
        <v>20</v>
      </c>
      <c r="B84" s="47" t="s">
        <v>79</v>
      </c>
      <c r="C84" s="64" t="s">
        <v>118</v>
      </c>
      <c r="D84" s="14"/>
      <c r="E84" s="18"/>
      <c r="F84" s="13">
        <v>1</v>
      </c>
      <c r="G84" s="13">
        <v>86.69</v>
      </c>
      <c r="H84" s="81">
        <f>G84*F84/1000</f>
        <v>8.6690000000000003E-2</v>
      </c>
      <c r="I84" s="13">
        <f>G84</f>
        <v>86.69</v>
      </c>
    </row>
    <row r="85" spans="1:9" ht="31.5" customHeight="1">
      <c r="A85" s="29">
        <v>21</v>
      </c>
      <c r="B85" s="47" t="s">
        <v>140</v>
      </c>
      <c r="C85" s="64" t="s">
        <v>118</v>
      </c>
      <c r="D85" s="14"/>
      <c r="E85" s="18"/>
      <c r="F85" s="13">
        <v>1</v>
      </c>
      <c r="G85" s="13">
        <v>2388.9</v>
      </c>
      <c r="H85" s="81">
        <f>G85*F85/1000</f>
        <v>2.3889</v>
      </c>
      <c r="I85" s="88">
        <f>G85</f>
        <v>2388.9</v>
      </c>
    </row>
    <row r="86" spans="1:9" ht="15.75" customHeight="1">
      <c r="A86" s="29">
        <v>22</v>
      </c>
      <c r="B86" s="89" t="s">
        <v>176</v>
      </c>
      <c r="C86" s="29" t="s">
        <v>118</v>
      </c>
      <c r="D86" s="111"/>
      <c r="E86" s="18"/>
      <c r="F86" s="112">
        <v>1</v>
      </c>
      <c r="G86" s="13">
        <v>5100.3900000000003</v>
      </c>
      <c r="H86" s="81">
        <f t="shared" ref="H86" si="6">G86*F86/1000</f>
        <v>5.10039</v>
      </c>
      <c r="I86" s="88">
        <f>G86</f>
        <v>5100.3900000000003</v>
      </c>
    </row>
    <row r="87" spans="1:9" ht="15.75" customHeight="1">
      <c r="A87" s="29"/>
      <c r="B87" s="41" t="s">
        <v>50</v>
      </c>
      <c r="C87" s="37"/>
      <c r="D87" s="45"/>
      <c r="E87" s="37">
        <v>1</v>
      </c>
      <c r="F87" s="37"/>
      <c r="G87" s="37"/>
      <c r="H87" s="37"/>
      <c r="I87" s="32">
        <f>SUM(I83:I86)</f>
        <v>7730.1688000000004</v>
      </c>
    </row>
    <row r="88" spans="1:9" ht="15.75" customHeight="1">
      <c r="A88" s="29"/>
      <c r="B88" s="43" t="s">
        <v>78</v>
      </c>
      <c r="C88" s="15"/>
      <c r="D88" s="15"/>
      <c r="E88" s="38"/>
      <c r="F88" s="38"/>
      <c r="G88" s="39"/>
      <c r="H88" s="39"/>
      <c r="I88" s="17">
        <v>0</v>
      </c>
    </row>
    <row r="89" spans="1:9" ht="15.75" customHeight="1">
      <c r="A89" s="46"/>
      <c r="B89" s="42" t="s">
        <v>165</v>
      </c>
      <c r="C89" s="33"/>
      <c r="D89" s="33"/>
      <c r="E89" s="33"/>
      <c r="F89" s="33"/>
      <c r="G89" s="33"/>
      <c r="H89" s="33"/>
      <c r="I89" s="40">
        <f>I81+I87</f>
        <v>64296.648813483342</v>
      </c>
    </row>
    <row r="90" spans="1:9" ht="15.75">
      <c r="A90" s="131" t="s">
        <v>217</v>
      </c>
      <c r="B90" s="131"/>
      <c r="C90" s="131"/>
      <c r="D90" s="131"/>
      <c r="E90" s="131"/>
      <c r="F90" s="131"/>
      <c r="G90" s="131"/>
      <c r="H90" s="131"/>
      <c r="I90" s="131"/>
    </row>
    <row r="91" spans="1:9" ht="15.75">
      <c r="A91" s="58"/>
      <c r="B91" s="143" t="s">
        <v>218</v>
      </c>
      <c r="C91" s="143"/>
      <c r="D91" s="143"/>
      <c r="E91" s="143"/>
      <c r="F91" s="143"/>
      <c r="G91" s="143"/>
      <c r="H91" s="63"/>
      <c r="I91" s="3"/>
    </row>
    <row r="92" spans="1:9">
      <c r="A92" s="55"/>
      <c r="B92" s="140" t="s">
        <v>6</v>
      </c>
      <c r="C92" s="140"/>
      <c r="D92" s="140"/>
      <c r="E92" s="140"/>
      <c r="F92" s="140"/>
      <c r="G92" s="140"/>
      <c r="H92" s="24"/>
      <c r="I92" s="5"/>
    </row>
    <row r="93" spans="1:9" ht="8.2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44" t="s">
        <v>7</v>
      </c>
      <c r="B94" s="144"/>
      <c r="C94" s="144"/>
      <c r="D94" s="144"/>
      <c r="E94" s="144"/>
      <c r="F94" s="144"/>
      <c r="G94" s="144"/>
      <c r="H94" s="144"/>
      <c r="I94" s="144"/>
    </row>
    <row r="95" spans="1:9" ht="15.75">
      <c r="A95" s="144" t="s">
        <v>8</v>
      </c>
      <c r="B95" s="144"/>
      <c r="C95" s="144"/>
      <c r="D95" s="144"/>
      <c r="E95" s="144"/>
      <c r="F95" s="144"/>
      <c r="G95" s="144"/>
      <c r="H95" s="144"/>
      <c r="I95" s="144"/>
    </row>
    <row r="96" spans="1:9" ht="15.75">
      <c r="A96" s="127" t="s">
        <v>60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11"/>
    </row>
    <row r="98" spans="1:9" ht="15.75">
      <c r="A98" s="128" t="s">
        <v>9</v>
      </c>
      <c r="B98" s="128"/>
      <c r="C98" s="128"/>
      <c r="D98" s="128"/>
      <c r="E98" s="128"/>
      <c r="F98" s="128"/>
      <c r="G98" s="128"/>
      <c r="H98" s="128"/>
      <c r="I98" s="128"/>
    </row>
    <row r="99" spans="1:9" ht="15.75">
      <c r="A99" s="4"/>
    </row>
    <row r="100" spans="1:9" ht="15.75">
      <c r="B100" s="53" t="s">
        <v>10</v>
      </c>
      <c r="C100" s="139" t="s">
        <v>90</v>
      </c>
      <c r="D100" s="139"/>
      <c r="E100" s="139"/>
      <c r="F100" s="61"/>
      <c r="I100" s="54"/>
    </row>
    <row r="101" spans="1:9">
      <c r="A101" s="55"/>
      <c r="C101" s="140" t="s">
        <v>11</v>
      </c>
      <c r="D101" s="140"/>
      <c r="E101" s="140"/>
      <c r="F101" s="24"/>
      <c r="I101" s="52" t="s">
        <v>12</v>
      </c>
    </row>
    <row r="102" spans="1:9" ht="15.75">
      <c r="A102" s="25"/>
      <c r="C102" s="12"/>
      <c r="D102" s="12"/>
      <c r="G102" s="12"/>
      <c r="H102" s="12"/>
    </row>
    <row r="103" spans="1:9" ht="15.75">
      <c r="B103" s="53" t="s">
        <v>13</v>
      </c>
      <c r="C103" s="141"/>
      <c r="D103" s="141"/>
      <c r="E103" s="141"/>
      <c r="F103" s="62"/>
      <c r="I103" s="54"/>
    </row>
    <row r="104" spans="1:9">
      <c r="A104" s="55"/>
      <c r="C104" s="130" t="s">
        <v>11</v>
      </c>
      <c r="D104" s="130"/>
      <c r="E104" s="130"/>
      <c r="F104" s="55"/>
      <c r="I104" s="52" t="s">
        <v>12</v>
      </c>
    </row>
    <row r="105" spans="1:9" ht="15.75">
      <c r="A105" s="4" t="s">
        <v>14</v>
      </c>
    </row>
    <row r="106" spans="1:9">
      <c r="A106" s="142" t="s">
        <v>15</v>
      </c>
      <c r="B106" s="142"/>
      <c r="C106" s="142"/>
      <c r="D106" s="142"/>
      <c r="E106" s="142"/>
      <c r="F106" s="142"/>
      <c r="G106" s="142"/>
      <c r="H106" s="142"/>
      <c r="I106" s="142"/>
    </row>
    <row r="107" spans="1:9" ht="45" customHeight="1">
      <c r="A107" s="138" t="s">
        <v>16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30" customHeight="1">
      <c r="A108" s="138" t="s">
        <v>17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30" customHeight="1">
      <c r="A109" s="138" t="s">
        <v>21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15" customHeight="1">
      <c r="A110" s="138" t="s">
        <v>20</v>
      </c>
      <c r="B110" s="138"/>
      <c r="C110" s="138"/>
      <c r="D110" s="138"/>
      <c r="E110" s="138"/>
      <c r="F110" s="138"/>
      <c r="G110" s="138"/>
      <c r="H110" s="138"/>
      <c r="I110" s="138"/>
    </row>
  </sheetData>
  <autoFilter ref="I12:I58"/>
  <mergeCells count="29">
    <mergeCell ref="A108:I108"/>
    <mergeCell ref="A109:I109"/>
    <mergeCell ref="A110:I110"/>
    <mergeCell ref="A27:I27"/>
    <mergeCell ref="A44:I44"/>
    <mergeCell ref="A54:I54"/>
    <mergeCell ref="C100:E100"/>
    <mergeCell ref="C101:E101"/>
    <mergeCell ref="C103:E103"/>
    <mergeCell ref="C104:E104"/>
    <mergeCell ref="A106:I106"/>
    <mergeCell ref="A107:I107"/>
    <mergeCell ref="B91:G91"/>
    <mergeCell ref="B92:G92"/>
    <mergeCell ref="A94:I94"/>
    <mergeCell ref="A95:I95"/>
    <mergeCell ref="A96:I96"/>
    <mergeCell ref="A98:I98"/>
    <mergeCell ref="A15:I15"/>
    <mergeCell ref="R63:U63"/>
    <mergeCell ref="A90:I90"/>
    <mergeCell ref="A78:I78"/>
    <mergeCell ref="A82:I8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topLeftCell="A71" workbookViewId="0">
      <selection activeCell="B86" sqref="B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159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238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43404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21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6.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21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24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29.25" customHeight="1">
      <c r="A50" s="29">
        <v>10</v>
      </c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f>G50*F50/2</f>
        <v>847.92443299999991</v>
      </c>
      <c r="J50" s="23"/>
      <c r="L50" s="19"/>
      <c r="M50" s="20"/>
      <c r="N50" s="21"/>
    </row>
    <row r="51" spans="1:22" ht="31.5" customHeight="1">
      <c r="A51" s="29">
        <v>11</v>
      </c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f>G51*F51/2</f>
        <v>703.91200000000003</v>
      </c>
      <c r="J51" s="23"/>
      <c r="L51" s="19"/>
      <c r="M51" s="20"/>
      <c r="N51" s="21"/>
    </row>
    <row r="52" spans="1:22" ht="15" customHeight="1">
      <c r="A52" s="29">
        <v>12</v>
      </c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f>G52*F52/2</f>
        <v>64.288200000000003</v>
      </c>
      <c r="J52" s="23"/>
      <c r="L52" s="19"/>
      <c r="M52" s="20"/>
      <c r="N52" s="21"/>
    </row>
    <row r="53" spans="1:22" ht="25.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7.2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28.5" customHeight="1">
      <c r="A56" s="29">
        <v>13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G56*0.205</f>
        <v>360.77949999999998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14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11</v>
      </c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f>G61*2</f>
        <v>505.92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15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G71*4.7</f>
        <v>2681.538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16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17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I80+I79+I71+I59+I56+I52+I51+I50+I33+I32+I30+I29+I26+I25+I18+I17+I16</f>
        <v>46754.06050314445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29.25" customHeight="1">
      <c r="A83" s="29">
        <v>18</v>
      </c>
      <c r="B83" s="103" t="s">
        <v>194</v>
      </c>
      <c r="C83" s="49" t="s">
        <v>195</v>
      </c>
      <c r="D83" s="48"/>
      <c r="E83" s="34"/>
      <c r="F83" s="34">
        <f>(3*8+15+3+20+3+3+5)/3</f>
        <v>24.333333333333332</v>
      </c>
      <c r="G83" s="34">
        <v>24829.08</v>
      </c>
      <c r="H83" s="94">
        <f>G83*F83/1000</f>
        <v>604.17428000000007</v>
      </c>
      <c r="I83" s="88">
        <f>G83*0.01</f>
        <v>248.29080000000002</v>
      </c>
    </row>
    <row r="84" spans="1:9" ht="16.5" customHeight="1">
      <c r="A84" s="29">
        <v>19</v>
      </c>
      <c r="B84" s="102" t="s">
        <v>239</v>
      </c>
      <c r="C84" s="49" t="s">
        <v>118</v>
      </c>
      <c r="D84" s="14"/>
      <c r="E84" s="18"/>
      <c r="F84" s="13">
        <v>9</v>
      </c>
      <c r="G84" s="34">
        <v>197.26</v>
      </c>
      <c r="H84" s="81">
        <f t="shared" ref="H84:H87" si="6">G84*F84/1000</f>
        <v>1.7753399999999999</v>
      </c>
      <c r="I84" s="88">
        <f>G84*2</f>
        <v>394.52</v>
      </c>
    </row>
    <row r="85" spans="1:9" ht="19.5" customHeight="1">
      <c r="A85" s="29">
        <v>20</v>
      </c>
      <c r="B85" s="89" t="s">
        <v>240</v>
      </c>
      <c r="C85" s="29" t="s">
        <v>235</v>
      </c>
      <c r="D85" s="35"/>
      <c r="E85" s="17"/>
      <c r="F85" s="34">
        <v>0.15</v>
      </c>
      <c r="G85" s="34">
        <v>1500</v>
      </c>
      <c r="H85" s="34">
        <f t="shared" si="6"/>
        <v>0.22500000000000001</v>
      </c>
      <c r="I85" s="88">
        <f>G85*1.5</f>
        <v>2250</v>
      </c>
    </row>
    <row r="86" spans="1:9" ht="15.75" customHeight="1">
      <c r="A86" s="29">
        <v>21</v>
      </c>
      <c r="B86" s="103" t="s">
        <v>178</v>
      </c>
      <c r="C86" s="49" t="s">
        <v>142</v>
      </c>
      <c r="D86" s="48"/>
      <c r="E86" s="34"/>
      <c r="F86" s="34">
        <v>6</v>
      </c>
      <c r="G86" s="34">
        <v>134.12</v>
      </c>
      <c r="H86" s="94">
        <f t="shared" si="6"/>
        <v>0.80471999999999999</v>
      </c>
      <c r="I86" s="88">
        <f>G86*50</f>
        <v>6706</v>
      </c>
    </row>
    <row r="87" spans="1:9" ht="15.75" customHeight="1">
      <c r="A87" s="29">
        <v>22</v>
      </c>
      <c r="B87" s="103" t="s">
        <v>185</v>
      </c>
      <c r="C87" s="49" t="s">
        <v>186</v>
      </c>
      <c r="D87" s="48"/>
      <c r="E87" s="34"/>
      <c r="F87" s="34">
        <v>0.08</v>
      </c>
      <c r="G87" s="34">
        <v>208</v>
      </c>
      <c r="H87" s="94">
        <f t="shared" si="6"/>
        <v>1.6640000000000002E-2</v>
      </c>
      <c r="I87" s="88">
        <f>G87*1</f>
        <v>208</v>
      </c>
    </row>
    <row r="88" spans="1:9" ht="31.5" customHeight="1">
      <c r="A88" s="29">
        <v>23</v>
      </c>
      <c r="B88" s="113" t="s">
        <v>166</v>
      </c>
      <c r="C88" s="114" t="s">
        <v>167</v>
      </c>
      <c r="D88" s="48"/>
      <c r="E88" s="34"/>
      <c r="F88" s="34">
        <v>1.25</v>
      </c>
      <c r="G88" s="34">
        <v>326.66000000000003</v>
      </c>
      <c r="H88" s="94">
        <f t="shared" ref="H88:H89" si="7">G88*F88/1000</f>
        <v>0.40832500000000005</v>
      </c>
      <c r="I88" s="88">
        <f>G88*1</f>
        <v>326.66000000000003</v>
      </c>
    </row>
    <row r="89" spans="1:9" ht="15.75" customHeight="1">
      <c r="A89" s="29">
        <v>24</v>
      </c>
      <c r="B89" s="103" t="s">
        <v>92</v>
      </c>
      <c r="C89" s="49" t="s">
        <v>118</v>
      </c>
      <c r="D89" s="48"/>
      <c r="E89" s="34"/>
      <c r="F89" s="34">
        <f>62/10</f>
        <v>6.2</v>
      </c>
      <c r="G89" s="34">
        <v>164.03</v>
      </c>
      <c r="H89" s="94">
        <f t="shared" si="7"/>
        <v>1.0169859999999999</v>
      </c>
      <c r="I89" s="88">
        <f>G89*2</f>
        <v>328.06</v>
      </c>
    </row>
    <row r="90" spans="1:9" ht="15.75" customHeight="1">
      <c r="A90" s="29">
        <v>25</v>
      </c>
      <c r="B90" s="103" t="s">
        <v>82</v>
      </c>
      <c r="C90" s="49" t="s">
        <v>118</v>
      </c>
      <c r="D90" s="48"/>
      <c r="E90" s="34"/>
      <c r="F90" s="34"/>
      <c r="G90" s="34">
        <v>197.48</v>
      </c>
      <c r="H90" s="94"/>
      <c r="I90" s="88">
        <f>G90*3</f>
        <v>592.43999999999994</v>
      </c>
    </row>
    <row r="91" spans="1:9" ht="30.75" customHeight="1">
      <c r="A91" s="29">
        <v>26</v>
      </c>
      <c r="B91" s="47" t="s">
        <v>141</v>
      </c>
      <c r="C91" s="64" t="s">
        <v>37</v>
      </c>
      <c r="D91" s="48"/>
      <c r="E91" s="34"/>
      <c r="F91" s="34"/>
      <c r="G91" s="34">
        <v>3724.37</v>
      </c>
      <c r="H91" s="94"/>
      <c r="I91" s="88">
        <f>G91*0.02</f>
        <v>74.487399999999994</v>
      </c>
    </row>
    <row r="92" spans="1:9" ht="15.75" customHeight="1">
      <c r="A92" s="29"/>
      <c r="B92" s="41" t="s">
        <v>50</v>
      </c>
      <c r="C92" s="37"/>
      <c r="D92" s="45"/>
      <c r="E92" s="37">
        <v>1</v>
      </c>
      <c r="F92" s="37"/>
      <c r="G92" s="37"/>
      <c r="H92" s="37"/>
      <c r="I92" s="32">
        <f>SUM(I83:I91)</f>
        <v>11128.458199999999</v>
      </c>
    </row>
    <row r="93" spans="1:9" ht="15.75" customHeight="1">
      <c r="A93" s="29"/>
      <c r="B93" s="43" t="s">
        <v>78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6"/>
      <c r="B94" s="42" t="s">
        <v>165</v>
      </c>
      <c r="C94" s="33"/>
      <c r="D94" s="33"/>
      <c r="E94" s="33"/>
      <c r="F94" s="33"/>
      <c r="G94" s="33"/>
      <c r="H94" s="33"/>
      <c r="I94" s="40">
        <f>I81+I92</f>
        <v>57882.518703144451</v>
      </c>
    </row>
    <row r="95" spans="1:9" ht="15.75">
      <c r="A95" s="131" t="s">
        <v>241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58"/>
      <c r="B96" s="143" t="s">
        <v>242</v>
      </c>
      <c r="C96" s="143"/>
      <c r="D96" s="143"/>
      <c r="E96" s="143"/>
      <c r="F96" s="143"/>
      <c r="G96" s="143"/>
      <c r="H96" s="63"/>
      <c r="I96" s="3"/>
    </row>
    <row r="97" spans="1:9">
      <c r="A97" s="55"/>
      <c r="B97" s="140" t="s">
        <v>6</v>
      </c>
      <c r="C97" s="140"/>
      <c r="D97" s="140"/>
      <c r="E97" s="140"/>
      <c r="F97" s="140"/>
      <c r="G97" s="140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4" t="s">
        <v>7</v>
      </c>
      <c r="B99" s="144"/>
      <c r="C99" s="144"/>
      <c r="D99" s="144"/>
      <c r="E99" s="144"/>
      <c r="F99" s="144"/>
      <c r="G99" s="144"/>
      <c r="H99" s="144"/>
      <c r="I99" s="144"/>
    </row>
    <row r="100" spans="1:9" ht="15.75">
      <c r="A100" s="144" t="s">
        <v>8</v>
      </c>
      <c r="B100" s="144"/>
      <c r="C100" s="144"/>
      <c r="D100" s="144"/>
      <c r="E100" s="144"/>
      <c r="F100" s="144"/>
      <c r="G100" s="144"/>
      <c r="H100" s="144"/>
      <c r="I100" s="144"/>
    </row>
    <row r="101" spans="1:9" ht="15.75">
      <c r="A101" s="127" t="s">
        <v>60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>
      <c r="A102" s="11"/>
    </row>
    <row r="103" spans="1:9" ht="15.75">
      <c r="A103" s="128" t="s">
        <v>9</v>
      </c>
      <c r="B103" s="128"/>
      <c r="C103" s="128"/>
      <c r="D103" s="128"/>
      <c r="E103" s="128"/>
      <c r="F103" s="128"/>
      <c r="G103" s="128"/>
      <c r="H103" s="128"/>
      <c r="I103" s="128"/>
    </row>
    <row r="104" spans="1:9" ht="15.75">
      <c r="A104" s="4"/>
    </row>
    <row r="105" spans="1:9" ht="15.75">
      <c r="B105" s="53" t="s">
        <v>10</v>
      </c>
      <c r="C105" s="139" t="s">
        <v>90</v>
      </c>
      <c r="D105" s="139"/>
      <c r="E105" s="139"/>
      <c r="F105" s="61"/>
      <c r="I105" s="54"/>
    </row>
    <row r="106" spans="1:9">
      <c r="A106" s="55"/>
      <c r="C106" s="140" t="s">
        <v>11</v>
      </c>
      <c r="D106" s="140"/>
      <c r="E106" s="140"/>
      <c r="F106" s="24"/>
      <c r="I106" s="52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3" t="s">
        <v>13</v>
      </c>
      <c r="C108" s="141"/>
      <c r="D108" s="141"/>
      <c r="E108" s="141"/>
      <c r="F108" s="62"/>
      <c r="I108" s="54"/>
    </row>
    <row r="109" spans="1:9">
      <c r="A109" s="55"/>
      <c r="C109" s="130" t="s">
        <v>11</v>
      </c>
      <c r="D109" s="130"/>
      <c r="E109" s="130"/>
      <c r="F109" s="55"/>
      <c r="I109" s="52" t="s">
        <v>12</v>
      </c>
    </row>
    <row r="110" spans="1:9" ht="15.75">
      <c r="A110" s="4" t="s">
        <v>14</v>
      </c>
    </row>
    <row r="111" spans="1:9">
      <c r="A111" s="142" t="s">
        <v>15</v>
      </c>
      <c r="B111" s="142"/>
      <c r="C111" s="142"/>
      <c r="D111" s="142"/>
      <c r="E111" s="142"/>
      <c r="F111" s="142"/>
      <c r="G111" s="142"/>
      <c r="H111" s="142"/>
      <c r="I111" s="142"/>
    </row>
    <row r="112" spans="1:9" ht="47.25" customHeight="1">
      <c r="A112" s="138" t="s">
        <v>16</v>
      </c>
      <c r="B112" s="138"/>
      <c r="C112" s="138"/>
      <c r="D112" s="138"/>
      <c r="E112" s="138"/>
      <c r="F112" s="138"/>
      <c r="G112" s="138"/>
      <c r="H112" s="138"/>
      <c r="I112" s="138"/>
    </row>
    <row r="113" spans="1:9" ht="31.5" customHeight="1">
      <c r="A113" s="138" t="s">
        <v>17</v>
      </c>
      <c r="B113" s="138"/>
      <c r="C113" s="138"/>
      <c r="D113" s="138"/>
      <c r="E113" s="138"/>
      <c r="F113" s="138"/>
      <c r="G113" s="138"/>
      <c r="H113" s="138"/>
      <c r="I113" s="138"/>
    </row>
    <row r="114" spans="1:9" ht="31.5" customHeight="1">
      <c r="A114" s="138" t="s">
        <v>21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15.75" customHeight="1">
      <c r="A115" s="138" t="s">
        <v>20</v>
      </c>
      <c r="B115" s="138"/>
      <c r="C115" s="138"/>
      <c r="D115" s="138"/>
      <c r="E115" s="138"/>
      <c r="F115" s="138"/>
      <c r="G115" s="138"/>
      <c r="H115" s="138"/>
      <c r="I115" s="138"/>
    </row>
  </sheetData>
  <autoFilter ref="I12:I58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4:I44"/>
    <mergeCell ref="A54:I54"/>
    <mergeCell ref="A95:I95"/>
    <mergeCell ref="B96:G96"/>
    <mergeCell ref="B97:G97"/>
    <mergeCell ref="A99:I99"/>
    <mergeCell ref="A100:I100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6"/>
  <sheetViews>
    <sheetView topLeftCell="A93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170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243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96"/>
      <c r="C6" s="96"/>
      <c r="D6" s="96"/>
      <c r="E6" s="96"/>
      <c r="F6" s="96"/>
      <c r="G6" s="96"/>
      <c r="H6" s="96"/>
      <c r="I6" s="30">
        <v>43434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hidden="1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5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6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7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4">
        <v>8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9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10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hidden="1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8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11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12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13</v>
      </c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f>G61*1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8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G71*3.8</f>
        <v>2168.0519999999997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95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98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155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15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I80+I79+I71+I61+I59+I56+I43+I42+I41+I40+I38+I37+I25+I18+I17+I16</f>
        <v>31978.081536483332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28.5" customHeight="1">
      <c r="A83" s="29">
        <v>17</v>
      </c>
      <c r="B83" s="103" t="s">
        <v>194</v>
      </c>
      <c r="C83" s="49" t="s">
        <v>195</v>
      </c>
      <c r="D83" s="35"/>
      <c r="E83" s="17"/>
      <c r="F83" s="34">
        <v>0.15</v>
      </c>
      <c r="G83" s="34">
        <v>24829.08</v>
      </c>
      <c r="H83" s="34">
        <f t="shared" ref="H83" si="6">G83*F83/1000</f>
        <v>3.7243620000000002</v>
      </c>
      <c r="I83" s="88">
        <f>G83*0.01</f>
        <v>248.29080000000002</v>
      </c>
    </row>
    <row r="84" spans="1:9" ht="32.25" customHeight="1">
      <c r="A84" s="29">
        <v>18</v>
      </c>
      <c r="B84" s="103" t="s">
        <v>244</v>
      </c>
      <c r="C84" s="49" t="s">
        <v>29</v>
      </c>
      <c r="D84" s="48"/>
      <c r="E84" s="34"/>
      <c r="F84" s="34">
        <v>7</v>
      </c>
      <c r="G84" s="34">
        <v>18798.34</v>
      </c>
      <c r="H84" s="94">
        <f>G84*F84/1000</f>
        <v>131.58838</v>
      </c>
      <c r="I84" s="88">
        <f>G84*0.001198</f>
        <v>22.520411320000001</v>
      </c>
    </row>
    <row r="85" spans="1:9" ht="31.5" customHeight="1">
      <c r="A85" s="29">
        <v>19</v>
      </c>
      <c r="B85" s="113" t="s">
        <v>166</v>
      </c>
      <c r="C85" s="114" t="s">
        <v>167</v>
      </c>
      <c r="D85" s="48"/>
      <c r="E85" s="34"/>
      <c r="F85" s="34">
        <v>1</v>
      </c>
      <c r="G85" s="34">
        <v>326.66000000000003</v>
      </c>
      <c r="H85" s="94">
        <f>G85*F85/1000</f>
        <v>0.32666000000000001</v>
      </c>
      <c r="I85" s="88">
        <f>G85*2.5</f>
        <v>816.65000000000009</v>
      </c>
    </row>
    <row r="86" spans="1:9" ht="18" customHeight="1">
      <c r="A86" s="29">
        <v>20</v>
      </c>
      <c r="B86" s="103" t="s">
        <v>92</v>
      </c>
      <c r="C86" s="49" t="s">
        <v>118</v>
      </c>
      <c r="D86" s="48"/>
      <c r="E86" s="34"/>
      <c r="F86" s="34">
        <v>5</v>
      </c>
      <c r="G86" s="34">
        <v>164.03</v>
      </c>
      <c r="H86" s="94">
        <f>G86*F86/1000</f>
        <v>0.82014999999999993</v>
      </c>
      <c r="I86" s="88">
        <f>G86*1</f>
        <v>164.03</v>
      </c>
    </row>
    <row r="87" spans="1:9" ht="31.5" customHeight="1">
      <c r="A87" s="29">
        <v>21</v>
      </c>
      <c r="B87" s="47" t="s">
        <v>141</v>
      </c>
      <c r="C87" s="64" t="s">
        <v>37</v>
      </c>
      <c r="D87" s="48"/>
      <c r="E87" s="34"/>
      <c r="F87" s="34">
        <v>1</v>
      </c>
      <c r="G87" s="34">
        <v>3724.37</v>
      </c>
      <c r="H87" s="94">
        <f>G87*F87/1000</f>
        <v>3.72437</v>
      </c>
      <c r="I87" s="88">
        <f>G87*0.04</f>
        <v>148.97479999999999</v>
      </c>
    </row>
    <row r="88" spans="1:9" ht="15.75" customHeight="1">
      <c r="A88" s="29">
        <v>22</v>
      </c>
      <c r="B88" s="103" t="s">
        <v>82</v>
      </c>
      <c r="C88" s="49" t="s">
        <v>118</v>
      </c>
      <c r="D88" s="48"/>
      <c r="E88" s="34"/>
      <c r="F88" s="34"/>
      <c r="G88" s="34">
        <v>197.48</v>
      </c>
      <c r="H88" s="94"/>
      <c r="I88" s="88">
        <f>G88*4</f>
        <v>789.92</v>
      </c>
    </row>
    <row r="89" spans="1:9" ht="15.75" customHeight="1">
      <c r="A89" s="29">
        <v>23</v>
      </c>
      <c r="B89" s="103" t="s">
        <v>245</v>
      </c>
      <c r="C89" s="49" t="s">
        <v>81</v>
      </c>
      <c r="D89" s="48"/>
      <c r="E89" s="34"/>
      <c r="F89" s="34"/>
      <c r="G89" s="34">
        <v>868.99</v>
      </c>
      <c r="H89" s="94"/>
      <c r="I89" s="88">
        <f>G89*1</f>
        <v>868.99</v>
      </c>
    </row>
    <row r="90" spans="1:9" ht="31.5" customHeight="1">
      <c r="A90" s="29">
        <v>24</v>
      </c>
      <c r="B90" s="47" t="s">
        <v>246</v>
      </c>
      <c r="C90" s="64" t="s">
        <v>81</v>
      </c>
      <c r="D90" s="48"/>
      <c r="E90" s="34"/>
      <c r="F90" s="34"/>
      <c r="G90" s="34">
        <v>1272</v>
      </c>
      <c r="H90" s="94"/>
      <c r="I90" s="88">
        <f>G90*1</f>
        <v>1272</v>
      </c>
    </row>
    <row r="91" spans="1:9" ht="31.5" customHeight="1">
      <c r="A91" s="29">
        <v>25</v>
      </c>
      <c r="B91" s="47" t="s">
        <v>247</v>
      </c>
      <c r="C91" s="64" t="s">
        <v>81</v>
      </c>
      <c r="D91" s="48"/>
      <c r="E91" s="34"/>
      <c r="F91" s="34"/>
      <c r="G91" s="34">
        <v>1146</v>
      </c>
      <c r="H91" s="94"/>
      <c r="I91" s="88">
        <f>G91*4</f>
        <v>4584</v>
      </c>
    </row>
    <row r="92" spans="1:9" ht="15.75" customHeight="1">
      <c r="A92" s="29">
        <v>26</v>
      </c>
      <c r="B92" s="47" t="s">
        <v>248</v>
      </c>
      <c r="C92" s="64" t="s">
        <v>118</v>
      </c>
      <c r="D92" s="48"/>
      <c r="E92" s="34"/>
      <c r="F92" s="34"/>
      <c r="G92" s="34">
        <v>5.42</v>
      </c>
      <c r="H92" s="94"/>
      <c r="I92" s="88">
        <f>G92*2</f>
        <v>10.84</v>
      </c>
    </row>
    <row r="93" spans="1:9" ht="15.75" customHeight="1">
      <c r="A93" s="29">
        <v>27</v>
      </c>
      <c r="B93" s="47" t="s">
        <v>249</v>
      </c>
      <c r="C93" s="64" t="s">
        <v>118</v>
      </c>
      <c r="D93" s="48"/>
      <c r="E93" s="34"/>
      <c r="F93" s="34"/>
      <c r="G93" s="34">
        <v>4.46</v>
      </c>
      <c r="H93" s="94"/>
      <c r="I93" s="88">
        <f>G93*4</f>
        <v>17.84</v>
      </c>
    </row>
    <row r="94" spans="1:9" ht="15.75" customHeight="1">
      <c r="A94" s="29">
        <v>28</v>
      </c>
      <c r="B94" s="47" t="s">
        <v>250</v>
      </c>
      <c r="C94" s="64" t="s">
        <v>118</v>
      </c>
      <c r="D94" s="48"/>
      <c r="E94" s="34"/>
      <c r="F94" s="34"/>
      <c r="G94" s="34">
        <v>6.2</v>
      </c>
      <c r="H94" s="94"/>
      <c r="I94" s="88">
        <f>G94*4</f>
        <v>24.8</v>
      </c>
    </row>
    <row r="95" spans="1:9" ht="15.75" customHeight="1">
      <c r="A95" s="29">
        <v>29</v>
      </c>
      <c r="B95" s="47" t="s">
        <v>251</v>
      </c>
      <c r="C95" s="64" t="s">
        <v>118</v>
      </c>
      <c r="D95" s="48"/>
      <c r="E95" s="34"/>
      <c r="F95" s="34"/>
      <c r="G95" s="34">
        <v>6.84</v>
      </c>
      <c r="H95" s="94"/>
      <c r="I95" s="88">
        <f>G95*1</f>
        <v>6.84</v>
      </c>
    </row>
    <row r="96" spans="1:9" ht="15.75" customHeight="1">
      <c r="A96" s="29">
        <v>30</v>
      </c>
      <c r="B96" s="47" t="s">
        <v>252</v>
      </c>
      <c r="C96" s="64" t="s">
        <v>118</v>
      </c>
      <c r="D96" s="48"/>
      <c r="E96" s="34"/>
      <c r="F96" s="34"/>
      <c r="G96" s="34">
        <v>5.43</v>
      </c>
      <c r="H96" s="94"/>
      <c r="I96" s="88">
        <f>G96*1</f>
        <v>5.43</v>
      </c>
    </row>
    <row r="97" spans="1:9" ht="15.75" customHeight="1">
      <c r="A97" s="29">
        <v>31</v>
      </c>
      <c r="B97" s="47" t="s">
        <v>253</v>
      </c>
      <c r="C97" s="64" t="s">
        <v>118</v>
      </c>
      <c r="D97" s="48"/>
      <c r="E97" s="34"/>
      <c r="F97" s="34"/>
      <c r="G97" s="34">
        <v>20.350000000000001</v>
      </c>
      <c r="H97" s="94"/>
      <c r="I97" s="88">
        <f>G97*1</f>
        <v>20.350000000000001</v>
      </c>
    </row>
    <row r="98" spans="1:9" ht="15.75" customHeight="1">
      <c r="A98" s="29">
        <v>32</v>
      </c>
      <c r="B98" s="47" t="s">
        <v>254</v>
      </c>
      <c r="C98" s="64" t="s">
        <v>118</v>
      </c>
      <c r="D98" s="48"/>
      <c r="E98" s="34"/>
      <c r="F98" s="34"/>
      <c r="G98" s="34">
        <v>89.92</v>
      </c>
      <c r="H98" s="94"/>
      <c r="I98" s="88">
        <f>G98*1</f>
        <v>89.92</v>
      </c>
    </row>
    <row r="99" spans="1:9" ht="15.75" customHeight="1">
      <c r="A99" s="29">
        <v>33</v>
      </c>
      <c r="B99" s="47" t="s">
        <v>255</v>
      </c>
      <c r="C99" s="64" t="s">
        <v>118</v>
      </c>
      <c r="D99" s="48"/>
      <c r="E99" s="34"/>
      <c r="F99" s="34"/>
      <c r="G99" s="34">
        <v>225.51</v>
      </c>
      <c r="H99" s="94"/>
      <c r="I99" s="88">
        <f>G99*2</f>
        <v>451.02</v>
      </c>
    </row>
    <row r="100" spans="1:9" ht="15.75" customHeight="1">
      <c r="A100" s="29">
        <v>34</v>
      </c>
      <c r="B100" s="47" t="s">
        <v>256</v>
      </c>
      <c r="C100" s="64" t="s">
        <v>118</v>
      </c>
      <c r="D100" s="48"/>
      <c r="E100" s="34"/>
      <c r="F100" s="34"/>
      <c r="G100" s="34">
        <v>196.01</v>
      </c>
      <c r="H100" s="94"/>
      <c r="I100" s="88">
        <f>G100*2</f>
        <v>392.02</v>
      </c>
    </row>
    <row r="101" spans="1:9" ht="15.75" customHeight="1">
      <c r="A101" s="29">
        <v>35</v>
      </c>
      <c r="B101" s="47" t="s">
        <v>257</v>
      </c>
      <c r="C101" s="64" t="s">
        <v>118</v>
      </c>
      <c r="D101" s="48"/>
      <c r="E101" s="34"/>
      <c r="F101" s="34"/>
      <c r="G101" s="34">
        <v>1008.38</v>
      </c>
      <c r="H101" s="94"/>
      <c r="I101" s="88">
        <f>G101*1</f>
        <v>1008.38</v>
      </c>
    </row>
    <row r="102" spans="1:9" ht="30.75" customHeight="1">
      <c r="A102" s="29">
        <v>36</v>
      </c>
      <c r="B102" s="103" t="s">
        <v>258</v>
      </c>
      <c r="C102" s="49" t="s">
        <v>131</v>
      </c>
      <c r="D102" s="48"/>
      <c r="E102" s="34"/>
      <c r="F102" s="34"/>
      <c r="G102" s="34">
        <v>835.68</v>
      </c>
      <c r="H102" s="94"/>
      <c r="I102" s="88">
        <f>G102*2</f>
        <v>1671.36</v>
      </c>
    </row>
    <row r="103" spans="1:9" ht="15.75" customHeight="1">
      <c r="A103" s="29"/>
      <c r="B103" s="41" t="s">
        <v>50</v>
      </c>
      <c r="C103" s="37"/>
      <c r="D103" s="45"/>
      <c r="E103" s="37">
        <v>1</v>
      </c>
      <c r="F103" s="37"/>
      <c r="G103" s="37"/>
      <c r="H103" s="37"/>
      <c r="I103" s="32">
        <f>SUM(I83:I102)</f>
        <v>12614.176011320002</v>
      </c>
    </row>
    <row r="104" spans="1:9" ht="15.75" customHeight="1">
      <c r="A104" s="29"/>
      <c r="B104" s="43" t="s">
        <v>78</v>
      </c>
      <c r="C104" s="15"/>
      <c r="D104" s="15"/>
      <c r="E104" s="38"/>
      <c r="F104" s="38"/>
      <c r="G104" s="39"/>
      <c r="H104" s="39"/>
      <c r="I104" s="17">
        <v>0</v>
      </c>
    </row>
    <row r="105" spans="1:9" ht="15.75" customHeight="1">
      <c r="A105" s="46"/>
      <c r="B105" s="42" t="s">
        <v>165</v>
      </c>
      <c r="C105" s="33"/>
      <c r="D105" s="33"/>
      <c r="E105" s="33"/>
      <c r="F105" s="33"/>
      <c r="G105" s="33"/>
      <c r="H105" s="33"/>
      <c r="I105" s="40">
        <f>I81+I103</f>
        <v>44592.257547803332</v>
      </c>
    </row>
    <row r="106" spans="1:9" ht="15.75">
      <c r="A106" s="131" t="s">
        <v>259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15.75">
      <c r="A107" s="58"/>
      <c r="B107" s="143" t="s">
        <v>260</v>
      </c>
      <c r="C107" s="143"/>
      <c r="D107" s="143"/>
      <c r="E107" s="143"/>
      <c r="F107" s="143"/>
      <c r="G107" s="143"/>
      <c r="H107" s="63"/>
      <c r="I107" s="3"/>
    </row>
    <row r="108" spans="1:9">
      <c r="A108" s="99"/>
      <c r="B108" s="140" t="s">
        <v>6</v>
      </c>
      <c r="C108" s="140"/>
      <c r="D108" s="140"/>
      <c r="E108" s="140"/>
      <c r="F108" s="140"/>
      <c r="G108" s="140"/>
      <c r="H108" s="24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44" t="s">
        <v>7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15.75">
      <c r="A111" s="144" t="s">
        <v>8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15.75">
      <c r="A112" s="127" t="s">
        <v>60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.75">
      <c r="A113" s="11"/>
    </row>
    <row r="114" spans="1:9" ht="15.75">
      <c r="A114" s="128" t="s">
        <v>9</v>
      </c>
      <c r="B114" s="128"/>
      <c r="C114" s="128"/>
      <c r="D114" s="128"/>
      <c r="E114" s="128"/>
      <c r="F114" s="128"/>
      <c r="G114" s="128"/>
      <c r="H114" s="128"/>
      <c r="I114" s="128"/>
    </row>
    <row r="115" spans="1:9" ht="15.75">
      <c r="A115" s="4"/>
    </row>
    <row r="116" spans="1:9" ht="15.75">
      <c r="B116" s="97" t="s">
        <v>10</v>
      </c>
      <c r="C116" s="139" t="s">
        <v>90</v>
      </c>
      <c r="D116" s="139"/>
      <c r="E116" s="139"/>
      <c r="F116" s="61"/>
      <c r="I116" s="101"/>
    </row>
    <row r="117" spans="1:9">
      <c r="A117" s="99"/>
      <c r="C117" s="140" t="s">
        <v>11</v>
      </c>
      <c r="D117" s="140"/>
      <c r="E117" s="140"/>
      <c r="F117" s="24"/>
      <c r="I117" s="100" t="s">
        <v>12</v>
      </c>
    </row>
    <row r="118" spans="1:9" ht="15.75">
      <c r="A118" s="25"/>
      <c r="C118" s="12"/>
      <c r="D118" s="12"/>
      <c r="G118" s="12"/>
      <c r="H118" s="12"/>
    </row>
    <row r="119" spans="1:9" ht="15.75">
      <c r="B119" s="97" t="s">
        <v>13</v>
      </c>
      <c r="C119" s="141"/>
      <c r="D119" s="141"/>
      <c r="E119" s="141"/>
      <c r="F119" s="62"/>
      <c r="I119" s="101"/>
    </row>
    <row r="120" spans="1:9">
      <c r="A120" s="99"/>
      <c r="C120" s="130" t="s">
        <v>11</v>
      </c>
      <c r="D120" s="130"/>
      <c r="E120" s="130"/>
      <c r="F120" s="99"/>
      <c r="I120" s="100" t="s">
        <v>12</v>
      </c>
    </row>
    <row r="121" spans="1:9" ht="15.75">
      <c r="A121" s="4" t="s">
        <v>14</v>
      </c>
    </row>
    <row r="122" spans="1:9">
      <c r="A122" s="142" t="s">
        <v>15</v>
      </c>
      <c r="B122" s="142"/>
      <c r="C122" s="142"/>
      <c r="D122" s="142"/>
      <c r="E122" s="142"/>
      <c r="F122" s="142"/>
      <c r="G122" s="142"/>
      <c r="H122" s="142"/>
      <c r="I122" s="142"/>
    </row>
    <row r="123" spans="1:9" ht="47.25" customHeight="1">
      <c r="A123" s="138" t="s">
        <v>16</v>
      </c>
      <c r="B123" s="138"/>
      <c r="C123" s="138"/>
      <c r="D123" s="138"/>
      <c r="E123" s="138"/>
      <c r="F123" s="138"/>
      <c r="G123" s="138"/>
      <c r="H123" s="138"/>
      <c r="I123" s="138"/>
    </row>
    <row r="124" spans="1:9" ht="31.5" customHeight="1">
      <c r="A124" s="138" t="s">
        <v>17</v>
      </c>
      <c r="B124" s="138"/>
      <c r="C124" s="138"/>
      <c r="D124" s="138"/>
      <c r="E124" s="138"/>
      <c r="F124" s="138"/>
      <c r="G124" s="138"/>
      <c r="H124" s="138"/>
      <c r="I124" s="138"/>
    </row>
    <row r="125" spans="1:9" ht="31.5" customHeight="1">
      <c r="A125" s="138" t="s">
        <v>21</v>
      </c>
      <c r="B125" s="138"/>
      <c r="C125" s="138"/>
      <c r="D125" s="138"/>
      <c r="E125" s="138"/>
      <c r="F125" s="138"/>
      <c r="G125" s="138"/>
      <c r="H125" s="138"/>
      <c r="I125" s="138"/>
    </row>
    <row r="126" spans="1:9" ht="15.75" customHeight="1">
      <c r="A126" s="138" t="s">
        <v>20</v>
      </c>
      <c r="B126" s="138"/>
      <c r="C126" s="138"/>
      <c r="D126" s="138"/>
      <c r="E126" s="138"/>
      <c r="F126" s="138"/>
      <c r="G126" s="138"/>
      <c r="H126" s="138"/>
      <c r="I126" s="138"/>
    </row>
  </sheetData>
  <autoFilter ref="I12:I58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20:E120"/>
    <mergeCell ref="A82:I82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78:I78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  <ignoredErrors>
    <ignoredError sqref="I101 I9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57" workbookViewId="0">
      <selection activeCell="K92" sqref="K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172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261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96"/>
      <c r="C6" s="96"/>
      <c r="D6" s="96"/>
      <c r="E6" s="96"/>
      <c r="F6" s="96"/>
      <c r="G6" s="96"/>
      <c r="H6" s="96"/>
      <c r="I6" s="30">
        <v>43465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hidden="1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5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6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7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4">
        <v>8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9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F42/7.5*1.5*G42</f>
        <v>212.2273764</v>
      </c>
      <c r="J42" s="23"/>
      <c r="L42" s="19"/>
      <c r="M42" s="20"/>
      <c r="N42" s="21"/>
    </row>
    <row r="43" spans="1:14" ht="15.75" customHeight="1">
      <c r="A43" s="29">
        <v>10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F43/7.5*1.5*G43</f>
        <v>163.37880000000001</v>
      </c>
      <c r="J43" s="23"/>
      <c r="L43" s="19"/>
      <c r="M43" s="20"/>
      <c r="N43" s="21"/>
    </row>
    <row r="44" spans="1:14" ht="15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11</v>
      </c>
      <c r="B49" s="65" t="s">
        <v>55</v>
      </c>
      <c r="C49" s="66" t="s">
        <v>104</v>
      </c>
      <c r="D49" s="65" t="s">
        <v>164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8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12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G56*(0.6307*2+0.201)</f>
        <v>2573.6777600000005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13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15</v>
      </c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f>G61*4</f>
        <v>1011.84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8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G71*1.8</f>
        <v>1026.972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95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29">
        <v>17</v>
      </c>
      <c r="B77" s="65" t="s">
        <v>126</v>
      </c>
      <c r="C77" s="16"/>
      <c r="D77" s="14"/>
      <c r="E77" s="60"/>
      <c r="F77" s="13">
        <v>1</v>
      </c>
      <c r="G77" s="104">
        <v>20953</v>
      </c>
      <c r="H77" s="81">
        <f>G77*F77/1000</f>
        <v>20.952999999999999</v>
      </c>
      <c r="I77" s="104">
        <f>G77</f>
        <v>20953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15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I80+I79+I71+I59+I56+I49+I43+I42+I41+I40+I38+I37+I25+I18+I17+I16</f>
        <v>33302.336832283334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17.25" customHeight="1">
      <c r="A83" s="29">
        <v>17</v>
      </c>
      <c r="B83" s="47" t="s">
        <v>168</v>
      </c>
      <c r="C83" s="64" t="s">
        <v>169</v>
      </c>
      <c r="D83" s="48"/>
      <c r="E83" s="34"/>
      <c r="F83" s="34">
        <v>3</v>
      </c>
      <c r="G83" s="34">
        <v>7709.44</v>
      </c>
      <c r="H83" s="94">
        <f t="shared" ref="H83:H85" si="6">G83*F83/1000</f>
        <v>23.128319999999999</v>
      </c>
      <c r="I83" s="88">
        <f>G83*0.03</f>
        <v>231.28319999999997</v>
      </c>
    </row>
    <row r="84" spans="1:9" ht="31.5" customHeight="1">
      <c r="A84" s="29">
        <v>18</v>
      </c>
      <c r="B84" s="103" t="s">
        <v>244</v>
      </c>
      <c r="C84" s="49" t="s">
        <v>29</v>
      </c>
      <c r="D84" s="35"/>
      <c r="E84" s="17"/>
      <c r="F84" s="34">
        <v>4</v>
      </c>
      <c r="G84" s="34">
        <v>18798.34</v>
      </c>
      <c r="H84" s="94">
        <f t="shared" si="6"/>
        <v>75.193359999999998</v>
      </c>
      <c r="I84" s="88">
        <f>G84*0.599*2/1000</f>
        <v>22.520411320000001</v>
      </c>
    </row>
    <row r="85" spans="1:9" ht="30.75" customHeight="1">
      <c r="A85" s="29">
        <v>19</v>
      </c>
      <c r="B85" s="47" t="s">
        <v>79</v>
      </c>
      <c r="C85" s="64" t="s">
        <v>118</v>
      </c>
      <c r="D85" s="35"/>
      <c r="E85" s="17"/>
      <c r="F85" s="34">
        <v>2</v>
      </c>
      <c r="G85" s="34">
        <v>86.69</v>
      </c>
      <c r="H85" s="94">
        <f t="shared" si="6"/>
        <v>0.17338000000000001</v>
      </c>
      <c r="I85" s="88">
        <f>G85*1</f>
        <v>86.69</v>
      </c>
    </row>
    <row r="86" spans="1:9" ht="15" customHeight="1">
      <c r="A86" s="29">
        <v>20</v>
      </c>
      <c r="B86" s="103" t="s">
        <v>92</v>
      </c>
      <c r="C86" s="49" t="s">
        <v>118</v>
      </c>
      <c r="D86" s="48"/>
      <c r="E86" s="34"/>
      <c r="F86" s="34">
        <v>3</v>
      </c>
      <c r="G86" s="34">
        <v>164.03</v>
      </c>
      <c r="H86" s="94">
        <f>G86*F86/1000</f>
        <v>0.49209000000000003</v>
      </c>
      <c r="I86" s="88">
        <f>G86*1</f>
        <v>164.03</v>
      </c>
    </row>
    <row r="87" spans="1:9" ht="31.5" customHeight="1">
      <c r="A87" s="29">
        <v>21</v>
      </c>
      <c r="B87" s="47" t="s">
        <v>141</v>
      </c>
      <c r="C87" s="64" t="s">
        <v>37</v>
      </c>
      <c r="D87" s="35"/>
      <c r="E87" s="17"/>
      <c r="F87" s="34">
        <v>2</v>
      </c>
      <c r="G87" s="34">
        <v>3724.37</v>
      </c>
      <c r="H87" s="34">
        <f t="shared" ref="H87:H88" si="7">G87*F87/1000</f>
        <v>7.4487399999999999</v>
      </c>
      <c r="I87" s="88">
        <f>G87*0.03</f>
        <v>111.7311</v>
      </c>
    </row>
    <row r="88" spans="1:9" ht="31.5" customHeight="1">
      <c r="A88" s="29">
        <v>22</v>
      </c>
      <c r="B88" s="47" t="s">
        <v>89</v>
      </c>
      <c r="C88" s="64" t="s">
        <v>131</v>
      </c>
      <c r="D88" s="35"/>
      <c r="E88" s="17"/>
      <c r="F88" s="34">
        <v>0.15</v>
      </c>
      <c r="G88" s="34">
        <v>613.44000000000005</v>
      </c>
      <c r="H88" s="34">
        <f t="shared" si="7"/>
        <v>9.2016000000000001E-2</v>
      </c>
      <c r="I88" s="88">
        <f>G88*1</f>
        <v>613.44000000000005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SUM(I83:I88)</f>
        <v>1229.6947113199999</v>
      </c>
    </row>
    <row r="90" spans="1:9" ht="15.75" customHeight="1">
      <c r="A90" s="29"/>
      <c r="B90" s="43" t="s">
        <v>78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165</v>
      </c>
      <c r="C91" s="33"/>
      <c r="D91" s="33"/>
      <c r="E91" s="33"/>
      <c r="F91" s="33"/>
      <c r="G91" s="33"/>
      <c r="H91" s="33"/>
      <c r="I91" s="40">
        <f>I81+I89</f>
        <v>34532.031543603334</v>
      </c>
    </row>
    <row r="92" spans="1:9" ht="15.75">
      <c r="A92" s="131" t="s">
        <v>262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>
      <c r="A93" s="58"/>
      <c r="B93" s="143" t="s">
        <v>263</v>
      </c>
      <c r="C93" s="143"/>
      <c r="D93" s="143"/>
      <c r="E93" s="143"/>
      <c r="F93" s="143"/>
      <c r="G93" s="143"/>
      <c r="H93" s="63"/>
      <c r="I93" s="3"/>
    </row>
    <row r="94" spans="1:9">
      <c r="A94" s="99"/>
      <c r="B94" s="140" t="s">
        <v>6</v>
      </c>
      <c r="C94" s="140"/>
      <c r="D94" s="140"/>
      <c r="E94" s="140"/>
      <c r="F94" s="140"/>
      <c r="G94" s="140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4" t="s">
        <v>7</v>
      </c>
      <c r="B96" s="144"/>
      <c r="C96" s="144"/>
      <c r="D96" s="144"/>
      <c r="E96" s="144"/>
      <c r="F96" s="144"/>
      <c r="G96" s="144"/>
      <c r="H96" s="144"/>
      <c r="I96" s="144"/>
    </row>
    <row r="97" spans="1:9" ht="15.75">
      <c r="A97" s="144" t="s">
        <v>8</v>
      </c>
      <c r="B97" s="144"/>
      <c r="C97" s="144"/>
      <c r="D97" s="144"/>
      <c r="E97" s="144"/>
      <c r="F97" s="144"/>
      <c r="G97" s="144"/>
      <c r="H97" s="144"/>
      <c r="I97" s="144"/>
    </row>
    <row r="98" spans="1:9" ht="15.75">
      <c r="A98" s="127" t="s">
        <v>60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1"/>
    </row>
    <row r="100" spans="1:9" ht="15.75">
      <c r="A100" s="128" t="s">
        <v>9</v>
      </c>
      <c r="B100" s="128"/>
      <c r="C100" s="128"/>
      <c r="D100" s="128"/>
      <c r="E100" s="128"/>
      <c r="F100" s="128"/>
      <c r="G100" s="128"/>
      <c r="H100" s="128"/>
      <c r="I100" s="128"/>
    </row>
    <row r="101" spans="1:9" ht="15.75">
      <c r="A101" s="4"/>
    </row>
    <row r="102" spans="1:9" ht="15.75">
      <c r="B102" s="97" t="s">
        <v>10</v>
      </c>
      <c r="C102" s="139" t="s">
        <v>90</v>
      </c>
      <c r="D102" s="139"/>
      <c r="E102" s="139"/>
      <c r="F102" s="61"/>
      <c r="I102" s="101"/>
    </row>
    <row r="103" spans="1:9">
      <c r="A103" s="99"/>
      <c r="C103" s="140" t="s">
        <v>11</v>
      </c>
      <c r="D103" s="140"/>
      <c r="E103" s="140"/>
      <c r="F103" s="24"/>
      <c r="I103" s="100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97" t="s">
        <v>13</v>
      </c>
      <c r="C105" s="141"/>
      <c r="D105" s="141"/>
      <c r="E105" s="141"/>
      <c r="F105" s="62"/>
      <c r="I105" s="101"/>
    </row>
    <row r="106" spans="1:9">
      <c r="A106" s="99"/>
      <c r="C106" s="130" t="s">
        <v>11</v>
      </c>
      <c r="D106" s="130"/>
      <c r="E106" s="130"/>
      <c r="F106" s="99"/>
      <c r="I106" s="100" t="s">
        <v>12</v>
      </c>
    </row>
    <row r="107" spans="1:9" ht="15.75">
      <c r="A107" s="4" t="s">
        <v>14</v>
      </c>
    </row>
    <row r="108" spans="1:9">
      <c r="A108" s="142" t="s">
        <v>15</v>
      </c>
      <c r="B108" s="142"/>
      <c r="C108" s="142"/>
      <c r="D108" s="142"/>
      <c r="E108" s="142"/>
      <c r="F108" s="142"/>
      <c r="G108" s="142"/>
      <c r="H108" s="142"/>
      <c r="I108" s="142"/>
    </row>
    <row r="109" spans="1:9" ht="47.25" customHeight="1">
      <c r="A109" s="138" t="s">
        <v>16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31.5" customHeight="1">
      <c r="A110" s="138" t="s">
        <v>17</v>
      </c>
      <c r="B110" s="138"/>
      <c r="C110" s="138"/>
      <c r="D110" s="138"/>
      <c r="E110" s="138"/>
      <c r="F110" s="138"/>
      <c r="G110" s="138"/>
      <c r="H110" s="138"/>
      <c r="I110" s="138"/>
    </row>
    <row r="111" spans="1:9" ht="31.5" customHeight="1">
      <c r="A111" s="138" t="s">
        <v>21</v>
      </c>
      <c r="B111" s="138"/>
      <c r="C111" s="138"/>
      <c r="D111" s="138"/>
      <c r="E111" s="138"/>
      <c r="F111" s="138"/>
      <c r="G111" s="138"/>
      <c r="H111" s="138"/>
      <c r="I111" s="138"/>
    </row>
    <row r="112" spans="1:9" ht="15.75" customHeight="1">
      <c r="A112" s="138" t="s">
        <v>20</v>
      </c>
      <c r="B112" s="138"/>
      <c r="C112" s="138"/>
      <c r="D112" s="138"/>
      <c r="E112" s="138"/>
      <c r="F112" s="138"/>
      <c r="G112" s="138"/>
      <c r="H112" s="138"/>
      <c r="I112" s="138"/>
    </row>
  </sheetData>
  <autoFilter ref="I12:I58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6:E106"/>
    <mergeCell ref="A82:I82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8:I78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09"/>
  <sheetViews>
    <sheetView topLeftCell="A60" workbookViewId="0">
      <selection activeCell="B90" sqref="B90: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149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177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43159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103</v>
      </c>
      <c r="C29" s="66" t="s">
        <v>133</v>
      </c>
      <c r="D29" s="65" t="s">
        <v>134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135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12</v>
      </c>
      <c r="B49" s="65" t="s">
        <v>55</v>
      </c>
      <c r="C49" s="66" t="s">
        <v>104</v>
      </c>
      <c r="D49" s="65" t="s">
        <v>164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13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0.56*G56</f>
        <v>985.5440000000001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14</v>
      </c>
      <c r="B59" s="105" t="s">
        <v>91</v>
      </c>
      <c r="C59" s="106" t="s">
        <v>25</v>
      </c>
      <c r="D59" s="105" t="s">
        <v>30</v>
      </c>
      <c r="E59" s="107">
        <v>100</v>
      </c>
      <c r="F59" s="108">
        <f>E59*12</f>
        <v>1200</v>
      </c>
      <c r="G59" s="109">
        <v>1.2</v>
      </c>
      <c r="H59" s="110">
        <f>F59*G59/1000</f>
        <v>1.44</v>
      </c>
      <c r="I59" s="13">
        <f>F59/12*G59</f>
        <v>120</v>
      </c>
    </row>
    <row r="60" spans="1:22" ht="15.75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15</v>
      </c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15</v>
      </c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f>G62</f>
        <v>86.74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16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G71*2.9</f>
        <v>1654.5659999999998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17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18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I16+I17+I18+I25+I26+I37+I38+I40+I41+I42+I43+I49+I56+I59+I61+I71+I79+I80</f>
        <v>43681.620013483342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15.75" customHeight="1">
      <c r="A83" s="29">
        <v>19</v>
      </c>
      <c r="B83" s="103" t="s">
        <v>178</v>
      </c>
      <c r="C83" s="49" t="s">
        <v>142</v>
      </c>
      <c r="D83" s="35"/>
      <c r="E83" s="17"/>
      <c r="F83" s="34">
        <v>10</v>
      </c>
      <c r="G83" s="34">
        <v>134.12</v>
      </c>
      <c r="H83" s="94">
        <f>G83*F83/1000</f>
        <v>1.3411999999999999</v>
      </c>
      <c r="I83" s="88">
        <f>G83*10</f>
        <v>1341.2</v>
      </c>
    </row>
    <row r="84" spans="1:9" ht="15.75" customHeight="1">
      <c r="A84" s="29">
        <v>20</v>
      </c>
      <c r="B84" s="103" t="s">
        <v>92</v>
      </c>
      <c r="C84" s="49" t="s">
        <v>118</v>
      </c>
      <c r="D84" s="35"/>
      <c r="E84" s="17"/>
      <c r="F84" s="34">
        <v>1</v>
      </c>
      <c r="G84" s="34">
        <v>164.03</v>
      </c>
      <c r="H84" s="94">
        <f t="shared" ref="H84" si="6">G84*F84/1000</f>
        <v>0.16403000000000001</v>
      </c>
      <c r="I84" s="88">
        <f>G84</f>
        <v>164.03</v>
      </c>
    </row>
    <row r="85" spans="1:9" ht="31.5" customHeight="1">
      <c r="A85" s="29">
        <v>21</v>
      </c>
      <c r="B85" s="47" t="s">
        <v>141</v>
      </c>
      <c r="C85" s="64" t="s">
        <v>37</v>
      </c>
      <c r="D85" s="35"/>
      <c r="E85" s="17"/>
      <c r="F85" s="34">
        <v>0.01</v>
      </c>
      <c r="G85" s="34">
        <v>3724.37</v>
      </c>
      <c r="H85" s="94">
        <f>G85*F85/1000</f>
        <v>3.7243699999999998E-2</v>
      </c>
      <c r="I85" s="88">
        <f>G85*0.01</f>
        <v>37.243699999999997</v>
      </c>
    </row>
    <row r="86" spans="1:9" ht="15.75" customHeight="1">
      <c r="A86" s="29"/>
      <c r="B86" s="41" t="s">
        <v>50</v>
      </c>
      <c r="C86" s="37"/>
      <c r="D86" s="45"/>
      <c r="E86" s="37">
        <v>1</v>
      </c>
      <c r="F86" s="37"/>
      <c r="G86" s="37"/>
      <c r="H86" s="37"/>
      <c r="I86" s="32">
        <f>SUM(I83:I85)</f>
        <v>1542.4737</v>
      </c>
    </row>
    <row r="87" spans="1:9" ht="15.75" customHeight="1">
      <c r="A87" s="29"/>
      <c r="B87" s="43" t="s">
        <v>78</v>
      </c>
      <c r="C87" s="15"/>
      <c r="D87" s="15"/>
      <c r="E87" s="38"/>
      <c r="F87" s="38"/>
      <c r="G87" s="39"/>
      <c r="H87" s="39"/>
      <c r="I87" s="17">
        <v>0</v>
      </c>
    </row>
    <row r="88" spans="1:9" ht="15.75" customHeight="1">
      <c r="A88" s="46"/>
      <c r="B88" s="42" t="s">
        <v>165</v>
      </c>
      <c r="C88" s="33"/>
      <c r="D88" s="33"/>
      <c r="E88" s="33"/>
      <c r="F88" s="33"/>
      <c r="G88" s="33"/>
      <c r="H88" s="33"/>
      <c r="I88" s="40">
        <f>I81+I86</f>
        <v>45224.093713483344</v>
      </c>
    </row>
    <row r="89" spans="1:9" ht="15.75">
      <c r="A89" s="131" t="s">
        <v>219</v>
      </c>
      <c r="B89" s="131"/>
      <c r="C89" s="131"/>
      <c r="D89" s="131"/>
      <c r="E89" s="131"/>
      <c r="F89" s="131"/>
      <c r="G89" s="131"/>
      <c r="H89" s="131"/>
      <c r="I89" s="131"/>
    </row>
    <row r="90" spans="1:9" ht="15.75">
      <c r="A90" s="58"/>
      <c r="B90" s="143" t="s">
        <v>220</v>
      </c>
      <c r="C90" s="143"/>
      <c r="D90" s="143"/>
      <c r="E90" s="143"/>
      <c r="F90" s="143"/>
      <c r="G90" s="143"/>
      <c r="H90" s="63"/>
      <c r="I90" s="3"/>
    </row>
    <row r="91" spans="1:9">
      <c r="A91" s="55"/>
      <c r="B91" s="140" t="s">
        <v>6</v>
      </c>
      <c r="C91" s="140"/>
      <c r="D91" s="140"/>
      <c r="E91" s="140"/>
      <c r="F91" s="140"/>
      <c r="G91" s="140"/>
      <c r="H91" s="24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44" t="s">
        <v>7</v>
      </c>
      <c r="B93" s="144"/>
      <c r="C93" s="144"/>
      <c r="D93" s="144"/>
      <c r="E93" s="144"/>
      <c r="F93" s="144"/>
      <c r="G93" s="144"/>
      <c r="H93" s="144"/>
      <c r="I93" s="144"/>
    </row>
    <row r="94" spans="1:9" ht="15.75">
      <c r="A94" s="144" t="s">
        <v>8</v>
      </c>
      <c r="B94" s="144"/>
      <c r="C94" s="144"/>
      <c r="D94" s="144"/>
      <c r="E94" s="144"/>
      <c r="F94" s="144"/>
      <c r="G94" s="144"/>
      <c r="H94" s="144"/>
      <c r="I94" s="144"/>
    </row>
    <row r="95" spans="1:9" ht="15.75">
      <c r="A95" s="127" t="s">
        <v>60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11"/>
    </row>
    <row r="97" spans="1:9" ht="15.75">
      <c r="A97" s="128" t="s">
        <v>9</v>
      </c>
      <c r="B97" s="128"/>
      <c r="C97" s="128"/>
      <c r="D97" s="128"/>
      <c r="E97" s="128"/>
      <c r="F97" s="128"/>
      <c r="G97" s="128"/>
      <c r="H97" s="128"/>
      <c r="I97" s="128"/>
    </row>
    <row r="98" spans="1:9" ht="15.75">
      <c r="A98" s="4"/>
    </row>
    <row r="99" spans="1:9" ht="15.75">
      <c r="B99" s="53" t="s">
        <v>10</v>
      </c>
      <c r="C99" s="139" t="s">
        <v>90</v>
      </c>
      <c r="D99" s="139"/>
      <c r="E99" s="139"/>
      <c r="F99" s="61"/>
      <c r="I99" s="54"/>
    </row>
    <row r="100" spans="1:9">
      <c r="A100" s="55"/>
      <c r="C100" s="140" t="s">
        <v>11</v>
      </c>
      <c r="D100" s="140"/>
      <c r="E100" s="140"/>
      <c r="F100" s="24"/>
      <c r="I100" s="52" t="s">
        <v>12</v>
      </c>
    </row>
    <row r="101" spans="1:9" ht="15.75">
      <c r="A101" s="25"/>
      <c r="C101" s="12"/>
      <c r="D101" s="12"/>
      <c r="G101" s="12"/>
      <c r="H101" s="12"/>
    </row>
    <row r="102" spans="1:9" ht="15.75">
      <c r="B102" s="53" t="s">
        <v>13</v>
      </c>
      <c r="C102" s="141"/>
      <c r="D102" s="141"/>
      <c r="E102" s="141"/>
      <c r="F102" s="62"/>
      <c r="I102" s="54"/>
    </row>
    <row r="103" spans="1:9">
      <c r="A103" s="55"/>
      <c r="C103" s="130" t="s">
        <v>11</v>
      </c>
      <c r="D103" s="130"/>
      <c r="E103" s="130"/>
      <c r="F103" s="55"/>
      <c r="I103" s="52" t="s">
        <v>12</v>
      </c>
    </row>
    <row r="104" spans="1:9" ht="15.75">
      <c r="A104" s="4" t="s">
        <v>14</v>
      </c>
    </row>
    <row r="105" spans="1:9">
      <c r="A105" s="142" t="s">
        <v>15</v>
      </c>
      <c r="B105" s="142"/>
      <c r="C105" s="142"/>
      <c r="D105" s="142"/>
      <c r="E105" s="142"/>
      <c r="F105" s="142"/>
      <c r="G105" s="142"/>
      <c r="H105" s="142"/>
      <c r="I105" s="142"/>
    </row>
    <row r="106" spans="1:9" ht="45" customHeight="1">
      <c r="A106" s="138" t="s">
        <v>16</v>
      </c>
      <c r="B106" s="138"/>
      <c r="C106" s="138"/>
      <c r="D106" s="138"/>
      <c r="E106" s="138"/>
      <c r="F106" s="138"/>
      <c r="G106" s="138"/>
      <c r="H106" s="138"/>
      <c r="I106" s="138"/>
    </row>
    <row r="107" spans="1:9" ht="30" customHeight="1">
      <c r="A107" s="138" t="s">
        <v>17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30" customHeight="1">
      <c r="A108" s="138" t="s">
        <v>21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15" customHeight="1">
      <c r="A109" s="138" t="s">
        <v>20</v>
      </c>
      <c r="B109" s="138"/>
      <c r="C109" s="138"/>
      <c r="D109" s="138"/>
      <c r="E109" s="138"/>
      <c r="F109" s="138"/>
      <c r="G109" s="138"/>
      <c r="H109" s="138"/>
      <c r="I109" s="138"/>
    </row>
  </sheetData>
  <autoFilter ref="I12:I58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7:I27"/>
    <mergeCell ref="A44:I44"/>
    <mergeCell ref="A54:I54"/>
    <mergeCell ref="A89:I89"/>
    <mergeCell ref="B90:G90"/>
    <mergeCell ref="B91:G91"/>
    <mergeCell ref="A93:I93"/>
    <mergeCell ref="A94:I94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topLeftCell="A78" workbookViewId="0">
      <selection activeCell="B93" sqref="B93:G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150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179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43190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103</v>
      </c>
      <c r="C29" s="66" t="s">
        <v>133</v>
      </c>
      <c r="D29" s="65" t="s">
        <v>134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135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(F42/7.5*1.5)*G42</f>
        <v>212.2273764</v>
      </c>
      <c r="J42" s="23"/>
      <c r="L42" s="19"/>
      <c r="M42" s="20"/>
      <c r="N42" s="21"/>
    </row>
    <row r="43" spans="1:14" ht="15.75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(F43/7.5*1.5)*G43</f>
        <v>163.37880000000001</v>
      </c>
      <c r="J43" s="23"/>
      <c r="L43" s="19"/>
      <c r="M43" s="20"/>
      <c r="N43" s="21"/>
    </row>
    <row r="44" spans="1:14" ht="15.75" hidden="1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12</v>
      </c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f>F52/2*G52</f>
        <v>64.288200000000003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12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G56*1.837</f>
        <v>3232.9363000000003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13</v>
      </c>
      <c r="B59" s="76" t="s">
        <v>91</v>
      </c>
      <c r="C59" s="75" t="s">
        <v>25</v>
      </c>
      <c r="D59" s="105" t="s">
        <v>30</v>
      </c>
      <c r="E59" s="107">
        <v>100</v>
      </c>
      <c r="F59" s="108">
        <f>E59*12</f>
        <v>1200</v>
      </c>
      <c r="G59" s="10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G71*3.8</f>
        <v>2168.0519999999997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155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15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I16+I17+I18+I25+I26+I37+I38+I40+I41+I42+I43+I56+I59+I71+I79+I80</f>
        <v>45185.355965283336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31.5" customHeight="1">
      <c r="A83" s="29">
        <v>17</v>
      </c>
      <c r="B83" s="47" t="s">
        <v>79</v>
      </c>
      <c r="C83" s="64" t="s">
        <v>118</v>
      </c>
      <c r="D83" s="14"/>
      <c r="E83" s="18"/>
      <c r="F83" s="13">
        <v>1</v>
      </c>
      <c r="G83" s="13">
        <v>86.69</v>
      </c>
      <c r="H83" s="81">
        <f>G83*F83/1000</f>
        <v>8.6690000000000003E-2</v>
      </c>
      <c r="I83" s="13">
        <f>G83</f>
        <v>86.69</v>
      </c>
    </row>
    <row r="84" spans="1:9" ht="31.5" customHeight="1">
      <c r="A84" s="29">
        <v>18</v>
      </c>
      <c r="B84" s="47" t="s">
        <v>141</v>
      </c>
      <c r="C84" s="64" t="s">
        <v>37</v>
      </c>
      <c r="D84" s="35"/>
      <c r="E84" s="17"/>
      <c r="F84" s="34">
        <v>0.01</v>
      </c>
      <c r="G84" s="34">
        <v>3724.37</v>
      </c>
      <c r="H84" s="94">
        <f>G84*F84/1000</f>
        <v>3.7243699999999998E-2</v>
      </c>
      <c r="I84" s="88">
        <f>G84*0.01</f>
        <v>37.243699999999997</v>
      </c>
    </row>
    <row r="85" spans="1:9" ht="31.5" customHeight="1">
      <c r="A85" s="29">
        <v>19</v>
      </c>
      <c r="B85" s="47" t="s">
        <v>180</v>
      </c>
      <c r="C85" s="64" t="s">
        <v>81</v>
      </c>
      <c r="D85" s="35"/>
      <c r="E85" s="17"/>
      <c r="F85" s="34">
        <v>5</v>
      </c>
      <c r="G85" s="34">
        <v>1187</v>
      </c>
      <c r="H85" s="94">
        <f t="shared" ref="H85:H87" si="6">G85*F85/1000</f>
        <v>5.9349999999999996</v>
      </c>
      <c r="I85" s="88">
        <f>G85*5</f>
        <v>5935</v>
      </c>
    </row>
    <row r="86" spans="1:9" ht="31.5" customHeight="1">
      <c r="A86" s="29">
        <v>20</v>
      </c>
      <c r="B86" s="47" t="s">
        <v>89</v>
      </c>
      <c r="C86" s="64" t="s">
        <v>131</v>
      </c>
      <c r="D86" s="35"/>
      <c r="E86" s="17"/>
      <c r="F86" s="34">
        <v>1</v>
      </c>
      <c r="G86" s="34">
        <v>613.44000000000005</v>
      </c>
      <c r="H86" s="94">
        <f t="shared" si="6"/>
        <v>0.6134400000000001</v>
      </c>
      <c r="I86" s="88">
        <f>G86</f>
        <v>613.44000000000005</v>
      </c>
    </row>
    <row r="87" spans="1:9" ht="15.75" customHeight="1">
      <c r="A87" s="29">
        <v>21</v>
      </c>
      <c r="B87" s="47" t="s">
        <v>181</v>
      </c>
      <c r="C87" s="64" t="s">
        <v>131</v>
      </c>
      <c r="D87" s="35"/>
      <c r="E87" s="17"/>
      <c r="F87" s="34">
        <v>1</v>
      </c>
      <c r="G87" s="34">
        <v>784.36</v>
      </c>
      <c r="H87" s="94">
        <f t="shared" si="6"/>
        <v>0.78436000000000006</v>
      </c>
      <c r="I87" s="88">
        <f>G87</f>
        <v>784.36</v>
      </c>
    </row>
    <row r="88" spans="1:9" ht="15.75" customHeight="1">
      <c r="A88" s="29">
        <v>22</v>
      </c>
      <c r="B88" s="103" t="s">
        <v>82</v>
      </c>
      <c r="C88" s="117" t="s">
        <v>118</v>
      </c>
      <c r="D88" s="35"/>
      <c r="E88" s="17"/>
      <c r="F88" s="34"/>
      <c r="G88" s="118">
        <v>197.48</v>
      </c>
      <c r="H88" s="94"/>
      <c r="I88" s="88">
        <f>G88*1</f>
        <v>197.48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SUM(I83:I88)</f>
        <v>7654.2136999999993</v>
      </c>
    </row>
    <row r="90" spans="1:9" ht="15.75" customHeight="1">
      <c r="A90" s="29"/>
      <c r="B90" s="43" t="s">
        <v>78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165</v>
      </c>
      <c r="C91" s="33"/>
      <c r="D91" s="33"/>
      <c r="E91" s="33"/>
      <c r="F91" s="33"/>
      <c r="G91" s="33"/>
      <c r="H91" s="33"/>
      <c r="I91" s="40">
        <f>I81+I89</f>
        <v>52839.569665283336</v>
      </c>
    </row>
    <row r="92" spans="1:9" ht="15.75">
      <c r="A92" s="131" t="s">
        <v>221</v>
      </c>
      <c r="B92" s="131"/>
      <c r="C92" s="131"/>
      <c r="D92" s="131"/>
      <c r="E92" s="131"/>
      <c r="F92" s="131"/>
      <c r="G92" s="131"/>
      <c r="H92" s="131"/>
      <c r="I92" s="131"/>
    </row>
    <row r="93" spans="1:9" ht="15.75">
      <c r="A93" s="58"/>
      <c r="B93" s="143" t="s">
        <v>222</v>
      </c>
      <c r="C93" s="143"/>
      <c r="D93" s="143"/>
      <c r="E93" s="143"/>
      <c r="F93" s="143"/>
      <c r="G93" s="143"/>
      <c r="H93" s="63"/>
      <c r="I93" s="3"/>
    </row>
    <row r="94" spans="1:9">
      <c r="A94" s="55"/>
      <c r="B94" s="140" t="s">
        <v>6</v>
      </c>
      <c r="C94" s="140"/>
      <c r="D94" s="140"/>
      <c r="E94" s="140"/>
      <c r="F94" s="140"/>
      <c r="G94" s="140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4" t="s">
        <v>7</v>
      </c>
      <c r="B96" s="144"/>
      <c r="C96" s="144"/>
      <c r="D96" s="144"/>
      <c r="E96" s="144"/>
      <c r="F96" s="144"/>
      <c r="G96" s="144"/>
      <c r="H96" s="144"/>
      <c r="I96" s="144"/>
    </row>
    <row r="97" spans="1:9" ht="15.75">
      <c r="A97" s="144" t="s">
        <v>8</v>
      </c>
      <c r="B97" s="144"/>
      <c r="C97" s="144"/>
      <c r="D97" s="144"/>
      <c r="E97" s="144"/>
      <c r="F97" s="144"/>
      <c r="G97" s="144"/>
      <c r="H97" s="144"/>
      <c r="I97" s="144"/>
    </row>
    <row r="98" spans="1:9" ht="15.75">
      <c r="A98" s="127" t="s">
        <v>60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11"/>
    </row>
    <row r="100" spans="1:9" ht="15.75">
      <c r="A100" s="128" t="s">
        <v>9</v>
      </c>
      <c r="B100" s="128"/>
      <c r="C100" s="128"/>
      <c r="D100" s="128"/>
      <c r="E100" s="128"/>
      <c r="F100" s="128"/>
      <c r="G100" s="128"/>
      <c r="H100" s="128"/>
      <c r="I100" s="128"/>
    </row>
    <row r="101" spans="1:9" ht="15.75">
      <c r="A101" s="4"/>
    </row>
    <row r="102" spans="1:9" ht="15.75">
      <c r="B102" s="53" t="s">
        <v>10</v>
      </c>
      <c r="C102" s="145" t="s">
        <v>90</v>
      </c>
      <c r="D102" s="145"/>
      <c r="E102" s="145"/>
      <c r="F102" s="61"/>
      <c r="I102" s="54"/>
    </row>
    <row r="103" spans="1:9">
      <c r="A103" s="55"/>
      <c r="C103" s="140" t="s">
        <v>11</v>
      </c>
      <c r="D103" s="140"/>
      <c r="E103" s="140"/>
      <c r="F103" s="24"/>
      <c r="I103" s="52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3" t="s">
        <v>13</v>
      </c>
      <c r="C105" s="141"/>
      <c r="D105" s="141"/>
      <c r="E105" s="141"/>
      <c r="F105" s="62"/>
      <c r="I105" s="54"/>
    </row>
    <row r="106" spans="1:9">
      <c r="A106" s="55"/>
      <c r="C106" s="130" t="s">
        <v>11</v>
      </c>
      <c r="D106" s="130"/>
      <c r="E106" s="130"/>
      <c r="F106" s="55"/>
      <c r="I106" s="52" t="s">
        <v>12</v>
      </c>
    </row>
    <row r="107" spans="1:9" ht="15.75">
      <c r="A107" s="4" t="s">
        <v>14</v>
      </c>
    </row>
    <row r="108" spans="1:9">
      <c r="A108" s="142" t="s">
        <v>15</v>
      </c>
      <c r="B108" s="142"/>
      <c r="C108" s="142"/>
      <c r="D108" s="142"/>
      <c r="E108" s="142"/>
      <c r="F108" s="142"/>
      <c r="G108" s="142"/>
      <c r="H108" s="142"/>
      <c r="I108" s="142"/>
    </row>
    <row r="109" spans="1:9" ht="45" customHeight="1">
      <c r="A109" s="138" t="s">
        <v>16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30" customHeight="1">
      <c r="A110" s="138" t="s">
        <v>17</v>
      </c>
      <c r="B110" s="138"/>
      <c r="C110" s="138"/>
      <c r="D110" s="138"/>
      <c r="E110" s="138"/>
      <c r="F110" s="138"/>
      <c r="G110" s="138"/>
      <c r="H110" s="138"/>
      <c r="I110" s="138"/>
    </row>
    <row r="111" spans="1:9" ht="30" customHeight="1">
      <c r="A111" s="138" t="s">
        <v>21</v>
      </c>
      <c r="B111" s="138"/>
      <c r="C111" s="138"/>
      <c r="D111" s="138"/>
      <c r="E111" s="138"/>
      <c r="F111" s="138"/>
      <c r="G111" s="138"/>
      <c r="H111" s="138"/>
      <c r="I111" s="138"/>
    </row>
    <row r="112" spans="1:9" ht="15" customHeight="1">
      <c r="A112" s="138" t="s">
        <v>20</v>
      </c>
      <c r="B112" s="138"/>
      <c r="C112" s="138"/>
      <c r="D112" s="138"/>
      <c r="E112" s="138"/>
      <c r="F112" s="138"/>
      <c r="G112" s="138"/>
      <c r="H112" s="138"/>
      <c r="I112" s="138"/>
    </row>
  </sheetData>
  <autoFilter ref="I12:I58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4:I44"/>
    <mergeCell ref="A54:I54"/>
    <mergeCell ref="A92:I92"/>
    <mergeCell ref="B93:G93"/>
    <mergeCell ref="B94:G94"/>
    <mergeCell ref="A96:I96"/>
    <mergeCell ref="A97:I97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69" workbookViewId="0">
      <selection activeCell="J92" sqref="J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151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182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43220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103</v>
      </c>
      <c r="C29" s="66" t="s">
        <v>133</v>
      </c>
      <c r="D29" s="65" t="s">
        <v>134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147</v>
      </c>
      <c r="C30" s="66" t="s">
        <v>104</v>
      </c>
      <c r="D30" s="65" t="s">
        <v>135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F42/7.5*1.5*G42</f>
        <v>212.2273764</v>
      </c>
      <c r="J42" s="23"/>
      <c r="L42" s="19"/>
      <c r="M42" s="20"/>
      <c r="N42" s="21"/>
    </row>
    <row r="43" spans="1:14" ht="15.75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F43/7.5*1.5*G43</f>
        <v>163.37880000000001</v>
      </c>
      <c r="J43" s="23"/>
      <c r="L43" s="19"/>
      <c r="M43" s="20"/>
      <c r="N43" s="21"/>
    </row>
    <row r="44" spans="1:14" ht="21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27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30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35.2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32.2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6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6.75" customHeight="1">
      <c r="A50" s="29">
        <v>12</v>
      </c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f>F50/2*G50</f>
        <v>847.92443299999991</v>
      </c>
      <c r="J50" s="23"/>
      <c r="L50" s="19"/>
      <c r="M50" s="20"/>
      <c r="N50" s="21"/>
    </row>
    <row r="51" spans="1:22" ht="33.75" customHeight="1">
      <c r="A51" s="29">
        <v>13</v>
      </c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f>F51/2*G51</f>
        <v>703.91200000000003</v>
      </c>
      <c r="J51" s="23"/>
      <c r="L51" s="19"/>
      <c r="M51" s="20"/>
      <c r="N51" s="21"/>
    </row>
    <row r="52" spans="1:22" ht="19.5" customHeight="1">
      <c r="A52" s="29">
        <v>14</v>
      </c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f>G52*0.01</f>
        <v>64.288200000000003</v>
      </c>
      <c r="J52" s="23"/>
      <c r="L52" s="19"/>
      <c r="M52" s="20"/>
      <c r="N52" s="21"/>
    </row>
    <row r="53" spans="1:22" ht="19.5" hidden="1" customHeight="1">
      <c r="A53" s="29">
        <v>14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customHeight="1">
      <c r="A56" s="29">
        <v>15</v>
      </c>
      <c r="B56" s="65" t="s">
        <v>119</v>
      </c>
      <c r="C56" s="66" t="s">
        <v>94</v>
      </c>
      <c r="D56" s="115" t="s">
        <v>184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G56*1.35</f>
        <v>2375.8650000000002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16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17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G71*3.5</f>
        <v>1996.8899999999999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18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19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I80+I79+I71+I59+I56+I52+I51+I50+I43+I42+I41+I40+I38+I37+I26+I25+I18+I17+I16</f>
        <v>45773.247298283335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31.5" hidden="1" customHeight="1">
      <c r="A83" s="29">
        <v>19</v>
      </c>
      <c r="B83" s="47" t="s">
        <v>168</v>
      </c>
      <c r="C83" s="64" t="s">
        <v>169</v>
      </c>
      <c r="D83" s="14"/>
      <c r="E83" s="18"/>
      <c r="F83" s="13">
        <f>274/10</f>
        <v>27.4</v>
      </c>
      <c r="G83" s="34">
        <v>7709.44</v>
      </c>
      <c r="H83" s="81">
        <f t="shared" ref="H83:H89" si="6">G83*F83/1000</f>
        <v>211.23865599999999</v>
      </c>
      <c r="I83" s="88">
        <f>G83*0.01</f>
        <v>77.094399999999993</v>
      </c>
    </row>
    <row r="84" spans="1:9" ht="15.75" customHeight="1">
      <c r="A84" s="29">
        <v>20</v>
      </c>
      <c r="B84" s="103" t="s">
        <v>183</v>
      </c>
      <c r="C84" s="49" t="s">
        <v>171</v>
      </c>
      <c r="D84" s="35"/>
      <c r="E84" s="17"/>
      <c r="F84" s="34">
        <v>3</v>
      </c>
      <c r="G84" s="34">
        <v>14.2</v>
      </c>
      <c r="H84" s="94">
        <f t="shared" si="6"/>
        <v>4.2599999999999992E-2</v>
      </c>
      <c r="I84" s="88">
        <f>G84*10</f>
        <v>142</v>
      </c>
    </row>
    <row r="85" spans="1:9" ht="21" customHeight="1">
      <c r="A85" s="29">
        <v>21</v>
      </c>
      <c r="B85" s="103" t="s">
        <v>178</v>
      </c>
      <c r="C85" s="49" t="s">
        <v>142</v>
      </c>
      <c r="D85" s="43"/>
      <c r="E85" s="13"/>
      <c r="F85" s="13">
        <v>4</v>
      </c>
      <c r="G85" s="34">
        <v>134.12</v>
      </c>
      <c r="H85" s="81">
        <f t="shared" si="6"/>
        <v>0.53648000000000007</v>
      </c>
      <c r="I85" s="88">
        <f>G85*12</f>
        <v>1609.44</v>
      </c>
    </row>
    <row r="86" spans="1:9" ht="16.5" customHeight="1">
      <c r="A86" s="29">
        <v>22</v>
      </c>
      <c r="B86" s="116" t="s">
        <v>185</v>
      </c>
      <c r="C86" s="117" t="s">
        <v>186</v>
      </c>
      <c r="D86" s="43"/>
      <c r="E86" s="13"/>
      <c r="F86" s="13">
        <v>2</v>
      </c>
      <c r="G86" s="34">
        <v>208</v>
      </c>
      <c r="H86" s="81">
        <f t="shared" si="6"/>
        <v>0.41599999999999998</v>
      </c>
      <c r="I86" s="88">
        <f>G86*1</f>
        <v>208</v>
      </c>
    </row>
    <row r="87" spans="1:9" ht="31.5" customHeight="1">
      <c r="A87" s="29">
        <v>23</v>
      </c>
      <c r="B87" s="113" t="s">
        <v>166</v>
      </c>
      <c r="C87" s="114" t="s">
        <v>167</v>
      </c>
      <c r="D87" s="43"/>
      <c r="E87" s="13"/>
      <c r="F87" s="13">
        <v>1</v>
      </c>
      <c r="G87" s="34">
        <v>326.66000000000003</v>
      </c>
      <c r="H87" s="81">
        <f t="shared" si="6"/>
        <v>0.32666000000000001</v>
      </c>
      <c r="I87" s="88">
        <f>G87*0.4</f>
        <v>130.66400000000002</v>
      </c>
    </row>
    <row r="88" spans="1:9" ht="30.75" customHeight="1">
      <c r="A88" s="29">
        <v>24</v>
      </c>
      <c r="B88" s="47" t="s">
        <v>141</v>
      </c>
      <c r="C88" s="64" t="s">
        <v>37</v>
      </c>
      <c r="D88" s="43"/>
      <c r="E88" s="13"/>
      <c r="F88" s="13">
        <v>0.06</v>
      </c>
      <c r="G88" s="34">
        <v>3724.37</v>
      </c>
      <c r="H88" s="81">
        <f t="shared" si="6"/>
        <v>0.2234622</v>
      </c>
      <c r="I88" s="88">
        <f>G88*0.02</f>
        <v>74.487399999999994</v>
      </c>
    </row>
    <row r="89" spans="1:9" ht="15.75" customHeight="1">
      <c r="A89" s="29">
        <v>25</v>
      </c>
      <c r="B89" s="103" t="s">
        <v>82</v>
      </c>
      <c r="C89" s="49" t="s">
        <v>118</v>
      </c>
      <c r="D89" s="48"/>
      <c r="E89" s="34"/>
      <c r="F89" s="34">
        <v>1</v>
      </c>
      <c r="G89" s="34">
        <v>197.48</v>
      </c>
      <c r="H89" s="94">
        <f t="shared" si="6"/>
        <v>0.19747999999999999</v>
      </c>
      <c r="I89" s="88">
        <f>G89*2</f>
        <v>394.96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I89+I88+I87+I86+I85+I84</f>
        <v>2559.5514000000003</v>
      </c>
    </row>
    <row r="91" spans="1:9" ht="15.75" customHeight="1">
      <c r="A91" s="29"/>
      <c r="B91" s="43" t="s">
        <v>78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165</v>
      </c>
      <c r="C92" s="33"/>
      <c r="D92" s="33"/>
      <c r="E92" s="33"/>
      <c r="F92" s="33"/>
      <c r="G92" s="33"/>
      <c r="H92" s="33"/>
      <c r="I92" s="40">
        <f>I81+I90</f>
        <v>48332.798698283339</v>
      </c>
    </row>
    <row r="93" spans="1:9" ht="15.75">
      <c r="A93" s="131" t="s">
        <v>187</v>
      </c>
      <c r="B93" s="131"/>
      <c r="C93" s="131"/>
      <c r="D93" s="131"/>
      <c r="E93" s="131"/>
      <c r="F93" s="131"/>
      <c r="G93" s="131"/>
      <c r="H93" s="131"/>
      <c r="I93" s="131"/>
    </row>
    <row r="94" spans="1:9" ht="15.75">
      <c r="A94" s="58"/>
      <c r="B94" s="143" t="s">
        <v>188</v>
      </c>
      <c r="C94" s="143"/>
      <c r="D94" s="143"/>
      <c r="E94" s="143"/>
      <c r="F94" s="143"/>
      <c r="G94" s="143"/>
      <c r="H94" s="63"/>
      <c r="I94" s="3"/>
    </row>
    <row r="95" spans="1:9">
      <c r="A95" s="55"/>
      <c r="B95" s="140" t="s">
        <v>6</v>
      </c>
      <c r="C95" s="140"/>
      <c r="D95" s="140"/>
      <c r="E95" s="140"/>
      <c r="F95" s="140"/>
      <c r="G95" s="140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4" t="s">
        <v>7</v>
      </c>
      <c r="B97" s="144"/>
      <c r="C97" s="144"/>
      <c r="D97" s="144"/>
      <c r="E97" s="144"/>
      <c r="F97" s="144"/>
      <c r="G97" s="144"/>
      <c r="H97" s="144"/>
      <c r="I97" s="144"/>
    </row>
    <row r="98" spans="1:9" ht="15.75">
      <c r="A98" s="144" t="s">
        <v>8</v>
      </c>
      <c r="B98" s="144"/>
      <c r="C98" s="144"/>
      <c r="D98" s="144"/>
      <c r="E98" s="144"/>
      <c r="F98" s="144"/>
      <c r="G98" s="144"/>
      <c r="H98" s="144"/>
      <c r="I98" s="144"/>
    </row>
    <row r="99" spans="1:9" ht="15.75">
      <c r="A99" s="127" t="s">
        <v>60</v>
      </c>
      <c r="B99" s="127"/>
      <c r="C99" s="127"/>
      <c r="D99" s="127"/>
      <c r="E99" s="127"/>
      <c r="F99" s="127"/>
      <c r="G99" s="127"/>
      <c r="H99" s="127"/>
      <c r="I99" s="127"/>
    </row>
    <row r="100" spans="1:9" ht="15.75">
      <c r="A100" s="11"/>
    </row>
    <row r="101" spans="1:9" ht="15.75">
      <c r="A101" s="128" t="s">
        <v>9</v>
      </c>
      <c r="B101" s="128"/>
      <c r="C101" s="128"/>
      <c r="D101" s="128"/>
      <c r="E101" s="128"/>
      <c r="F101" s="128"/>
      <c r="G101" s="128"/>
      <c r="H101" s="128"/>
      <c r="I101" s="128"/>
    </row>
    <row r="102" spans="1:9" ht="15.75">
      <c r="A102" s="4"/>
    </row>
    <row r="103" spans="1:9" ht="15.75">
      <c r="B103" s="53" t="s">
        <v>10</v>
      </c>
      <c r="C103" s="139" t="s">
        <v>90</v>
      </c>
      <c r="D103" s="139"/>
      <c r="E103" s="139"/>
      <c r="F103" s="61"/>
      <c r="I103" s="54"/>
    </row>
    <row r="104" spans="1:9">
      <c r="A104" s="55"/>
      <c r="C104" s="140" t="s">
        <v>11</v>
      </c>
      <c r="D104" s="140"/>
      <c r="E104" s="140"/>
      <c r="F104" s="24"/>
      <c r="I104" s="52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3" t="s">
        <v>13</v>
      </c>
      <c r="C106" s="141"/>
      <c r="D106" s="141"/>
      <c r="E106" s="141"/>
      <c r="F106" s="62"/>
      <c r="I106" s="54"/>
    </row>
    <row r="107" spans="1:9">
      <c r="A107" s="55"/>
      <c r="C107" s="130" t="s">
        <v>11</v>
      </c>
      <c r="D107" s="130"/>
      <c r="E107" s="130"/>
      <c r="F107" s="55"/>
      <c r="I107" s="52" t="s">
        <v>12</v>
      </c>
    </row>
    <row r="108" spans="1:9" ht="15.75">
      <c r="A108" s="4" t="s">
        <v>14</v>
      </c>
    </row>
    <row r="109" spans="1:9">
      <c r="A109" s="142" t="s">
        <v>15</v>
      </c>
      <c r="B109" s="142"/>
      <c r="C109" s="142"/>
      <c r="D109" s="142"/>
      <c r="E109" s="142"/>
      <c r="F109" s="142"/>
      <c r="G109" s="142"/>
      <c r="H109" s="142"/>
      <c r="I109" s="142"/>
    </row>
    <row r="110" spans="1:9" ht="45" customHeight="1">
      <c r="A110" s="138" t="s">
        <v>16</v>
      </c>
      <c r="B110" s="138"/>
      <c r="C110" s="138"/>
      <c r="D110" s="138"/>
      <c r="E110" s="138"/>
      <c r="F110" s="138"/>
      <c r="G110" s="138"/>
      <c r="H110" s="138"/>
      <c r="I110" s="138"/>
    </row>
    <row r="111" spans="1:9" ht="30" customHeight="1">
      <c r="A111" s="138" t="s">
        <v>17</v>
      </c>
      <c r="B111" s="138"/>
      <c r="C111" s="138"/>
      <c r="D111" s="138"/>
      <c r="E111" s="138"/>
      <c r="F111" s="138"/>
      <c r="G111" s="138"/>
      <c r="H111" s="138"/>
      <c r="I111" s="138"/>
    </row>
    <row r="112" spans="1:9" ht="30" customHeight="1">
      <c r="A112" s="138" t="s">
        <v>21</v>
      </c>
      <c r="B112" s="138"/>
      <c r="C112" s="138"/>
      <c r="D112" s="138"/>
      <c r="E112" s="138"/>
      <c r="F112" s="138"/>
      <c r="G112" s="138"/>
      <c r="H112" s="138"/>
      <c r="I112" s="138"/>
    </row>
    <row r="113" spans="1:9" ht="15" customHeight="1">
      <c r="A113" s="138" t="s">
        <v>20</v>
      </c>
      <c r="B113" s="138"/>
      <c r="C113" s="138"/>
      <c r="D113" s="138"/>
      <c r="E113" s="138"/>
      <c r="F113" s="138"/>
      <c r="G113" s="138"/>
      <c r="H113" s="138"/>
      <c r="I113" s="138"/>
    </row>
  </sheetData>
  <autoFilter ref="I12:I58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8"/>
  <sheetViews>
    <sheetView topLeftCell="A64" workbookViewId="0">
      <selection activeCell="I6" sqref="I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152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192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43251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f>F19*G19</f>
        <v>278.71199999999999</v>
      </c>
      <c r="J19" s="22"/>
      <c r="K19" s="8"/>
      <c r="L19" s="8"/>
      <c r="M19" s="8"/>
    </row>
    <row r="20" spans="1:13" ht="15.75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f t="shared" ref="I21" si="1">F21/2*G21</f>
        <v>24.777647999999999</v>
      </c>
      <c r="J21" s="22"/>
      <c r="K21" s="8"/>
      <c r="L21" s="8"/>
      <c r="M21" s="8"/>
    </row>
    <row r="22" spans="1:13" ht="15.75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f>F22*G22</f>
        <v>650.03684999999996</v>
      </c>
      <c r="J22" s="22"/>
      <c r="K22" s="8"/>
      <c r="L22" s="8"/>
      <c r="M22" s="8"/>
    </row>
    <row r="23" spans="1:13" ht="15.75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f t="shared" ref="I23:I24" si="2">F23*G23</f>
        <v>23.47242</v>
      </c>
      <c r="J23" s="22"/>
      <c r="K23" s="8"/>
      <c r="L23" s="8"/>
      <c r="M23" s="8"/>
    </row>
    <row r="24" spans="1:13" ht="15.75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f t="shared" si="2"/>
        <v>11.8474</v>
      </c>
      <c r="J24" s="22"/>
      <c r="K24" s="8"/>
      <c r="L24" s="8"/>
      <c r="M24" s="8"/>
    </row>
    <row r="25" spans="1:13" ht="15.75" customHeight="1">
      <c r="A25" s="29">
        <v>10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11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12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3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13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3"/>
        <v>6.1742594862000004</v>
      </c>
      <c r="I30" s="13">
        <f t="shared" ref="I30:I32" si="4">F30/6*G30</f>
        <v>1029.0432476999999</v>
      </c>
      <c r="J30" s="22"/>
      <c r="K30" s="8"/>
      <c r="L30" s="8"/>
      <c r="M30" s="8"/>
    </row>
    <row r="31" spans="1:13" ht="15.75" customHeight="1">
      <c r="A31" s="29">
        <v>14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3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15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4"/>
        <v>765.15233333333344</v>
      </c>
      <c r="J32" s="22"/>
      <c r="K32" s="8"/>
      <c r="L32" s="8"/>
      <c r="M32" s="8"/>
    </row>
    <row r="33" spans="1:14" ht="15.75" customHeight="1">
      <c r="A33" s="29">
        <v>16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3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3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5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5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5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5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5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customHeight="1">
      <c r="A45" s="29">
        <v>17</v>
      </c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6">SUM(F45*G45/1000)</f>
        <v>1.345267856</v>
      </c>
      <c r="I45" s="13">
        <f t="shared" ref="I45:I47" si="7">F45/2*G45</f>
        <v>672.63392799999997</v>
      </c>
      <c r="J45" s="23"/>
      <c r="L45" s="19"/>
      <c r="M45" s="20"/>
      <c r="N45" s="21"/>
    </row>
    <row r="46" spans="1:14" ht="15.75" customHeight="1">
      <c r="A46" s="29">
        <v>18</v>
      </c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6"/>
        <v>0.46755279999999999</v>
      </c>
      <c r="I46" s="13">
        <f t="shared" si="7"/>
        <v>233.7764</v>
      </c>
      <c r="J46" s="23"/>
      <c r="L46" s="19"/>
      <c r="M46" s="20"/>
      <c r="N46" s="21"/>
    </row>
    <row r="47" spans="1:14" ht="15.75" customHeight="1">
      <c r="A47" s="29">
        <v>19</v>
      </c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6"/>
        <v>9.8097870272000005</v>
      </c>
      <c r="I47" s="13">
        <f t="shared" si="7"/>
        <v>4904.8935136</v>
      </c>
      <c r="J47" s="23"/>
      <c r="L47" s="19"/>
      <c r="M47" s="20"/>
      <c r="N47" s="21"/>
    </row>
    <row r="48" spans="1:14" ht="15.75" customHeight="1">
      <c r="A48" s="29">
        <v>20</v>
      </c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6"/>
        <v>3.6199898183999997</v>
      </c>
      <c r="I48" s="13">
        <f>F48/2*G48</f>
        <v>1809.9949091999999</v>
      </c>
      <c r="J48" s="23"/>
      <c r="L48" s="19"/>
      <c r="M48" s="20"/>
      <c r="N48" s="21"/>
    </row>
    <row r="49" spans="1:22" ht="15.75" customHeight="1">
      <c r="A49" s="29">
        <v>21</v>
      </c>
      <c r="B49" s="65" t="s">
        <v>55</v>
      </c>
      <c r="C49" s="66" t="s">
        <v>104</v>
      </c>
      <c r="D49" s="65" t="s">
        <v>164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6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6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6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6"/>
        <v>0.12857640000000001</v>
      </c>
      <c r="I52" s="13">
        <v>0</v>
      </c>
      <c r="J52" s="23"/>
      <c r="L52" s="19"/>
      <c r="M52" s="20"/>
      <c r="N52" s="21"/>
    </row>
    <row r="53" spans="1:22" ht="15.75" customHeight="1">
      <c r="A53" s="29">
        <v>22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6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hidden="1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23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8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8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customHeight="1">
      <c r="A63" s="29">
        <v>24</v>
      </c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8"/>
        <v>20.9746652</v>
      </c>
      <c r="I63" s="13">
        <f>F63*G63</f>
        <v>20974.665199999999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customHeight="1">
      <c r="A64" s="29">
        <v>25</v>
      </c>
      <c r="B64" s="14" t="s">
        <v>48</v>
      </c>
      <c r="C64" s="16" t="s">
        <v>122</v>
      </c>
      <c r="D64" s="14" t="s">
        <v>52</v>
      </c>
      <c r="E64" s="67">
        <v>8692</v>
      </c>
      <c r="F64" s="13">
        <f>SUM(E64/1000)</f>
        <v>8.6920000000000002</v>
      </c>
      <c r="G64" s="13">
        <v>187.91</v>
      </c>
      <c r="H64" s="81">
        <f t="shared" si="8"/>
        <v>1.6333137200000001</v>
      </c>
      <c r="I64" s="13">
        <f t="shared" ref="I64:I67" si="9">F64*G64</f>
        <v>1633.3137200000001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customHeight="1">
      <c r="A65" s="29">
        <v>26</v>
      </c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8"/>
        <v>20.175605999999998</v>
      </c>
      <c r="I65" s="13">
        <f t="shared" si="9"/>
        <v>20175.606</v>
      </c>
    </row>
    <row r="66" spans="1:9" ht="15.75" customHeight="1">
      <c r="A66" s="29">
        <v>27</v>
      </c>
      <c r="B66" s="82" t="s">
        <v>123</v>
      </c>
      <c r="C66" s="16" t="s">
        <v>33</v>
      </c>
      <c r="D66" s="14" t="s">
        <v>52</v>
      </c>
      <c r="E66" s="67">
        <v>8.6</v>
      </c>
      <c r="F66" s="13">
        <f>SUM(E66)</f>
        <v>8.6</v>
      </c>
      <c r="G66" s="13">
        <v>42.67</v>
      </c>
      <c r="H66" s="81">
        <f t="shared" si="8"/>
        <v>0.36696200000000001</v>
      </c>
      <c r="I66" s="13">
        <f t="shared" si="9"/>
        <v>366.96199999999999</v>
      </c>
    </row>
    <row r="67" spans="1:9" ht="15.75" customHeight="1">
      <c r="A67" s="29">
        <v>28</v>
      </c>
      <c r="B67" s="82" t="s">
        <v>124</v>
      </c>
      <c r="C67" s="16" t="s">
        <v>33</v>
      </c>
      <c r="D67" s="14" t="s">
        <v>52</v>
      </c>
      <c r="E67" s="67">
        <v>8.6</v>
      </c>
      <c r="F67" s="13">
        <f>SUM(E67)</f>
        <v>8.6</v>
      </c>
      <c r="G67" s="13">
        <v>39.81</v>
      </c>
      <c r="H67" s="81">
        <f t="shared" si="8"/>
        <v>0.342366</v>
      </c>
      <c r="I67" s="13">
        <f t="shared" si="9"/>
        <v>342.36599999999999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8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8"/>
        <v>0.45427999999999996</v>
      </c>
      <c r="I70" s="13">
        <v>0</v>
      </c>
    </row>
    <row r="71" spans="1:9" ht="15.75" customHeight="1">
      <c r="A71" s="29">
        <v>29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8"/>
        <v>1.1410799999999999</v>
      </c>
      <c r="I71" s="13">
        <f>G71*4.3</f>
        <v>2453.3219999999997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8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30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31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I80+I79+I71+I67+I66+I65+I64+I63+I59+I53+I49+I48+I47+I46+I45+I33+I32+I31+I30+I29+I26+I25+I24+I23+I22+I21+I20+I19+I18+I17+I16</f>
        <v>119098.86228594444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41.25" customHeight="1">
      <c r="A83" s="29">
        <v>32</v>
      </c>
      <c r="B83" s="113" t="s">
        <v>166</v>
      </c>
      <c r="C83" s="114" t="s">
        <v>167</v>
      </c>
      <c r="D83" s="43" t="s">
        <v>189</v>
      </c>
      <c r="E83" s="13"/>
      <c r="F83" s="13">
        <f>(3*8+15+3+20+3+3)/3</f>
        <v>22.666666666666668</v>
      </c>
      <c r="G83" s="34">
        <v>326.66000000000003</v>
      </c>
      <c r="H83" s="81">
        <f>G83*F83/1000</f>
        <v>7.4042933333333343</v>
      </c>
      <c r="I83" s="88">
        <f>G83*0.4</f>
        <v>130.66400000000002</v>
      </c>
    </row>
    <row r="84" spans="1:9" ht="31.5" customHeight="1">
      <c r="A84" s="29">
        <v>33</v>
      </c>
      <c r="B84" s="47" t="s">
        <v>141</v>
      </c>
      <c r="C84" s="64" t="s">
        <v>37</v>
      </c>
      <c r="D84" s="43"/>
      <c r="E84" s="13"/>
      <c r="F84" s="13">
        <v>2</v>
      </c>
      <c r="G84" s="34">
        <v>3724.37</v>
      </c>
      <c r="H84" s="81">
        <f t="shared" ref="H84" si="10">G84*F84/1000</f>
        <v>7.4487399999999999</v>
      </c>
      <c r="I84" s="88">
        <f>G84*0.02</f>
        <v>74.487399999999994</v>
      </c>
    </row>
    <row r="85" spans="1:9" ht="15.75" customHeight="1">
      <c r="A85" s="29"/>
      <c r="B85" s="41" t="s">
        <v>50</v>
      </c>
      <c r="C85" s="37"/>
      <c r="D85" s="45"/>
      <c r="E85" s="37">
        <v>1</v>
      </c>
      <c r="F85" s="37"/>
      <c r="G85" s="37"/>
      <c r="H85" s="37"/>
      <c r="I85" s="32">
        <f>I84+I83</f>
        <v>205.15140000000002</v>
      </c>
    </row>
    <row r="86" spans="1:9" ht="15.75" customHeight="1">
      <c r="A86" s="29"/>
      <c r="B86" s="43" t="s">
        <v>78</v>
      </c>
      <c r="C86" s="15"/>
      <c r="D86" s="15"/>
      <c r="E86" s="38"/>
      <c r="F86" s="38"/>
      <c r="G86" s="39"/>
      <c r="H86" s="39"/>
      <c r="I86" s="17">
        <v>0</v>
      </c>
    </row>
    <row r="87" spans="1:9" ht="15.75" customHeight="1">
      <c r="A87" s="46"/>
      <c r="B87" s="42" t="s">
        <v>165</v>
      </c>
      <c r="C87" s="33"/>
      <c r="D87" s="33"/>
      <c r="E87" s="33"/>
      <c r="F87" s="33"/>
      <c r="G87" s="33"/>
      <c r="H87" s="33"/>
      <c r="I87" s="40">
        <f>I81+I85</f>
        <v>119304.01368594445</v>
      </c>
    </row>
    <row r="88" spans="1:9" ht="15.75">
      <c r="A88" s="131" t="s">
        <v>190</v>
      </c>
      <c r="B88" s="131"/>
      <c r="C88" s="131"/>
      <c r="D88" s="131"/>
      <c r="E88" s="131"/>
      <c r="F88" s="131"/>
      <c r="G88" s="131"/>
      <c r="H88" s="131"/>
      <c r="I88" s="131"/>
    </row>
    <row r="89" spans="1:9" ht="15.75">
      <c r="A89" s="58"/>
      <c r="B89" s="143" t="s">
        <v>191</v>
      </c>
      <c r="C89" s="143"/>
      <c r="D89" s="143"/>
      <c r="E89" s="143"/>
      <c r="F89" s="143"/>
      <c r="G89" s="143"/>
      <c r="H89" s="63"/>
      <c r="I89" s="3"/>
    </row>
    <row r="90" spans="1:9">
      <c r="A90" s="55"/>
      <c r="B90" s="140" t="s">
        <v>6</v>
      </c>
      <c r="C90" s="140"/>
      <c r="D90" s="140"/>
      <c r="E90" s="140"/>
      <c r="F90" s="140"/>
      <c r="G90" s="140"/>
      <c r="H90" s="24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44" t="s">
        <v>7</v>
      </c>
      <c r="B92" s="144"/>
      <c r="C92" s="144"/>
      <c r="D92" s="144"/>
      <c r="E92" s="144"/>
      <c r="F92" s="144"/>
      <c r="G92" s="144"/>
      <c r="H92" s="144"/>
      <c r="I92" s="144"/>
    </row>
    <row r="93" spans="1:9" ht="15.75">
      <c r="A93" s="144" t="s">
        <v>8</v>
      </c>
      <c r="B93" s="144"/>
      <c r="C93" s="144"/>
      <c r="D93" s="144"/>
      <c r="E93" s="144"/>
      <c r="F93" s="144"/>
      <c r="G93" s="144"/>
      <c r="H93" s="144"/>
      <c r="I93" s="144"/>
    </row>
    <row r="94" spans="1:9" ht="15.75">
      <c r="A94" s="127" t="s">
        <v>60</v>
      </c>
      <c r="B94" s="127"/>
      <c r="C94" s="127"/>
      <c r="D94" s="127"/>
      <c r="E94" s="127"/>
      <c r="F94" s="127"/>
      <c r="G94" s="127"/>
      <c r="H94" s="127"/>
      <c r="I94" s="127"/>
    </row>
    <row r="95" spans="1:9" ht="15.75">
      <c r="A95" s="11"/>
    </row>
    <row r="96" spans="1:9" ht="15.75">
      <c r="A96" s="128" t="s">
        <v>9</v>
      </c>
      <c r="B96" s="128"/>
      <c r="C96" s="128"/>
      <c r="D96" s="128"/>
      <c r="E96" s="128"/>
      <c r="F96" s="128"/>
      <c r="G96" s="128"/>
      <c r="H96" s="128"/>
      <c r="I96" s="128"/>
    </row>
    <row r="97" spans="1:9" ht="15.75">
      <c r="A97" s="4"/>
    </row>
    <row r="98" spans="1:9" ht="15.75">
      <c r="B98" s="53" t="s">
        <v>10</v>
      </c>
      <c r="C98" s="139" t="s">
        <v>90</v>
      </c>
      <c r="D98" s="139"/>
      <c r="E98" s="139"/>
      <c r="F98" s="61"/>
      <c r="I98" s="54"/>
    </row>
    <row r="99" spans="1:9">
      <c r="A99" s="55"/>
      <c r="C99" s="140" t="s">
        <v>11</v>
      </c>
      <c r="D99" s="140"/>
      <c r="E99" s="140"/>
      <c r="F99" s="24"/>
      <c r="I99" s="52" t="s">
        <v>12</v>
      </c>
    </row>
    <row r="100" spans="1:9" ht="15.75">
      <c r="A100" s="25"/>
      <c r="C100" s="12"/>
      <c r="D100" s="12"/>
      <c r="G100" s="12"/>
      <c r="H100" s="12"/>
    </row>
    <row r="101" spans="1:9" ht="15.75">
      <c r="B101" s="53" t="s">
        <v>13</v>
      </c>
      <c r="C101" s="141"/>
      <c r="D101" s="141"/>
      <c r="E101" s="141"/>
      <c r="F101" s="62"/>
      <c r="I101" s="54"/>
    </row>
    <row r="102" spans="1:9">
      <c r="A102" s="55"/>
      <c r="C102" s="130" t="s">
        <v>11</v>
      </c>
      <c r="D102" s="130"/>
      <c r="E102" s="130"/>
      <c r="F102" s="55"/>
      <c r="I102" s="52" t="s">
        <v>12</v>
      </c>
    </row>
    <row r="103" spans="1:9" ht="15.75">
      <c r="A103" s="4" t="s">
        <v>14</v>
      </c>
    </row>
    <row r="104" spans="1:9">
      <c r="A104" s="142" t="s">
        <v>15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45" customHeight="1">
      <c r="A105" s="138" t="s">
        <v>16</v>
      </c>
      <c r="B105" s="138"/>
      <c r="C105" s="138"/>
      <c r="D105" s="138"/>
      <c r="E105" s="138"/>
      <c r="F105" s="138"/>
      <c r="G105" s="138"/>
      <c r="H105" s="138"/>
      <c r="I105" s="138"/>
    </row>
    <row r="106" spans="1:9" ht="30" customHeight="1">
      <c r="A106" s="138" t="s">
        <v>17</v>
      </c>
      <c r="B106" s="138"/>
      <c r="C106" s="138"/>
      <c r="D106" s="138"/>
      <c r="E106" s="138"/>
      <c r="F106" s="138"/>
      <c r="G106" s="138"/>
      <c r="H106" s="138"/>
      <c r="I106" s="138"/>
    </row>
    <row r="107" spans="1:9" ht="30" customHeight="1">
      <c r="A107" s="138" t="s">
        <v>21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15" customHeight="1">
      <c r="A108" s="138" t="s">
        <v>20</v>
      </c>
      <c r="B108" s="138"/>
      <c r="C108" s="138"/>
      <c r="D108" s="138"/>
      <c r="E108" s="138"/>
      <c r="F108" s="138"/>
      <c r="G108" s="138"/>
      <c r="H108" s="138"/>
      <c r="I108" s="138"/>
    </row>
  </sheetData>
  <autoFilter ref="I12:I58"/>
  <mergeCells count="29"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  <mergeCell ref="A94:I94"/>
    <mergeCell ref="A15:I15"/>
    <mergeCell ref="A27:I27"/>
    <mergeCell ref="A44:I44"/>
    <mergeCell ref="A54:I54"/>
    <mergeCell ref="A88:I88"/>
    <mergeCell ref="B89:G89"/>
    <mergeCell ref="B90:G90"/>
    <mergeCell ref="A92:I92"/>
    <mergeCell ref="A93:I93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C94" sqref="C94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86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153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193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93">
        <v>43281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160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hidden="1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10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G71*3</f>
        <v>1711.62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155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12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I80+I79+I71+I59+I33+I32+I30+I29+I26+I25+I18+I17+I16</f>
        <v>43807.238370144441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31.5" customHeight="1">
      <c r="A83" s="29">
        <v>14</v>
      </c>
      <c r="B83" s="103" t="s">
        <v>194</v>
      </c>
      <c r="C83" s="49" t="s">
        <v>195</v>
      </c>
      <c r="D83" s="14"/>
      <c r="E83" s="18"/>
      <c r="F83" s="13">
        <v>0.1</v>
      </c>
      <c r="G83" s="34">
        <v>24829.08</v>
      </c>
      <c r="H83" s="13">
        <f t="shared" ref="H83" si="6">G83*F83/1000</f>
        <v>2.4829080000000006</v>
      </c>
      <c r="I83" s="88">
        <f>G83*0.01</f>
        <v>248.29080000000002</v>
      </c>
    </row>
    <row r="84" spans="1:9" ht="15.75" customHeight="1">
      <c r="A84" s="29">
        <v>15</v>
      </c>
      <c r="B84" s="103" t="s">
        <v>196</v>
      </c>
      <c r="C84" s="49" t="s">
        <v>84</v>
      </c>
      <c r="D84" s="14"/>
      <c r="E84" s="18"/>
      <c r="F84" s="13"/>
      <c r="G84" s="34">
        <v>203.68</v>
      </c>
      <c r="H84" s="81"/>
      <c r="I84" s="88">
        <f>G84*2</f>
        <v>407.36</v>
      </c>
    </row>
    <row r="85" spans="1:9" ht="15.75" customHeight="1">
      <c r="A85" s="29">
        <v>16</v>
      </c>
      <c r="B85" s="47" t="s">
        <v>209</v>
      </c>
      <c r="C85" s="64" t="s">
        <v>197</v>
      </c>
      <c r="D85" s="14"/>
      <c r="E85" s="18"/>
      <c r="F85" s="13">
        <v>1</v>
      </c>
      <c r="G85" s="34">
        <v>1078.9000000000001</v>
      </c>
      <c r="H85" s="81">
        <f>G85*F85/1000</f>
        <v>1.0789000000000002</v>
      </c>
      <c r="I85" s="88">
        <f>G85*3</f>
        <v>3236.7000000000003</v>
      </c>
    </row>
    <row r="86" spans="1:9" ht="15.75" customHeight="1">
      <c r="A86" s="29">
        <v>17</v>
      </c>
      <c r="B86" s="47" t="s">
        <v>198</v>
      </c>
      <c r="C86" s="64" t="s">
        <v>118</v>
      </c>
      <c r="D86" s="14"/>
      <c r="E86" s="18"/>
      <c r="F86" s="13"/>
      <c r="G86" s="34">
        <v>140</v>
      </c>
      <c r="H86" s="81"/>
      <c r="I86" s="88">
        <f>G86*5</f>
        <v>700</v>
      </c>
    </row>
    <row r="87" spans="1:9" ht="15.75" customHeight="1">
      <c r="A87" s="29">
        <v>18</v>
      </c>
      <c r="B87" s="47" t="s">
        <v>199</v>
      </c>
      <c r="C87" s="64" t="s">
        <v>118</v>
      </c>
      <c r="D87" s="14"/>
      <c r="E87" s="18"/>
      <c r="F87" s="13"/>
      <c r="G87" s="34">
        <v>108</v>
      </c>
      <c r="H87" s="81"/>
      <c r="I87" s="88">
        <f>G87*3</f>
        <v>324</v>
      </c>
    </row>
    <row r="88" spans="1:9" ht="15.75" customHeight="1">
      <c r="A88" s="29">
        <v>19</v>
      </c>
      <c r="B88" s="47" t="s">
        <v>200</v>
      </c>
      <c r="C88" s="64" t="s">
        <v>118</v>
      </c>
      <c r="D88" s="14"/>
      <c r="E88" s="18"/>
      <c r="F88" s="13"/>
      <c r="G88" s="34">
        <v>70</v>
      </c>
      <c r="H88" s="81"/>
      <c r="I88" s="88">
        <f>G88*1</f>
        <v>70</v>
      </c>
    </row>
    <row r="89" spans="1:9" ht="15.75" customHeight="1">
      <c r="A89" s="29">
        <v>20</v>
      </c>
      <c r="B89" s="47" t="s">
        <v>201</v>
      </c>
      <c r="C89" s="64" t="s">
        <v>118</v>
      </c>
      <c r="D89" s="14"/>
      <c r="E89" s="18"/>
      <c r="F89" s="13"/>
      <c r="G89" s="34">
        <v>90</v>
      </c>
      <c r="H89" s="81"/>
      <c r="I89" s="88">
        <f>G89*1</f>
        <v>90</v>
      </c>
    </row>
    <row r="90" spans="1:9" ht="15.75" customHeight="1">
      <c r="A90" s="29">
        <v>21</v>
      </c>
      <c r="B90" s="47" t="s">
        <v>202</v>
      </c>
      <c r="C90" s="64" t="s">
        <v>118</v>
      </c>
      <c r="D90" s="14"/>
      <c r="E90" s="18"/>
      <c r="F90" s="13"/>
      <c r="G90" s="34">
        <v>27.36</v>
      </c>
      <c r="H90" s="81"/>
      <c r="I90" s="88">
        <f>G90*2</f>
        <v>54.72</v>
      </c>
    </row>
    <row r="91" spans="1:9" ht="15.75" customHeight="1">
      <c r="A91" s="29">
        <v>22</v>
      </c>
      <c r="B91" s="47" t="s">
        <v>203</v>
      </c>
      <c r="C91" s="64" t="s">
        <v>171</v>
      </c>
      <c r="D91" s="14"/>
      <c r="E91" s="18"/>
      <c r="F91" s="13"/>
      <c r="G91" s="34">
        <v>1964</v>
      </c>
      <c r="H91" s="81"/>
      <c r="I91" s="88">
        <f>G91*2</f>
        <v>3928</v>
      </c>
    </row>
    <row r="92" spans="1:9" ht="15.75" customHeight="1">
      <c r="A92" s="29">
        <v>23</v>
      </c>
      <c r="B92" s="47" t="s">
        <v>204</v>
      </c>
      <c r="C92" s="64" t="s">
        <v>118</v>
      </c>
      <c r="D92" s="14"/>
      <c r="E92" s="18"/>
      <c r="F92" s="13"/>
      <c r="G92" s="34">
        <v>118</v>
      </c>
      <c r="H92" s="81"/>
      <c r="I92" s="88">
        <f>G92*1</f>
        <v>118</v>
      </c>
    </row>
    <row r="93" spans="1:9" ht="15.75" customHeight="1">
      <c r="A93" s="29">
        <v>24</v>
      </c>
      <c r="B93" s="47" t="s">
        <v>205</v>
      </c>
      <c r="C93" s="64" t="s">
        <v>118</v>
      </c>
      <c r="D93" s="14"/>
      <c r="E93" s="18"/>
      <c r="F93" s="13"/>
      <c r="G93" s="34">
        <v>179</v>
      </c>
      <c r="H93" s="81"/>
      <c r="I93" s="88">
        <f>G93*2</f>
        <v>358</v>
      </c>
    </row>
    <row r="94" spans="1:9" ht="15.75" customHeight="1">
      <c r="A94" s="29">
        <v>25</v>
      </c>
      <c r="B94" s="47" t="s">
        <v>206</v>
      </c>
      <c r="C94" s="64" t="s">
        <v>118</v>
      </c>
      <c r="D94" s="14"/>
      <c r="E94" s="18"/>
      <c r="F94" s="13"/>
      <c r="G94" s="34">
        <v>300.61</v>
      </c>
      <c r="H94" s="81"/>
      <c r="I94" s="88">
        <f>G94*1</f>
        <v>300.61</v>
      </c>
    </row>
    <row r="95" spans="1:9" ht="15.75" customHeight="1">
      <c r="A95" s="29">
        <v>26</v>
      </c>
      <c r="B95" s="47" t="s">
        <v>207</v>
      </c>
      <c r="C95" s="64" t="s">
        <v>131</v>
      </c>
      <c r="D95" s="14"/>
      <c r="E95" s="18"/>
      <c r="F95" s="13"/>
      <c r="G95" s="34">
        <v>864.9</v>
      </c>
      <c r="H95" s="81"/>
      <c r="I95" s="88">
        <f>G95*4</f>
        <v>3459.6</v>
      </c>
    </row>
    <row r="96" spans="1:9" ht="15.75" customHeight="1">
      <c r="A96" s="29">
        <v>27</v>
      </c>
      <c r="B96" s="103" t="s">
        <v>140</v>
      </c>
      <c r="C96" s="49" t="s">
        <v>118</v>
      </c>
      <c r="D96" s="14"/>
      <c r="E96" s="18"/>
      <c r="F96" s="13"/>
      <c r="G96" s="34">
        <v>2388.9</v>
      </c>
      <c r="H96" s="81"/>
      <c r="I96" s="88">
        <f>G96*1</f>
        <v>2388.9</v>
      </c>
    </row>
    <row r="97" spans="1:9" ht="15.75" customHeight="1">
      <c r="A97" s="29">
        <v>28</v>
      </c>
      <c r="B97" s="103" t="s">
        <v>178</v>
      </c>
      <c r="C97" s="49" t="s">
        <v>142</v>
      </c>
      <c r="D97" s="14"/>
      <c r="E97" s="18"/>
      <c r="F97" s="13"/>
      <c r="G97" s="34">
        <v>134.12</v>
      </c>
      <c r="H97" s="81"/>
      <c r="I97" s="88">
        <f>G97*40</f>
        <v>5364.8</v>
      </c>
    </row>
    <row r="98" spans="1:9" ht="15.75" customHeight="1">
      <c r="A98" s="29">
        <v>29</v>
      </c>
      <c r="B98" s="103" t="s">
        <v>92</v>
      </c>
      <c r="C98" s="49" t="s">
        <v>118</v>
      </c>
      <c r="D98" s="14"/>
      <c r="E98" s="18"/>
      <c r="F98" s="13"/>
      <c r="G98" s="34">
        <v>164.03</v>
      </c>
      <c r="H98" s="81"/>
      <c r="I98" s="88">
        <f>G98*1</f>
        <v>164.03</v>
      </c>
    </row>
    <row r="99" spans="1:9" ht="15.75" customHeight="1">
      <c r="A99" s="29">
        <v>30</v>
      </c>
      <c r="B99" s="103" t="s">
        <v>208</v>
      </c>
      <c r="C99" s="49" t="s">
        <v>131</v>
      </c>
      <c r="D99" s="14"/>
      <c r="E99" s="18"/>
      <c r="F99" s="13"/>
      <c r="G99" s="34">
        <v>303.35000000000002</v>
      </c>
      <c r="H99" s="81"/>
      <c r="I99" s="88">
        <f>G99*2</f>
        <v>606.70000000000005</v>
      </c>
    </row>
    <row r="100" spans="1:9" ht="15.75" hidden="1" customHeight="1">
      <c r="A100" s="29"/>
      <c r="B100" s="47"/>
      <c r="C100" s="64"/>
      <c r="D100" s="14"/>
      <c r="E100" s="18"/>
      <c r="F100" s="13"/>
      <c r="G100" s="13"/>
      <c r="H100" s="81"/>
      <c r="I100" s="88"/>
    </row>
    <row r="101" spans="1:9" ht="15.75" hidden="1" customHeight="1">
      <c r="A101" s="29"/>
      <c r="B101" s="47"/>
      <c r="C101" s="64"/>
      <c r="D101" s="14"/>
      <c r="E101" s="18"/>
      <c r="F101" s="13"/>
      <c r="G101" s="13"/>
      <c r="H101" s="81"/>
      <c r="I101" s="88"/>
    </row>
    <row r="102" spans="1:9" ht="15.75" hidden="1" customHeight="1">
      <c r="A102" s="29">
        <v>16</v>
      </c>
      <c r="B102" s="47"/>
      <c r="C102" s="64"/>
      <c r="D102" s="35"/>
      <c r="E102" s="17"/>
      <c r="F102" s="34">
        <v>1</v>
      </c>
      <c r="G102" s="34"/>
      <c r="H102" s="94">
        <f>G102*F102/1000</f>
        <v>0</v>
      </c>
      <c r="I102" s="88"/>
    </row>
    <row r="103" spans="1:9" ht="15.75" customHeight="1">
      <c r="A103" s="29"/>
      <c r="B103" s="41" t="s">
        <v>50</v>
      </c>
      <c r="C103" s="37"/>
      <c r="D103" s="45"/>
      <c r="E103" s="37">
        <v>1</v>
      </c>
      <c r="F103" s="37"/>
      <c r="G103" s="37"/>
      <c r="H103" s="37"/>
      <c r="I103" s="32">
        <f>SUM(I83:I102)</f>
        <v>21819.710800000001</v>
      </c>
    </row>
    <row r="104" spans="1:9" ht="15.75" customHeight="1">
      <c r="A104" s="29"/>
      <c r="B104" s="43" t="s">
        <v>78</v>
      </c>
      <c r="C104" s="15"/>
      <c r="D104" s="15"/>
      <c r="E104" s="38"/>
      <c r="F104" s="38"/>
      <c r="G104" s="39"/>
      <c r="H104" s="39"/>
      <c r="I104" s="17">
        <v>0</v>
      </c>
    </row>
    <row r="105" spans="1:9" ht="15.75" customHeight="1">
      <c r="A105" s="46"/>
      <c r="B105" s="42" t="s">
        <v>165</v>
      </c>
      <c r="C105" s="33"/>
      <c r="D105" s="33"/>
      <c r="E105" s="33"/>
      <c r="F105" s="33"/>
      <c r="G105" s="33"/>
      <c r="H105" s="33"/>
      <c r="I105" s="40">
        <f>I81+I103</f>
        <v>65626.949170144449</v>
      </c>
    </row>
    <row r="106" spans="1:9" ht="15.75">
      <c r="A106" s="131" t="s">
        <v>210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ht="15.75">
      <c r="A107" s="58"/>
      <c r="B107" s="143" t="s">
        <v>211</v>
      </c>
      <c r="C107" s="143"/>
      <c r="D107" s="143"/>
      <c r="E107" s="143"/>
      <c r="F107" s="143"/>
      <c r="G107" s="143"/>
      <c r="H107" s="63"/>
      <c r="I107" s="3"/>
    </row>
    <row r="108" spans="1:9">
      <c r="A108" s="55"/>
      <c r="B108" s="140" t="s">
        <v>6</v>
      </c>
      <c r="C108" s="140"/>
      <c r="D108" s="140"/>
      <c r="E108" s="140"/>
      <c r="F108" s="140"/>
      <c r="G108" s="140"/>
      <c r="H108" s="24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44" t="s">
        <v>7</v>
      </c>
      <c r="B110" s="144"/>
      <c r="C110" s="144"/>
      <c r="D110" s="144"/>
      <c r="E110" s="144"/>
      <c r="F110" s="144"/>
      <c r="G110" s="144"/>
      <c r="H110" s="144"/>
      <c r="I110" s="144"/>
    </row>
    <row r="111" spans="1:9" ht="15.75">
      <c r="A111" s="144" t="s">
        <v>8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15.75">
      <c r="A112" s="127" t="s">
        <v>60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.75" customHeight="1">
      <c r="A113" s="11"/>
    </row>
    <row r="114" spans="1:9" ht="15.75">
      <c r="A114" s="128" t="s">
        <v>9</v>
      </c>
      <c r="B114" s="128"/>
      <c r="C114" s="128"/>
      <c r="D114" s="128"/>
      <c r="E114" s="128"/>
      <c r="F114" s="128"/>
      <c r="G114" s="128"/>
      <c r="H114" s="128"/>
      <c r="I114" s="128"/>
    </row>
    <row r="115" spans="1:9" ht="15.75">
      <c r="A115" s="4"/>
    </row>
    <row r="116" spans="1:9" ht="15.75">
      <c r="B116" s="53" t="s">
        <v>10</v>
      </c>
      <c r="C116" s="139" t="s">
        <v>90</v>
      </c>
      <c r="D116" s="139"/>
      <c r="E116" s="139"/>
      <c r="F116" s="61"/>
      <c r="I116" s="54"/>
    </row>
    <row r="117" spans="1:9">
      <c r="A117" s="55"/>
      <c r="C117" s="140" t="s">
        <v>11</v>
      </c>
      <c r="D117" s="140"/>
      <c r="E117" s="140"/>
      <c r="F117" s="24"/>
      <c r="I117" s="52" t="s">
        <v>12</v>
      </c>
    </row>
    <row r="118" spans="1:9" ht="15.75">
      <c r="A118" s="25"/>
      <c r="C118" s="12"/>
      <c r="D118" s="12"/>
      <c r="G118" s="12"/>
      <c r="H118" s="12"/>
    </row>
    <row r="119" spans="1:9" ht="15.75">
      <c r="B119" s="53" t="s">
        <v>13</v>
      </c>
      <c r="C119" s="141"/>
      <c r="D119" s="141"/>
      <c r="E119" s="141"/>
      <c r="F119" s="62"/>
      <c r="I119" s="54"/>
    </row>
    <row r="120" spans="1:9">
      <c r="A120" s="55"/>
      <c r="C120" s="130" t="s">
        <v>11</v>
      </c>
      <c r="D120" s="130"/>
      <c r="E120" s="130"/>
      <c r="F120" s="55"/>
      <c r="I120" s="52" t="s">
        <v>12</v>
      </c>
    </row>
    <row r="121" spans="1:9" ht="15.75">
      <c r="A121" s="4" t="s">
        <v>14</v>
      </c>
    </row>
    <row r="122" spans="1:9">
      <c r="A122" s="142" t="s">
        <v>15</v>
      </c>
      <c r="B122" s="142"/>
      <c r="C122" s="142"/>
      <c r="D122" s="142"/>
      <c r="E122" s="142"/>
      <c r="F122" s="142"/>
      <c r="G122" s="142"/>
      <c r="H122" s="142"/>
      <c r="I122" s="142"/>
    </row>
    <row r="123" spans="1:9" ht="45" customHeight="1">
      <c r="A123" s="138" t="s">
        <v>16</v>
      </c>
      <c r="B123" s="138"/>
      <c r="C123" s="138"/>
      <c r="D123" s="138"/>
      <c r="E123" s="138"/>
      <c r="F123" s="138"/>
      <c r="G123" s="138"/>
      <c r="H123" s="138"/>
      <c r="I123" s="138"/>
    </row>
    <row r="124" spans="1:9" ht="30" customHeight="1">
      <c r="A124" s="138" t="s">
        <v>17</v>
      </c>
      <c r="B124" s="138"/>
      <c r="C124" s="138"/>
      <c r="D124" s="138"/>
      <c r="E124" s="138"/>
      <c r="F124" s="138"/>
      <c r="G124" s="138"/>
      <c r="H124" s="138"/>
      <c r="I124" s="138"/>
    </row>
    <row r="125" spans="1:9" ht="30" customHeight="1">
      <c r="A125" s="138" t="s">
        <v>21</v>
      </c>
      <c r="B125" s="138"/>
      <c r="C125" s="138"/>
      <c r="D125" s="138"/>
      <c r="E125" s="138"/>
      <c r="F125" s="138"/>
      <c r="G125" s="138"/>
      <c r="H125" s="138"/>
      <c r="I125" s="138"/>
    </row>
    <row r="126" spans="1:9" ht="15" customHeight="1">
      <c r="A126" s="138" t="s">
        <v>20</v>
      </c>
      <c r="B126" s="138"/>
      <c r="C126" s="138"/>
      <c r="D126" s="138"/>
      <c r="E126" s="138"/>
      <c r="F126" s="138"/>
      <c r="G126" s="138"/>
      <c r="H126" s="138"/>
      <c r="I126" s="138"/>
    </row>
  </sheetData>
  <autoFilter ref="I12:I58"/>
  <mergeCells count="29"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  <mergeCell ref="A112:I112"/>
    <mergeCell ref="A15:I15"/>
    <mergeCell ref="A27:I27"/>
    <mergeCell ref="A44:I44"/>
    <mergeCell ref="A54:I54"/>
    <mergeCell ref="A106:I106"/>
    <mergeCell ref="B107:G107"/>
    <mergeCell ref="B108:G108"/>
    <mergeCell ref="A110:I110"/>
    <mergeCell ref="A111:I111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9"/>
  <sheetViews>
    <sheetView topLeftCell="A27" workbookViewId="0">
      <selection activeCell="B90" sqref="B90: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156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213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43312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hidden="1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10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G71*2.8</f>
        <v>1597.5119999999997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155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12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I80+I79+I71+I59+I33+I32+I30+I29+I26+I25+I18+I17+I16</f>
        <v>43693.130370144441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17.25" customHeight="1">
      <c r="A83" s="29">
        <v>14</v>
      </c>
      <c r="B83" s="103" t="s">
        <v>178</v>
      </c>
      <c r="C83" s="49" t="s">
        <v>142</v>
      </c>
      <c r="D83" s="14"/>
      <c r="E83" s="18"/>
      <c r="F83" s="13">
        <v>8</v>
      </c>
      <c r="G83" s="34">
        <v>134.12</v>
      </c>
      <c r="H83" s="81">
        <f t="shared" ref="H83:H85" si="6">G83*F83/1000</f>
        <v>1.0729600000000001</v>
      </c>
      <c r="I83" s="88">
        <f>G83*35</f>
        <v>4694.2</v>
      </c>
    </row>
    <row r="84" spans="1:9" ht="18" customHeight="1">
      <c r="A84" s="29">
        <v>15</v>
      </c>
      <c r="B84" s="103" t="s">
        <v>185</v>
      </c>
      <c r="C84" s="49" t="s">
        <v>186</v>
      </c>
      <c r="D84" s="14"/>
      <c r="E84" s="18"/>
      <c r="F84" s="13">
        <v>0.1</v>
      </c>
      <c r="G84" s="34">
        <v>208</v>
      </c>
      <c r="H84" s="13">
        <f t="shared" si="6"/>
        <v>2.0799999999999999E-2</v>
      </c>
      <c r="I84" s="88">
        <f>G84*1</f>
        <v>208</v>
      </c>
    </row>
    <row r="85" spans="1:9" ht="33" customHeight="1">
      <c r="A85" s="29">
        <v>16</v>
      </c>
      <c r="B85" s="47" t="s">
        <v>89</v>
      </c>
      <c r="C85" s="64" t="s">
        <v>131</v>
      </c>
      <c r="D85" s="48"/>
      <c r="E85" s="34"/>
      <c r="F85" s="34">
        <v>8</v>
      </c>
      <c r="G85" s="34">
        <v>613.44000000000005</v>
      </c>
      <c r="H85" s="94">
        <f t="shared" si="6"/>
        <v>4.9075200000000008</v>
      </c>
      <c r="I85" s="88">
        <f>G85*1</f>
        <v>613.44000000000005</v>
      </c>
    </row>
    <row r="86" spans="1:9" ht="15.75" customHeight="1">
      <c r="A86" s="29"/>
      <c r="B86" s="41" t="s">
        <v>50</v>
      </c>
      <c r="C86" s="37"/>
      <c r="D86" s="45"/>
      <c r="E86" s="37">
        <v>1</v>
      </c>
      <c r="F86" s="37"/>
      <c r="G86" s="37"/>
      <c r="H86" s="37"/>
      <c r="I86" s="32">
        <f>I85+I84+I83</f>
        <v>5515.6399999999994</v>
      </c>
    </row>
    <row r="87" spans="1:9" ht="15.75" customHeight="1">
      <c r="A87" s="29"/>
      <c r="B87" s="43" t="s">
        <v>78</v>
      </c>
      <c r="C87" s="15"/>
      <c r="D87" s="15"/>
      <c r="E87" s="38"/>
      <c r="F87" s="38"/>
      <c r="G87" s="39"/>
      <c r="H87" s="39"/>
      <c r="I87" s="17">
        <v>0</v>
      </c>
    </row>
    <row r="88" spans="1:9" ht="15.75" customHeight="1">
      <c r="A88" s="46"/>
      <c r="B88" s="42" t="s">
        <v>165</v>
      </c>
      <c r="C88" s="33"/>
      <c r="D88" s="33"/>
      <c r="E88" s="33"/>
      <c r="F88" s="33"/>
      <c r="G88" s="33"/>
      <c r="H88" s="33"/>
      <c r="I88" s="40">
        <f>I81+I86</f>
        <v>49208.770370144441</v>
      </c>
    </row>
    <row r="89" spans="1:9" ht="15.75">
      <c r="A89" s="131" t="s">
        <v>215</v>
      </c>
      <c r="B89" s="131"/>
      <c r="C89" s="131"/>
      <c r="D89" s="131"/>
      <c r="E89" s="131"/>
      <c r="F89" s="131"/>
      <c r="G89" s="131"/>
      <c r="H89" s="131"/>
      <c r="I89" s="131"/>
    </row>
    <row r="90" spans="1:9" ht="15.75">
      <c r="A90" s="58"/>
      <c r="B90" s="143" t="s">
        <v>216</v>
      </c>
      <c r="C90" s="143"/>
      <c r="D90" s="143"/>
      <c r="E90" s="143"/>
      <c r="F90" s="143"/>
      <c r="G90" s="143"/>
      <c r="H90" s="63"/>
      <c r="I90" s="3"/>
    </row>
    <row r="91" spans="1:9">
      <c r="A91" s="55"/>
      <c r="B91" s="140" t="s">
        <v>6</v>
      </c>
      <c r="C91" s="140"/>
      <c r="D91" s="140"/>
      <c r="E91" s="140"/>
      <c r="F91" s="140"/>
      <c r="G91" s="140"/>
      <c r="H91" s="24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44" t="s">
        <v>7</v>
      </c>
      <c r="B93" s="144"/>
      <c r="C93" s="144"/>
      <c r="D93" s="144"/>
      <c r="E93" s="144"/>
      <c r="F93" s="144"/>
      <c r="G93" s="144"/>
      <c r="H93" s="144"/>
      <c r="I93" s="144"/>
    </row>
    <row r="94" spans="1:9" ht="15.75">
      <c r="A94" s="144" t="s">
        <v>8</v>
      </c>
      <c r="B94" s="144"/>
      <c r="C94" s="144"/>
      <c r="D94" s="144"/>
      <c r="E94" s="144"/>
      <c r="F94" s="144"/>
      <c r="G94" s="144"/>
      <c r="H94" s="144"/>
      <c r="I94" s="144"/>
    </row>
    <row r="95" spans="1:9" ht="15.75">
      <c r="A95" s="127" t="s">
        <v>60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11"/>
    </row>
    <row r="97" spans="1:9" ht="15.75">
      <c r="A97" s="128" t="s">
        <v>9</v>
      </c>
      <c r="B97" s="128"/>
      <c r="C97" s="128"/>
      <c r="D97" s="128"/>
      <c r="E97" s="128"/>
      <c r="F97" s="128"/>
      <c r="G97" s="128"/>
      <c r="H97" s="128"/>
      <c r="I97" s="128"/>
    </row>
    <row r="98" spans="1:9" ht="15.75">
      <c r="A98" s="4"/>
    </row>
    <row r="99" spans="1:9" ht="15.75">
      <c r="B99" s="53" t="s">
        <v>10</v>
      </c>
      <c r="C99" s="139" t="s">
        <v>90</v>
      </c>
      <c r="D99" s="139"/>
      <c r="E99" s="139"/>
      <c r="F99" s="61"/>
      <c r="I99" s="54"/>
    </row>
    <row r="100" spans="1:9">
      <c r="A100" s="55"/>
      <c r="C100" s="140" t="s">
        <v>11</v>
      </c>
      <c r="D100" s="140"/>
      <c r="E100" s="140"/>
      <c r="F100" s="24"/>
      <c r="I100" s="52" t="s">
        <v>12</v>
      </c>
    </row>
    <row r="101" spans="1:9" ht="15.75">
      <c r="A101" s="25"/>
      <c r="C101" s="12"/>
      <c r="D101" s="12"/>
      <c r="G101" s="12"/>
      <c r="H101" s="12"/>
    </row>
    <row r="102" spans="1:9" ht="15.75">
      <c r="B102" s="53" t="s">
        <v>13</v>
      </c>
      <c r="C102" s="141"/>
      <c r="D102" s="141"/>
      <c r="E102" s="141"/>
      <c r="F102" s="62"/>
      <c r="I102" s="54"/>
    </row>
    <row r="103" spans="1:9">
      <c r="A103" s="55"/>
      <c r="C103" s="130" t="s">
        <v>11</v>
      </c>
      <c r="D103" s="130"/>
      <c r="E103" s="130"/>
      <c r="F103" s="55"/>
      <c r="I103" s="52" t="s">
        <v>12</v>
      </c>
    </row>
    <row r="104" spans="1:9" ht="15.75">
      <c r="A104" s="4" t="s">
        <v>14</v>
      </c>
    </row>
    <row r="105" spans="1:9">
      <c r="A105" s="142" t="s">
        <v>15</v>
      </c>
      <c r="B105" s="142"/>
      <c r="C105" s="142"/>
      <c r="D105" s="142"/>
      <c r="E105" s="142"/>
      <c r="F105" s="142"/>
      <c r="G105" s="142"/>
      <c r="H105" s="142"/>
      <c r="I105" s="142"/>
    </row>
    <row r="106" spans="1:9" ht="45" customHeight="1">
      <c r="A106" s="138" t="s">
        <v>16</v>
      </c>
      <c r="B106" s="138"/>
      <c r="C106" s="138"/>
      <c r="D106" s="138"/>
      <c r="E106" s="138"/>
      <c r="F106" s="138"/>
      <c r="G106" s="138"/>
      <c r="H106" s="138"/>
      <c r="I106" s="138"/>
    </row>
    <row r="107" spans="1:9" ht="30" customHeight="1">
      <c r="A107" s="138" t="s">
        <v>17</v>
      </c>
      <c r="B107" s="138"/>
      <c r="C107" s="138"/>
      <c r="D107" s="138"/>
      <c r="E107" s="138"/>
      <c r="F107" s="138"/>
      <c r="G107" s="138"/>
      <c r="H107" s="138"/>
      <c r="I107" s="138"/>
    </row>
    <row r="108" spans="1:9" ht="30" customHeight="1">
      <c r="A108" s="138" t="s">
        <v>21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15" customHeight="1">
      <c r="A109" s="138" t="s">
        <v>20</v>
      </c>
      <c r="B109" s="138"/>
      <c r="C109" s="138"/>
      <c r="D109" s="138"/>
      <c r="E109" s="138"/>
      <c r="F109" s="138"/>
      <c r="G109" s="138"/>
      <c r="H109" s="138"/>
      <c r="I109" s="138"/>
    </row>
  </sheetData>
  <autoFilter ref="I12:I58"/>
  <mergeCells count="29"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  <mergeCell ref="A95:I95"/>
    <mergeCell ref="A15:I15"/>
    <mergeCell ref="A27:I27"/>
    <mergeCell ref="A44:I44"/>
    <mergeCell ref="A54:I54"/>
    <mergeCell ref="A89:I89"/>
    <mergeCell ref="B90:G90"/>
    <mergeCell ref="B91:G91"/>
    <mergeCell ref="A93:I93"/>
    <mergeCell ref="A94:I94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8"/>
  <sheetViews>
    <sheetView topLeftCell="A96" workbookViewId="0">
      <selection activeCell="A114" sqref="A114:I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157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223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43343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6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1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3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3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3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hidden="1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5.75" hidden="1" customHeight="1">
      <c r="A45" s="29"/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10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154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hidden="1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10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hidden="1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5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5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5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5"/>
        <v>0.28370000000000001</v>
      </c>
      <c r="I68" s="13">
        <v>0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5"/>
        <v>0.45427999999999996</v>
      </c>
      <c r="I70" s="13">
        <v>0</v>
      </c>
    </row>
    <row r="71" spans="1:9" ht="15.75" customHeight="1">
      <c r="A71" s="29">
        <v>11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5"/>
        <v>1.1410799999999999</v>
      </c>
      <c r="I71" s="13">
        <f>G71*2.8</f>
        <v>1597.5119999999997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5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155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12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13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I80+I79+I71+I59+I33+I32+I30+I29+I26+I25+I18+I17+I16</f>
        <v>43693.130370144441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30" customHeight="1">
      <c r="A83" s="29">
        <v>14</v>
      </c>
      <c r="B83" s="47" t="s">
        <v>79</v>
      </c>
      <c r="C83" s="64" t="s">
        <v>118</v>
      </c>
      <c r="D83" s="43"/>
      <c r="E83" s="13"/>
      <c r="F83" s="13">
        <f>(3*8+15+3+20+3+3)/3</f>
        <v>22.666666666666668</v>
      </c>
      <c r="G83" s="34">
        <v>86.69</v>
      </c>
      <c r="H83" s="81">
        <f>G83*F83/1000</f>
        <v>1.9649733333333335</v>
      </c>
      <c r="I83" s="88">
        <f>G83*2</f>
        <v>173.38</v>
      </c>
    </row>
    <row r="84" spans="1:9" ht="15.75" customHeight="1">
      <c r="A84" s="29">
        <v>15</v>
      </c>
      <c r="B84" s="103" t="s">
        <v>92</v>
      </c>
      <c r="C84" s="49" t="s">
        <v>118</v>
      </c>
      <c r="D84" s="14"/>
      <c r="E84" s="18"/>
      <c r="F84" s="13">
        <v>8</v>
      </c>
      <c r="G84" s="34">
        <v>164.03</v>
      </c>
      <c r="H84" s="81">
        <f t="shared" ref="H84:H86" si="6">G84*F84/1000</f>
        <v>1.3122400000000001</v>
      </c>
      <c r="I84" s="88">
        <f>G84*2</f>
        <v>328.06</v>
      </c>
    </row>
    <row r="85" spans="1:9" ht="31.5" customHeight="1">
      <c r="A85" s="29">
        <v>16</v>
      </c>
      <c r="B85" s="47" t="s">
        <v>141</v>
      </c>
      <c r="C85" s="64" t="s">
        <v>37</v>
      </c>
      <c r="D85" s="14"/>
      <c r="E85" s="18"/>
      <c r="F85" s="13">
        <v>0.1</v>
      </c>
      <c r="G85" s="34">
        <v>3724.37</v>
      </c>
      <c r="H85" s="13">
        <f t="shared" si="6"/>
        <v>0.37243700000000002</v>
      </c>
      <c r="I85" s="88">
        <f>G85*0.03</f>
        <v>111.7311</v>
      </c>
    </row>
    <row r="86" spans="1:9" ht="15.75" customHeight="1">
      <c r="A86" s="29">
        <v>17</v>
      </c>
      <c r="B86" s="103" t="s">
        <v>82</v>
      </c>
      <c r="C86" s="49" t="s">
        <v>118</v>
      </c>
      <c r="D86" s="43"/>
      <c r="E86" s="13"/>
      <c r="F86" s="13">
        <v>0.06</v>
      </c>
      <c r="G86" s="34">
        <v>197.48</v>
      </c>
      <c r="H86" s="81">
        <f t="shared" si="6"/>
        <v>1.18488E-2</v>
      </c>
      <c r="I86" s="88">
        <f>G86*2</f>
        <v>394.96</v>
      </c>
    </row>
    <row r="87" spans="1:9" ht="15.75" hidden="1" customHeight="1">
      <c r="A87" s="29">
        <v>18</v>
      </c>
      <c r="B87" s="47"/>
      <c r="C87" s="64"/>
      <c r="D87" s="43"/>
      <c r="E87" s="13"/>
      <c r="F87" s="13">
        <v>4</v>
      </c>
      <c r="G87" s="13"/>
      <c r="H87" s="81">
        <f>G87*F87/1000</f>
        <v>0</v>
      </c>
      <c r="I87" s="88"/>
    </row>
    <row r="88" spans="1:9" ht="15.75" hidden="1" customHeight="1">
      <c r="A88" s="29">
        <v>19</v>
      </c>
      <c r="B88" s="47"/>
      <c r="C88" s="64"/>
      <c r="D88" s="43"/>
      <c r="E88" s="13"/>
      <c r="F88" s="13">
        <v>4</v>
      </c>
      <c r="G88" s="13"/>
      <c r="H88" s="81">
        <f>G88*F88/1000</f>
        <v>0</v>
      </c>
      <c r="I88" s="88"/>
    </row>
    <row r="89" spans="1:9" ht="15.75" hidden="1" customHeight="1">
      <c r="A89" s="29">
        <v>20</v>
      </c>
      <c r="B89" s="47"/>
      <c r="C89" s="64"/>
      <c r="D89" s="43"/>
      <c r="E89" s="13"/>
      <c r="F89" s="13">
        <v>1</v>
      </c>
      <c r="G89" s="13"/>
      <c r="H89" s="81">
        <f>G89*F89/1000</f>
        <v>0</v>
      </c>
      <c r="I89" s="88"/>
    </row>
    <row r="90" spans="1:9" ht="15.75" hidden="1" customHeight="1">
      <c r="A90" s="29">
        <v>21</v>
      </c>
      <c r="B90" s="50"/>
      <c r="C90" s="51"/>
      <c r="D90" s="43"/>
      <c r="E90" s="13"/>
      <c r="F90" s="13">
        <f>0.3/3</f>
        <v>9.9999999999999992E-2</v>
      </c>
      <c r="G90" s="13"/>
      <c r="H90" s="81">
        <f>G90*F90/1000</f>
        <v>0</v>
      </c>
      <c r="I90" s="88"/>
    </row>
    <row r="91" spans="1:9" ht="15.75" hidden="1" customHeight="1">
      <c r="A91" s="29">
        <v>22</v>
      </c>
      <c r="B91" s="47"/>
      <c r="C91" s="87"/>
      <c r="D91" s="43"/>
      <c r="E91" s="13"/>
      <c r="F91" s="13">
        <v>10</v>
      </c>
      <c r="G91" s="13"/>
      <c r="H91" s="81">
        <f t="shared" ref="H91:H92" si="7">G91*F91/1000</f>
        <v>0</v>
      </c>
      <c r="I91" s="88"/>
    </row>
    <row r="92" spans="1:9" ht="31.5" hidden="1" customHeight="1">
      <c r="A92" s="29">
        <v>23</v>
      </c>
      <c r="B92" s="47"/>
      <c r="C92" s="64"/>
      <c r="D92" s="43"/>
      <c r="E92" s="13"/>
      <c r="F92" s="13">
        <f>8/10</f>
        <v>0.8</v>
      </c>
      <c r="G92" s="13"/>
      <c r="H92" s="81">
        <f t="shared" si="7"/>
        <v>0</v>
      </c>
      <c r="I92" s="88"/>
    </row>
    <row r="93" spans="1:9" ht="19.5" customHeight="1">
      <c r="A93" s="29">
        <v>18</v>
      </c>
      <c r="B93" s="47" t="s">
        <v>225</v>
      </c>
      <c r="C93" s="49" t="s">
        <v>142</v>
      </c>
      <c r="D93" s="43"/>
      <c r="E93" s="13"/>
      <c r="F93" s="13"/>
      <c r="G93" s="34">
        <v>699.74</v>
      </c>
      <c r="H93" s="81"/>
      <c r="I93" s="88">
        <f>G93*1</f>
        <v>699.74</v>
      </c>
    </row>
    <row r="94" spans="1:9" ht="15.75" customHeight="1">
      <c r="A94" s="29">
        <v>19</v>
      </c>
      <c r="B94" s="47" t="s">
        <v>198</v>
      </c>
      <c r="C94" s="64" t="s">
        <v>118</v>
      </c>
      <c r="D94" s="43"/>
      <c r="E94" s="13"/>
      <c r="F94" s="13"/>
      <c r="G94" s="34">
        <v>140</v>
      </c>
      <c r="H94" s="81"/>
      <c r="I94" s="88">
        <f>G94*1</f>
        <v>140</v>
      </c>
    </row>
    <row r="95" spans="1:9" ht="16.5" customHeight="1">
      <c r="A95" s="29">
        <v>20</v>
      </c>
      <c r="B95" s="119" t="s">
        <v>224</v>
      </c>
      <c r="C95" s="51" t="s">
        <v>118</v>
      </c>
      <c r="D95" s="43"/>
      <c r="E95" s="13"/>
      <c r="F95" s="13"/>
      <c r="G95" s="34">
        <v>62</v>
      </c>
      <c r="H95" s="81"/>
      <c r="I95" s="88">
        <f>G95*1</f>
        <v>62</v>
      </c>
    </row>
    <row r="96" spans="1:9" ht="15.75" customHeight="1">
      <c r="A96" s="29">
        <v>21</v>
      </c>
      <c r="B96" s="47" t="s">
        <v>201</v>
      </c>
      <c r="C96" s="64" t="s">
        <v>118</v>
      </c>
      <c r="D96" s="43"/>
      <c r="E96" s="13"/>
      <c r="F96" s="13"/>
      <c r="G96" s="34">
        <v>90</v>
      </c>
      <c r="H96" s="81"/>
      <c r="I96" s="88">
        <f>G96*2</f>
        <v>180</v>
      </c>
    </row>
    <row r="97" spans="1:9" ht="13.5" customHeight="1">
      <c r="A97" s="29">
        <v>22</v>
      </c>
      <c r="B97" s="47" t="s">
        <v>202</v>
      </c>
      <c r="C97" s="64" t="s">
        <v>118</v>
      </c>
      <c r="D97" s="43"/>
      <c r="E97" s="13"/>
      <c r="F97" s="13"/>
      <c r="G97" s="34">
        <v>27.36</v>
      </c>
      <c r="H97" s="81"/>
      <c r="I97" s="88">
        <f>G97*1</f>
        <v>27.36</v>
      </c>
    </row>
    <row r="98" spans="1:9" ht="13.5" customHeight="1">
      <c r="A98" s="29">
        <v>23</v>
      </c>
      <c r="B98" s="103" t="s">
        <v>178</v>
      </c>
      <c r="C98" s="49" t="s">
        <v>142</v>
      </c>
      <c r="D98" s="43"/>
      <c r="E98" s="13"/>
      <c r="F98" s="13"/>
      <c r="G98" s="34">
        <v>134.12</v>
      </c>
      <c r="H98" s="81"/>
      <c r="I98" s="88">
        <f>G98*41</f>
        <v>5498.92</v>
      </c>
    </row>
    <row r="99" spans="1:9" ht="14.25" customHeight="1">
      <c r="A99" s="29">
        <v>24</v>
      </c>
      <c r="B99" s="103" t="s">
        <v>185</v>
      </c>
      <c r="C99" s="49" t="s">
        <v>186</v>
      </c>
      <c r="D99" s="43"/>
      <c r="E99" s="13"/>
      <c r="F99" s="13"/>
      <c r="G99" s="34">
        <v>208</v>
      </c>
      <c r="H99" s="81"/>
      <c r="I99" s="88">
        <f>G99*1</f>
        <v>208</v>
      </c>
    </row>
    <row r="100" spans="1:9" ht="29.25" customHeight="1">
      <c r="A100" s="29">
        <v>25</v>
      </c>
      <c r="B100" s="113" t="s">
        <v>166</v>
      </c>
      <c r="C100" s="114" t="s">
        <v>167</v>
      </c>
      <c r="D100" s="43"/>
      <c r="E100" s="13"/>
      <c r="F100" s="13"/>
      <c r="G100" s="34">
        <v>326.66000000000003</v>
      </c>
      <c r="H100" s="81"/>
      <c r="I100" s="88">
        <f>G100*2.8</f>
        <v>914.64800000000002</v>
      </c>
    </row>
    <row r="101" spans="1:9" ht="29.25" customHeight="1">
      <c r="A101" s="29">
        <v>26</v>
      </c>
      <c r="B101" s="103" t="s">
        <v>194</v>
      </c>
      <c r="C101" s="49" t="s">
        <v>195</v>
      </c>
      <c r="D101" s="43"/>
      <c r="E101" s="13"/>
      <c r="F101" s="13"/>
      <c r="G101" s="34">
        <v>24829.08</v>
      </c>
      <c r="H101" s="81"/>
      <c r="I101" s="88">
        <f>G101*0.01</f>
        <v>248.29080000000002</v>
      </c>
    </row>
    <row r="102" spans="1:9" ht="18" customHeight="1">
      <c r="A102" s="29">
        <v>27</v>
      </c>
      <c r="B102" s="47" t="s">
        <v>227</v>
      </c>
      <c r="C102" s="64" t="s">
        <v>171</v>
      </c>
      <c r="D102" s="43"/>
      <c r="E102" s="13"/>
      <c r="F102" s="13"/>
      <c r="G102" s="34">
        <v>2057</v>
      </c>
      <c r="H102" s="81"/>
      <c r="I102" s="88">
        <f>G102*1.5</f>
        <v>3085.5</v>
      </c>
    </row>
    <row r="103" spans="1:9" ht="17.25" customHeight="1">
      <c r="A103" s="29">
        <v>28</v>
      </c>
      <c r="B103" s="47" t="s">
        <v>228</v>
      </c>
      <c r="C103" s="64" t="s">
        <v>118</v>
      </c>
      <c r="D103" s="43"/>
      <c r="E103" s="13"/>
      <c r="F103" s="13"/>
      <c r="G103" s="34">
        <v>143.03</v>
      </c>
      <c r="H103" s="81"/>
      <c r="I103" s="88">
        <f>G103*1</f>
        <v>143.03</v>
      </c>
    </row>
    <row r="104" spans="1:9" ht="18.75" customHeight="1">
      <c r="A104" s="29">
        <v>29</v>
      </c>
      <c r="B104" s="47" t="s">
        <v>229</v>
      </c>
      <c r="C104" s="64" t="s">
        <v>118</v>
      </c>
      <c r="D104" s="43"/>
      <c r="E104" s="13"/>
      <c r="F104" s="13"/>
      <c r="G104" s="34">
        <v>176.54</v>
      </c>
      <c r="H104" s="81"/>
      <c r="I104" s="88">
        <f>G104*1</f>
        <v>176.54</v>
      </c>
    </row>
    <row r="105" spans="1:9" ht="15.75" customHeight="1">
      <c r="A105" s="29"/>
      <c r="B105" s="41" t="s">
        <v>50</v>
      </c>
      <c r="C105" s="37"/>
      <c r="D105" s="45"/>
      <c r="E105" s="37">
        <v>1</v>
      </c>
      <c r="F105" s="37"/>
      <c r="G105" s="37"/>
      <c r="H105" s="37"/>
      <c r="I105" s="32">
        <f>SUM(I83:I104)</f>
        <v>12392.159900000002</v>
      </c>
    </row>
    <row r="106" spans="1:9" ht="15.75" customHeight="1">
      <c r="A106" s="29"/>
      <c r="B106" s="43" t="s">
        <v>78</v>
      </c>
      <c r="C106" s="15"/>
      <c r="D106" s="15"/>
      <c r="E106" s="38"/>
      <c r="F106" s="38"/>
      <c r="G106" s="39"/>
      <c r="H106" s="39"/>
      <c r="I106" s="17">
        <v>0</v>
      </c>
    </row>
    <row r="107" spans="1:9" ht="15.75" customHeight="1">
      <c r="A107" s="46"/>
      <c r="B107" s="42" t="s">
        <v>165</v>
      </c>
      <c r="C107" s="33"/>
      <c r="D107" s="33"/>
      <c r="E107" s="33"/>
      <c r="F107" s="33"/>
      <c r="G107" s="33"/>
      <c r="H107" s="33"/>
      <c r="I107" s="40">
        <f>I81+I105</f>
        <v>56085.29027014444</v>
      </c>
    </row>
    <row r="108" spans="1:9" ht="15.75">
      <c r="A108" s="131" t="s">
        <v>230</v>
      </c>
      <c r="B108" s="131"/>
      <c r="C108" s="131"/>
      <c r="D108" s="131"/>
      <c r="E108" s="131"/>
      <c r="F108" s="131"/>
      <c r="G108" s="131"/>
      <c r="H108" s="131"/>
      <c r="I108" s="131"/>
    </row>
    <row r="109" spans="1:9" ht="15.75">
      <c r="A109" s="58"/>
      <c r="B109" s="143" t="s">
        <v>231</v>
      </c>
      <c r="C109" s="143"/>
      <c r="D109" s="143"/>
      <c r="E109" s="143"/>
      <c r="F109" s="143"/>
      <c r="G109" s="143"/>
      <c r="H109" s="63"/>
      <c r="I109" s="3"/>
    </row>
    <row r="110" spans="1:9">
      <c r="A110" s="55"/>
      <c r="B110" s="140" t="s">
        <v>6</v>
      </c>
      <c r="C110" s="140"/>
      <c r="D110" s="140"/>
      <c r="E110" s="140"/>
      <c r="F110" s="140"/>
      <c r="G110" s="140"/>
      <c r="H110" s="24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144" t="s">
        <v>7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.75">
      <c r="A113" s="144" t="s">
        <v>8</v>
      </c>
      <c r="B113" s="144"/>
      <c r="C113" s="144"/>
      <c r="D113" s="144"/>
      <c r="E113" s="144"/>
      <c r="F113" s="144"/>
      <c r="G113" s="144"/>
      <c r="H113" s="144"/>
      <c r="I113" s="144"/>
    </row>
    <row r="114" spans="1:9" ht="15.75">
      <c r="A114" s="127" t="s">
        <v>60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15.75">
      <c r="A115" s="11"/>
    </row>
    <row r="116" spans="1:9" ht="15.75">
      <c r="A116" s="128" t="s">
        <v>9</v>
      </c>
      <c r="B116" s="128"/>
      <c r="C116" s="128"/>
      <c r="D116" s="128"/>
      <c r="E116" s="128"/>
      <c r="F116" s="128"/>
      <c r="G116" s="128"/>
      <c r="H116" s="128"/>
      <c r="I116" s="128"/>
    </row>
    <row r="117" spans="1:9" ht="15.75">
      <c r="A117" s="4"/>
    </row>
    <row r="118" spans="1:9" ht="15.75">
      <c r="B118" s="53" t="s">
        <v>10</v>
      </c>
      <c r="C118" s="139" t="s">
        <v>90</v>
      </c>
      <c r="D118" s="139"/>
      <c r="E118" s="139"/>
      <c r="F118" s="61"/>
      <c r="I118" s="54"/>
    </row>
    <row r="119" spans="1:9">
      <c r="A119" s="55"/>
      <c r="C119" s="140" t="s">
        <v>11</v>
      </c>
      <c r="D119" s="140"/>
      <c r="E119" s="140"/>
      <c r="F119" s="24"/>
      <c r="I119" s="52" t="s">
        <v>12</v>
      </c>
    </row>
    <row r="120" spans="1:9" ht="15.75">
      <c r="A120" s="25"/>
      <c r="C120" s="12"/>
      <c r="D120" s="12"/>
      <c r="G120" s="12"/>
      <c r="H120" s="12"/>
    </row>
    <row r="121" spans="1:9" ht="15.75">
      <c r="B121" s="53" t="s">
        <v>13</v>
      </c>
      <c r="C121" s="141"/>
      <c r="D121" s="141"/>
      <c r="E121" s="141"/>
      <c r="F121" s="62"/>
      <c r="I121" s="54"/>
    </row>
    <row r="122" spans="1:9">
      <c r="A122" s="55"/>
      <c r="C122" s="130" t="s">
        <v>11</v>
      </c>
      <c r="D122" s="130"/>
      <c r="E122" s="130"/>
      <c r="F122" s="55"/>
      <c r="I122" s="52" t="s">
        <v>12</v>
      </c>
    </row>
    <row r="123" spans="1:9" ht="15.75">
      <c r="A123" s="4" t="s">
        <v>14</v>
      </c>
    </row>
    <row r="124" spans="1:9">
      <c r="A124" s="142" t="s">
        <v>15</v>
      </c>
      <c r="B124" s="142"/>
      <c r="C124" s="142"/>
      <c r="D124" s="142"/>
      <c r="E124" s="142"/>
      <c r="F124" s="142"/>
      <c r="G124" s="142"/>
      <c r="H124" s="142"/>
      <c r="I124" s="142"/>
    </row>
    <row r="125" spans="1:9" ht="45" customHeight="1">
      <c r="A125" s="138" t="s">
        <v>16</v>
      </c>
      <c r="B125" s="138"/>
      <c r="C125" s="138"/>
      <c r="D125" s="138"/>
      <c r="E125" s="138"/>
      <c r="F125" s="138"/>
      <c r="G125" s="138"/>
      <c r="H125" s="138"/>
      <c r="I125" s="138"/>
    </row>
    <row r="126" spans="1:9" ht="30" customHeight="1">
      <c r="A126" s="138" t="s">
        <v>17</v>
      </c>
      <c r="B126" s="138"/>
      <c r="C126" s="138"/>
      <c r="D126" s="138"/>
      <c r="E126" s="138"/>
      <c r="F126" s="138"/>
      <c r="G126" s="138"/>
      <c r="H126" s="138"/>
      <c r="I126" s="138"/>
    </row>
    <row r="127" spans="1:9" ht="30" customHeight="1">
      <c r="A127" s="138" t="s">
        <v>21</v>
      </c>
      <c r="B127" s="138"/>
      <c r="C127" s="138"/>
      <c r="D127" s="138"/>
      <c r="E127" s="138"/>
      <c r="F127" s="138"/>
      <c r="G127" s="138"/>
      <c r="H127" s="138"/>
      <c r="I127" s="138"/>
    </row>
    <row r="128" spans="1:9" ht="15" customHeight="1">
      <c r="A128" s="138" t="s">
        <v>20</v>
      </c>
      <c r="B128" s="138"/>
      <c r="C128" s="138"/>
      <c r="D128" s="138"/>
      <c r="E128" s="138"/>
      <c r="F128" s="138"/>
      <c r="G128" s="138"/>
      <c r="H128" s="138"/>
      <c r="I128" s="138"/>
    </row>
  </sheetData>
  <autoFilter ref="I12:I58"/>
  <mergeCells count="29"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  <mergeCell ref="A114:I114"/>
    <mergeCell ref="A15:I15"/>
    <mergeCell ref="A27:I27"/>
    <mergeCell ref="A44:I44"/>
    <mergeCell ref="A54:I54"/>
    <mergeCell ref="A108:I108"/>
    <mergeCell ref="B109:G109"/>
    <mergeCell ref="B110:G110"/>
    <mergeCell ref="A112:I112"/>
    <mergeCell ref="A113:I113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topLeftCell="A71" workbookViewId="0">
      <selection activeCell="I101" sqref="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212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22" t="s">
        <v>158</v>
      </c>
      <c r="B3" s="122"/>
      <c r="C3" s="122"/>
      <c r="D3" s="122"/>
      <c r="E3" s="122"/>
      <c r="F3" s="122"/>
      <c r="G3" s="122"/>
      <c r="H3" s="122"/>
      <c r="I3" s="122"/>
      <c r="J3" s="3"/>
      <c r="K3" s="3"/>
      <c r="L3" s="3"/>
    </row>
    <row r="4" spans="1:13" ht="31.5" customHeight="1">
      <c r="A4" s="123" t="s">
        <v>129</v>
      </c>
      <c r="B4" s="123"/>
      <c r="C4" s="123"/>
      <c r="D4" s="123"/>
      <c r="E4" s="123"/>
      <c r="F4" s="123"/>
      <c r="G4" s="123"/>
      <c r="H4" s="123"/>
      <c r="I4" s="123"/>
    </row>
    <row r="5" spans="1:13" ht="15.75">
      <c r="A5" s="122" t="s">
        <v>226</v>
      </c>
      <c r="B5" s="124"/>
      <c r="C5" s="124"/>
      <c r="D5" s="124"/>
      <c r="E5" s="124"/>
      <c r="F5" s="124"/>
      <c r="G5" s="124"/>
      <c r="H5" s="124"/>
      <c r="I5" s="124"/>
      <c r="J5" s="2"/>
      <c r="K5" s="2"/>
      <c r="L5" s="2"/>
      <c r="M5" s="2"/>
    </row>
    <row r="6" spans="1:13" ht="15.75">
      <c r="A6" s="2"/>
      <c r="B6" s="56"/>
      <c r="C6" s="56"/>
      <c r="D6" s="56"/>
      <c r="E6" s="56"/>
      <c r="F6" s="56"/>
      <c r="G6" s="56"/>
      <c r="H6" s="56"/>
      <c r="I6" s="30">
        <v>43373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5" t="s">
        <v>214</v>
      </c>
      <c r="B8" s="125"/>
      <c r="C8" s="125"/>
      <c r="D8" s="125"/>
      <c r="E8" s="125"/>
      <c r="F8" s="125"/>
      <c r="G8" s="125"/>
      <c r="H8" s="125"/>
      <c r="I8" s="12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6" t="s">
        <v>174</v>
      </c>
      <c r="B10" s="126"/>
      <c r="C10" s="126"/>
      <c r="D10" s="126"/>
      <c r="E10" s="126"/>
      <c r="F10" s="126"/>
      <c r="G10" s="126"/>
      <c r="H10" s="126"/>
      <c r="I10" s="126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21" t="s">
        <v>58</v>
      </c>
      <c r="B14" s="121"/>
      <c r="C14" s="121"/>
      <c r="D14" s="121"/>
      <c r="E14" s="121"/>
      <c r="F14" s="121"/>
      <c r="G14" s="121"/>
      <c r="H14" s="121"/>
      <c r="I14" s="121"/>
      <c r="J14" s="8"/>
      <c r="K14" s="8"/>
      <c r="L14" s="8"/>
      <c r="M14" s="8"/>
    </row>
    <row r="15" spans="1:13">
      <c r="A15" s="129" t="s">
        <v>4</v>
      </c>
      <c r="B15" s="129"/>
      <c r="C15" s="129"/>
      <c r="D15" s="129"/>
      <c r="E15" s="129"/>
      <c r="F15" s="129"/>
      <c r="G15" s="129"/>
      <c r="H15" s="129"/>
      <c r="I15" s="129"/>
      <c r="J15" s="8"/>
      <c r="K15" s="8"/>
      <c r="L15" s="8"/>
      <c r="M15" s="8"/>
    </row>
    <row r="16" spans="1:13" ht="15.75" customHeight="1">
      <c r="A16" s="29">
        <v>1</v>
      </c>
      <c r="B16" s="65" t="s">
        <v>87</v>
      </c>
      <c r="C16" s="66" t="s">
        <v>94</v>
      </c>
      <c r="D16" s="65" t="s">
        <v>161</v>
      </c>
      <c r="E16" s="67">
        <v>90.18</v>
      </c>
      <c r="F16" s="68">
        <f>SUM(E16*156/100)</f>
        <v>140.6808</v>
      </c>
      <c r="G16" s="68">
        <v>199.46</v>
      </c>
      <c r="H16" s="69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93</v>
      </c>
      <c r="C17" s="66" t="s">
        <v>94</v>
      </c>
      <c r="D17" s="65" t="s">
        <v>162</v>
      </c>
      <c r="E17" s="67">
        <v>360.72</v>
      </c>
      <c r="F17" s="68">
        <f>SUM(E17*104/100)</f>
        <v>375.14880000000005</v>
      </c>
      <c r="G17" s="68">
        <v>199.46</v>
      </c>
      <c r="H17" s="69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143</v>
      </c>
      <c r="C18" s="66" t="s">
        <v>94</v>
      </c>
      <c r="D18" s="65" t="s">
        <v>163</v>
      </c>
      <c r="E18" s="67">
        <f>SUM(E16+E17)</f>
        <v>450.90000000000003</v>
      </c>
      <c r="F18" s="68">
        <f>SUM(E18*24/100)</f>
        <v>108.21600000000001</v>
      </c>
      <c r="G18" s="68">
        <v>573.83000000000004</v>
      </c>
      <c r="H18" s="69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95</v>
      </c>
      <c r="C19" s="66" t="s">
        <v>96</v>
      </c>
      <c r="D19" s="65" t="s">
        <v>97</v>
      </c>
      <c r="E19" s="67">
        <v>14.4</v>
      </c>
      <c r="F19" s="68">
        <f>SUM(E19/10)</f>
        <v>1.44</v>
      </c>
      <c r="G19" s="68">
        <v>193.55</v>
      </c>
      <c r="H19" s="69">
        <f t="shared" si="0"/>
        <v>0.27871200000000002</v>
      </c>
      <c r="I19" s="13">
        <f t="shared" ref="I19" si="1">F19/12*G19</f>
        <v>23.225999999999999</v>
      </c>
      <c r="J19" s="22"/>
      <c r="K19" s="8"/>
      <c r="L19" s="8"/>
      <c r="M19" s="8"/>
    </row>
    <row r="20" spans="1:13" ht="15.75" customHeight="1">
      <c r="A20" s="29">
        <v>4</v>
      </c>
      <c r="B20" s="65" t="s">
        <v>98</v>
      </c>
      <c r="C20" s="66" t="s">
        <v>94</v>
      </c>
      <c r="D20" s="65" t="s">
        <v>41</v>
      </c>
      <c r="E20" s="67">
        <v>14.64</v>
      </c>
      <c r="F20" s="68">
        <f>SUM(E20*2/100)</f>
        <v>0.2928</v>
      </c>
      <c r="G20" s="68">
        <v>247.82</v>
      </c>
      <c r="H20" s="69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5</v>
      </c>
      <c r="B21" s="65" t="s">
        <v>99</v>
      </c>
      <c r="C21" s="66" t="s">
        <v>94</v>
      </c>
      <c r="D21" s="65" t="s">
        <v>41</v>
      </c>
      <c r="E21" s="67">
        <v>10.08</v>
      </c>
      <c r="F21" s="68">
        <f>SUM(E21*2/100)</f>
        <v>0.2016</v>
      </c>
      <c r="G21" s="68">
        <v>245.81</v>
      </c>
      <c r="H21" s="69">
        <f t="shared" si="0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5" t="s">
        <v>100</v>
      </c>
      <c r="C22" s="66" t="s">
        <v>51</v>
      </c>
      <c r="D22" s="65" t="s">
        <v>97</v>
      </c>
      <c r="E22" s="67">
        <v>212.25</v>
      </c>
      <c r="F22" s="68">
        <f>SUM(E22/100)</f>
        <v>2.1225000000000001</v>
      </c>
      <c r="G22" s="68">
        <v>306.26</v>
      </c>
      <c r="H22" s="69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5" t="s">
        <v>101</v>
      </c>
      <c r="C23" s="66" t="s">
        <v>51</v>
      </c>
      <c r="D23" s="65" t="s">
        <v>97</v>
      </c>
      <c r="E23" s="70">
        <v>46.6</v>
      </c>
      <c r="F23" s="68">
        <f>SUM(E23/100)</f>
        <v>0.46600000000000003</v>
      </c>
      <c r="G23" s="68">
        <v>50.37</v>
      </c>
      <c r="H23" s="69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5" t="s">
        <v>102</v>
      </c>
      <c r="C24" s="66" t="s">
        <v>51</v>
      </c>
      <c r="D24" s="65" t="s">
        <v>97</v>
      </c>
      <c r="E24" s="67">
        <v>2</v>
      </c>
      <c r="F24" s="68">
        <f>SUM(E24/100)</f>
        <v>0.02</v>
      </c>
      <c r="G24" s="68">
        <v>592.37</v>
      </c>
      <c r="H24" s="69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6</v>
      </c>
      <c r="B25" s="65" t="s">
        <v>63</v>
      </c>
      <c r="C25" s="66" t="s">
        <v>33</v>
      </c>
      <c r="D25" s="65"/>
      <c r="E25" s="67">
        <v>0.1</v>
      </c>
      <c r="F25" s="68">
        <f>SUM(E25*365)</f>
        <v>36.5</v>
      </c>
      <c r="G25" s="68">
        <v>66.790000000000006</v>
      </c>
      <c r="H25" s="69">
        <f>SUM(F25*G25/1000)</f>
        <v>2.4378350000000002</v>
      </c>
      <c r="I25" s="13">
        <f>F25/12*G25</f>
        <v>203.15291666666667</v>
      </c>
      <c r="J25" s="22"/>
      <c r="K25" s="8"/>
      <c r="L25" s="8"/>
      <c r="M25" s="8"/>
    </row>
    <row r="26" spans="1:13" ht="15.75" customHeight="1">
      <c r="A26" s="29">
        <v>7</v>
      </c>
      <c r="B26" s="73" t="s">
        <v>23</v>
      </c>
      <c r="C26" s="66" t="s">
        <v>24</v>
      </c>
      <c r="D26" s="65"/>
      <c r="E26" s="67">
        <v>2177.1</v>
      </c>
      <c r="F26" s="68">
        <f>SUM(E26*12)</f>
        <v>26125.199999999997</v>
      </c>
      <c r="G26" s="68">
        <v>5.15</v>
      </c>
      <c r="H26" s="69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32" t="s">
        <v>85</v>
      </c>
      <c r="B27" s="133"/>
      <c r="C27" s="133"/>
      <c r="D27" s="133"/>
      <c r="E27" s="133"/>
      <c r="F27" s="133"/>
      <c r="G27" s="133"/>
      <c r="H27" s="133"/>
      <c r="I27" s="134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3"/>
      <c r="J28" s="22"/>
      <c r="K28" s="8"/>
      <c r="L28" s="8"/>
      <c r="M28" s="8"/>
    </row>
    <row r="29" spans="1:13" ht="15.75" customHeight="1">
      <c r="A29" s="29">
        <v>8</v>
      </c>
      <c r="B29" s="65" t="s">
        <v>103</v>
      </c>
      <c r="C29" s="66" t="s">
        <v>133</v>
      </c>
      <c r="D29" s="65" t="s">
        <v>105</v>
      </c>
      <c r="E29" s="68">
        <v>2497.6999999999998</v>
      </c>
      <c r="F29" s="68">
        <f>SUM(E29*52/1000)</f>
        <v>129.88039999999998</v>
      </c>
      <c r="G29" s="68">
        <v>177.3</v>
      </c>
      <c r="H29" s="69">
        <f t="shared" ref="H29:H35" si="2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customHeight="1">
      <c r="A30" s="29">
        <v>9</v>
      </c>
      <c r="B30" s="65" t="s">
        <v>147</v>
      </c>
      <c r="C30" s="66" t="s">
        <v>104</v>
      </c>
      <c r="D30" s="65" t="s">
        <v>106</v>
      </c>
      <c r="E30" s="68">
        <v>266.37</v>
      </c>
      <c r="F30" s="68">
        <f>SUM(E30*78/1000)</f>
        <v>20.776859999999999</v>
      </c>
      <c r="G30" s="68">
        <v>297.17</v>
      </c>
      <c r="H30" s="69">
        <f t="shared" si="2"/>
        <v>6.1742594862000004</v>
      </c>
      <c r="I30" s="13">
        <f t="shared" ref="I30:I32" si="3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5" t="s">
        <v>27</v>
      </c>
      <c r="C31" s="66" t="s">
        <v>104</v>
      </c>
      <c r="D31" s="65" t="s">
        <v>52</v>
      </c>
      <c r="E31" s="68">
        <v>2497.6999999999998</v>
      </c>
      <c r="F31" s="68">
        <f>SUM(E31/1000)</f>
        <v>2.4977</v>
      </c>
      <c r="G31" s="68">
        <v>3435.36</v>
      </c>
      <c r="H31" s="69">
        <f t="shared" si="2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customHeight="1">
      <c r="A32" s="29">
        <v>10</v>
      </c>
      <c r="B32" s="65" t="s">
        <v>107</v>
      </c>
      <c r="C32" s="66" t="s">
        <v>39</v>
      </c>
      <c r="D32" s="65" t="s">
        <v>62</v>
      </c>
      <c r="E32" s="68">
        <v>2</v>
      </c>
      <c r="F32" s="68">
        <v>3.1</v>
      </c>
      <c r="G32" s="68">
        <v>1480.94</v>
      </c>
      <c r="H32" s="69">
        <f>G32*F32/1000</f>
        <v>4.5909140000000006</v>
      </c>
      <c r="I32" s="13">
        <f t="shared" si="3"/>
        <v>765.15233333333344</v>
      </c>
      <c r="J32" s="22"/>
      <c r="K32" s="8"/>
      <c r="L32" s="8"/>
      <c r="M32" s="8"/>
    </row>
    <row r="33" spans="1:14" ht="15.75" customHeight="1">
      <c r="A33" s="29">
        <v>11</v>
      </c>
      <c r="B33" s="65" t="s">
        <v>108</v>
      </c>
      <c r="C33" s="66" t="s">
        <v>31</v>
      </c>
      <c r="D33" s="65" t="s">
        <v>62</v>
      </c>
      <c r="E33" s="72">
        <v>0.33333333333333331</v>
      </c>
      <c r="F33" s="68">
        <f>155/3</f>
        <v>51.666666666666664</v>
      </c>
      <c r="G33" s="68">
        <v>64.48</v>
      </c>
      <c r="H33" s="69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5" t="s">
        <v>64</v>
      </c>
      <c r="C34" s="66" t="s">
        <v>33</v>
      </c>
      <c r="D34" s="65" t="s">
        <v>136</v>
      </c>
      <c r="E34" s="67"/>
      <c r="F34" s="68">
        <v>2</v>
      </c>
      <c r="G34" s="68">
        <v>217.61</v>
      </c>
      <c r="H34" s="69">
        <f t="shared" si="2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5" t="s">
        <v>65</v>
      </c>
      <c r="C35" s="66" t="s">
        <v>32</v>
      </c>
      <c r="D35" s="65" t="s">
        <v>136</v>
      </c>
      <c r="E35" s="67"/>
      <c r="F35" s="68">
        <v>1</v>
      </c>
      <c r="G35" s="68">
        <v>1292.47</v>
      </c>
      <c r="H35" s="69">
        <f t="shared" si="2"/>
        <v>1.29247</v>
      </c>
      <c r="I35" s="13">
        <v>0</v>
      </c>
      <c r="J35" s="23"/>
    </row>
    <row r="36" spans="1:14" ht="15.75" hidden="1" customHeight="1">
      <c r="A36" s="74"/>
      <c r="B36" s="90" t="s">
        <v>5</v>
      </c>
      <c r="C36" s="66"/>
      <c r="D36" s="65"/>
      <c r="E36" s="67"/>
      <c r="F36" s="68"/>
      <c r="G36" s="68"/>
      <c r="H36" s="69" t="s">
        <v>137</v>
      </c>
      <c r="I36" s="13"/>
      <c r="J36" s="23"/>
    </row>
    <row r="37" spans="1:14" ht="15.75" hidden="1" customHeight="1">
      <c r="A37" s="74">
        <v>6</v>
      </c>
      <c r="B37" s="65" t="s">
        <v>26</v>
      </c>
      <c r="C37" s="66" t="s">
        <v>32</v>
      </c>
      <c r="D37" s="65"/>
      <c r="E37" s="67"/>
      <c r="F37" s="68">
        <v>6</v>
      </c>
      <c r="G37" s="68">
        <v>1737.08</v>
      </c>
      <c r="H37" s="69">
        <f t="shared" ref="H37:H43" si="4">SUM(F37*G37/1000)</f>
        <v>10.42248</v>
      </c>
      <c r="I37" s="13">
        <f>F37/6*G37</f>
        <v>1737.08</v>
      </c>
      <c r="J37" s="23"/>
    </row>
    <row r="38" spans="1:14" ht="15.75" hidden="1" customHeight="1">
      <c r="A38" s="74">
        <v>7</v>
      </c>
      <c r="B38" s="65" t="s">
        <v>109</v>
      </c>
      <c r="C38" s="66" t="s">
        <v>29</v>
      </c>
      <c r="D38" s="65" t="s">
        <v>138</v>
      </c>
      <c r="E38" s="67">
        <v>48.36</v>
      </c>
      <c r="F38" s="68">
        <f>E38*30/1000</f>
        <v>1.4507999999999999</v>
      </c>
      <c r="G38" s="68">
        <v>2391.67</v>
      </c>
      <c r="H38" s="69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4">
        <v>8</v>
      </c>
      <c r="B39" s="65" t="s">
        <v>110</v>
      </c>
      <c r="C39" s="66" t="s">
        <v>111</v>
      </c>
      <c r="D39" s="65" t="s">
        <v>66</v>
      </c>
      <c r="E39" s="67"/>
      <c r="F39" s="68">
        <v>65</v>
      </c>
      <c r="G39" s="68">
        <v>226.85</v>
      </c>
      <c r="H39" s="69">
        <f>G39*F39/1000</f>
        <v>14.74525</v>
      </c>
      <c r="I39" s="13">
        <v>0</v>
      </c>
      <c r="J39" s="23"/>
      <c r="L39" s="19"/>
      <c r="M39" s="20"/>
      <c r="N39" s="21"/>
    </row>
    <row r="40" spans="1:14" ht="15.75" hidden="1" customHeight="1">
      <c r="A40" s="74">
        <v>8</v>
      </c>
      <c r="B40" s="65" t="s">
        <v>67</v>
      </c>
      <c r="C40" s="66" t="s">
        <v>29</v>
      </c>
      <c r="D40" s="65" t="s">
        <v>112</v>
      </c>
      <c r="E40" s="68">
        <v>53.69</v>
      </c>
      <c r="F40" s="68">
        <f>SUM(E40*155/1000)</f>
        <v>8.3219499999999993</v>
      </c>
      <c r="G40" s="68">
        <v>398.95</v>
      </c>
      <c r="H40" s="69">
        <f t="shared" si="4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hidden="1" customHeight="1">
      <c r="A41" s="74">
        <v>9</v>
      </c>
      <c r="B41" s="65" t="s">
        <v>83</v>
      </c>
      <c r="C41" s="66" t="s">
        <v>104</v>
      </c>
      <c r="D41" s="65" t="s">
        <v>113</v>
      </c>
      <c r="E41" s="68">
        <v>23.93</v>
      </c>
      <c r="F41" s="68">
        <f>SUM(E41*24/1000)</f>
        <v>0.57431999999999994</v>
      </c>
      <c r="G41" s="68">
        <v>6600.74</v>
      </c>
      <c r="H41" s="69">
        <f t="shared" si="4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65" t="s">
        <v>114</v>
      </c>
      <c r="C42" s="66" t="s">
        <v>104</v>
      </c>
      <c r="D42" s="65" t="s">
        <v>68</v>
      </c>
      <c r="E42" s="68">
        <v>48.36</v>
      </c>
      <c r="F42" s="68">
        <f>SUM(E42*45/1000)</f>
        <v>2.1761999999999997</v>
      </c>
      <c r="G42" s="68">
        <v>487.61</v>
      </c>
      <c r="H42" s="69">
        <f t="shared" si="4"/>
        <v>1.0611368819999998</v>
      </c>
      <c r="I42" s="13">
        <f>F42/6*G42</f>
        <v>176.85614699999999</v>
      </c>
      <c r="J42" s="23"/>
      <c r="L42" s="19"/>
      <c r="M42" s="20"/>
      <c r="N42" s="21"/>
    </row>
    <row r="43" spans="1:14" ht="15.75" hidden="1" customHeight="1">
      <c r="A43" s="29">
        <v>11</v>
      </c>
      <c r="B43" s="65" t="s">
        <v>69</v>
      </c>
      <c r="C43" s="66" t="s">
        <v>33</v>
      </c>
      <c r="D43" s="65"/>
      <c r="E43" s="67"/>
      <c r="F43" s="68">
        <v>0.9</v>
      </c>
      <c r="G43" s="68">
        <v>907.66</v>
      </c>
      <c r="H43" s="69">
        <f t="shared" si="4"/>
        <v>0.81689400000000001</v>
      </c>
      <c r="I43" s="13">
        <f>F43/6*G43</f>
        <v>136.149</v>
      </c>
      <c r="J43" s="23"/>
      <c r="L43" s="19"/>
      <c r="M43" s="20"/>
      <c r="N43" s="21"/>
    </row>
    <row r="44" spans="1:14" ht="15.75" customHeight="1">
      <c r="A44" s="132" t="s">
        <v>144</v>
      </c>
      <c r="B44" s="133"/>
      <c r="C44" s="133"/>
      <c r="D44" s="133"/>
      <c r="E44" s="133"/>
      <c r="F44" s="133"/>
      <c r="G44" s="133"/>
      <c r="H44" s="133"/>
      <c r="I44" s="134"/>
      <c r="J44" s="23"/>
      <c r="L44" s="19"/>
      <c r="M44" s="20"/>
      <c r="N44" s="21"/>
    </row>
    <row r="45" spans="1:14" ht="17.25" customHeight="1">
      <c r="A45" s="29">
        <v>12</v>
      </c>
      <c r="B45" s="65" t="s">
        <v>115</v>
      </c>
      <c r="C45" s="66" t="s">
        <v>104</v>
      </c>
      <c r="D45" s="65" t="s">
        <v>41</v>
      </c>
      <c r="E45" s="67">
        <v>614.29999999999995</v>
      </c>
      <c r="F45" s="68">
        <f>SUM(E45*2/1000)</f>
        <v>1.2285999999999999</v>
      </c>
      <c r="G45" s="13">
        <v>1094.96</v>
      </c>
      <c r="H45" s="69">
        <f t="shared" ref="H45:H53" si="5">SUM(F45*G45/1000)</f>
        <v>1.345267856</v>
      </c>
      <c r="I45" s="13">
        <f t="shared" ref="I45:I47" si="6">F45/2*G45</f>
        <v>672.63392799999997</v>
      </c>
      <c r="J45" s="23"/>
      <c r="L45" s="19"/>
      <c r="M45" s="20"/>
      <c r="N45" s="21"/>
    </row>
    <row r="46" spans="1:14" ht="16.5" customHeight="1">
      <c r="A46" s="29">
        <v>13</v>
      </c>
      <c r="B46" s="65" t="s">
        <v>34</v>
      </c>
      <c r="C46" s="66" t="s">
        <v>104</v>
      </c>
      <c r="D46" s="65" t="s">
        <v>41</v>
      </c>
      <c r="E46" s="67">
        <v>61</v>
      </c>
      <c r="F46" s="68">
        <f>E46*2/1000</f>
        <v>0.122</v>
      </c>
      <c r="G46" s="13">
        <v>3832.4</v>
      </c>
      <c r="H46" s="69">
        <f t="shared" si="5"/>
        <v>0.46755279999999999</v>
      </c>
      <c r="I46" s="13">
        <f t="shared" si="6"/>
        <v>233.7764</v>
      </c>
      <c r="J46" s="23"/>
      <c r="L46" s="19"/>
      <c r="M46" s="20"/>
      <c r="N46" s="21"/>
    </row>
    <row r="47" spans="1:14" ht="18" customHeight="1">
      <c r="A47" s="29">
        <v>14</v>
      </c>
      <c r="B47" s="65" t="s">
        <v>35</v>
      </c>
      <c r="C47" s="66" t="s">
        <v>104</v>
      </c>
      <c r="D47" s="65" t="s">
        <v>41</v>
      </c>
      <c r="E47" s="67">
        <v>3135.64</v>
      </c>
      <c r="F47" s="68">
        <f>SUM(E47*2/1000)</f>
        <v>6.27128</v>
      </c>
      <c r="G47" s="13">
        <v>1564.24</v>
      </c>
      <c r="H47" s="69">
        <f t="shared" si="5"/>
        <v>9.8097870272000005</v>
      </c>
      <c r="I47" s="13">
        <f t="shared" si="6"/>
        <v>4904.8935136</v>
      </c>
      <c r="J47" s="23"/>
      <c r="L47" s="19"/>
      <c r="M47" s="20"/>
      <c r="N47" s="21"/>
    </row>
    <row r="48" spans="1:14" ht="18" customHeight="1">
      <c r="A48" s="29">
        <v>15</v>
      </c>
      <c r="B48" s="65" t="s">
        <v>36</v>
      </c>
      <c r="C48" s="66" t="s">
        <v>104</v>
      </c>
      <c r="D48" s="65" t="s">
        <v>41</v>
      </c>
      <c r="E48" s="67">
        <v>1678.47</v>
      </c>
      <c r="F48" s="68">
        <f>SUM(E48*2/1000)</f>
        <v>3.3569400000000003</v>
      </c>
      <c r="G48" s="13">
        <v>1078.3599999999999</v>
      </c>
      <c r="H48" s="69">
        <f t="shared" si="5"/>
        <v>3.6199898183999997</v>
      </c>
      <c r="I48" s="13">
        <f>F48/2*G48</f>
        <v>1809.9949091999999</v>
      </c>
      <c r="J48" s="23"/>
      <c r="L48" s="19"/>
      <c r="M48" s="20"/>
      <c r="N48" s="21"/>
    </row>
    <row r="49" spans="1:22" ht="30" customHeight="1">
      <c r="A49" s="29">
        <v>16</v>
      </c>
      <c r="B49" s="65" t="s">
        <v>55</v>
      </c>
      <c r="C49" s="66" t="s">
        <v>104</v>
      </c>
      <c r="D49" s="65" t="s">
        <v>148</v>
      </c>
      <c r="E49" s="67">
        <v>614.29999999999995</v>
      </c>
      <c r="F49" s="68">
        <f>SUM(E49*5/1000)</f>
        <v>3.0714999999999999</v>
      </c>
      <c r="G49" s="13">
        <v>1838.49</v>
      </c>
      <c r="H49" s="69">
        <f t="shared" si="5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>
        <v>17</v>
      </c>
      <c r="B50" s="65" t="s">
        <v>116</v>
      </c>
      <c r="C50" s="66" t="s">
        <v>104</v>
      </c>
      <c r="D50" s="65" t="s">
        <v>41</v>
      </c>
      <c r="E50" s="67">
        <v>614.29999999999995</v>
      </c>
      <c r="F50" s="68">
        <f>SUM(E50*2/1000)</f>
        <v>1.2285999999999999</v>
      </c>
      <c r="G50" s="13">
        <v>1380.31</v>
      </c>
      <c r="H50" s="69">
        <f t="shared" si="5"/>
        <v>1.6958488659999997</v>
      </c>
      <c r="I50" s="13">
        <f>F50/2*G50</f>
        <v>847.92443299999991</v>
      </c>
      <c r="J50" s="23"/>
      <c r="L50" s="19"/>
      <c r="M50" s="20"/>
      <c r="N50" s="21"/>
    </row>
    <row r="51" spans="1:22" ht="31.5" hidden="1" customHeight="1">
      <c r="A51" s="29">
        <v>18</v>
      </c>
      <c r="B51" s="65" t="s">
        <v>117</v>
      </c>
      <c r="C51" s="66" t="s">
        <v>37</v>
      </c>
      <c r="D51" s="65" t="s">
        <v>41</v>
      </c>
      <c r="E51" s="67">
        <v>20</v>
      </c>
      <c r="F51" s="68">
        <f>SUM(E51*2/100)</f>
        <v>0.4</v>
      </c>
      <c r="G51" s="13">
        <v>3519.56</v>
      </c>
      <c r="H51" s="69">
        <f t="shared" si="5"/>
        <v>1.407824</v>
      </c>
      <c r="I51" s="13">
        <f t="shared" ref="I51:I52" si="7">F51/2*G51</f>
        <v>703.91200000000003</v>
      </c>
      <c r="J51" s="23"/>
      <c r="L51" s="19"/>
      <c r="M51" s="20"/>
      <c r="N51" s="21"/>
    </row>
    <row r="52" spans="1:22" ht="15.75" hidden="1" customHeight="1">
      <c r="A52" s="29">
        <v>19</v>
      </c>
      <c r="B52" s="65" t="s">
        <v>38</v>
      </c>
      <c r="C52" s="66" t="s">
        <v>39</v>
      </c>
      <c r="D52" s="65" t="s">
        <v>41</v>
      </c>
      <c r="E52" s="67">
        <v>1</v>
      </c>
      <c r="F52" s="68">
        <v>0.02</v>
      </c>
      <c r="G52" s="13">
        <v>6428.82</v>
      </c>
      <c r="H52" s="69">
        <f t="shared" si="5"/>
        <v>0.12857640000000001</v>
      </c>
      <c r="I52" s="13">
        <f t="shared" si="7"/>
        <v>64.288200000000003</v>
      </c>
      <c r="J52" s="23"/>
      <c r="L52" s="19"/>
      <c r="M52" s="20"/>
      <c r="N52" s="21"/>
    </row>
    <row r="53" spans="1:22" ht="15.75" customHeight="1">
      <c r="A53" s="29">
        <v>17</v>
      </c>
      <c r="B53" s="65" t="s">
        <v>40</v>
      </c>
      <c r="C53" s="66" t="s">
        <v>118</v>
      </c>
      <c r="D53" s="65" t="s">
        <v>70</v>
      </c>
      <c r="E53" s="67">
        <v>170</v>
      </c>
      <c r="F53" s="68">
        <f>SUM(E53)*3</f>
        <v>510</v>
      </c>
      <c r="G53" s="13">
        <v>74.709999999999994</v>
      </c>
      <c r="H53" s="69">
        <f t="shared" si="5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32" t="s">
        <v>145</v>
      </c>
      <c r="B54" s="133"/>
      <c r="C54" s="133"/>
      <c r="D54" s="133"/>
      <c r="E54" s="133"/>
      <c r="F54" s="133"/>
      <c r="G54" s="133"/>
      <c r="H54" s="133"/>
      <c r="I54" s="134"/>
      <c r="J54" s="23"/>
      <c r="L54" s="19"/>
      <c r="M54" s="20"/>
      <c r="N54" s="21"/>
    </row>
    <row r="55" spans="1:22" ht="15.75" hidden="1" customHeight="1">
      <c r="A55" s="29"/>
      <c r="B55" s="90" t="s">
        <v>42</v>
      </c>
      <c r="C55" s="66"/>
      <c r="D55" s="65"/>
      <c r="E55" s="67"/>
      <c r="F55" s="68"/>
      <c r="G55" s="68"/>
      <c r="H55" s="69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5" t="s">
        <v>119</v>
      </c>
      <c r="C56" s="66" t="s">
        <v>94</v>
      </c>
      <c r="D56" s="65" t="s">
        <v>120</v>
      </c>
      <c r="E56" s="67">
        <v>63.07</v>
      </c>
      <c r="F56" s="68">
        <f>SUM(E56*6/100)</f>
        <v>3.7842000000000002</v>
      </c>
      <c r="G56" s="13">
        <v>1759.9</v>
      </c>
      <c r="H56" s="69">
        <f>SUM(F56*G56/1000)</f>
        <v>6.6598135800000007</v>
      </c>
      <c r="I56" s="13">
        <f>F56/6*G56</f>
        <v>1109.9689300000002</v>
      </c>
      <c r="J56" s="23"/>
      <c r="L56" s="19"/>
    </row>
    <row r="57" spans="1:22" ht="15.75" customHeight="1">
      <c r="A57" s="29"/>
      <c r="B57" s="91" t="s">
        <v>43</v>
      </c>
      <c r="C57" s="75"/>
      <c r="D57" s="76"/>
      <c r="E57" s="77"/>
      <c r="F57" s="78"/>
      <c r="G57" s="13"/>
      <c r="H57" s="79"/>
      <c r="I57" s="13"/>
    </row>
    <row r="58" spans="1:22" ht="15.75" hidden="1" customHeight="1">
      <c r="A58" s="29"/>
      <c r="B58" s="76" t="s">
        <v>139</v>
      </c>
      <c r="C58" s="75" t="s">
        <v>51</v>
      </c>
      <c r="D58" s="76" t="s">
        <v>52</v>
      </c>
      <c r="E58" s="77">
        <v>614.29999999999995</v>
      </c>
      <c r="F58" s="78">
        <v>6.1429999999999998</v>
      </c>
      <c r="G58" s="13">
        <v>902.66</v>
      </c>
      <c r="H58" s="79">
        <f>F58*G58/1000</f>
        <v>5.5450403799999997</v>
      </c>
      <c r="I58" s="13">
        <v>0</v>
      </c>
    </row>
    <row r="59" spans="1:22" ht="15.75" customHeight="1">
      <c r="A59" s="29">
        <v>18</v>
      </c>
      <c r="B59" s="76" t="s">
        <v>91</v>
      </c>
      <c r="C59" s="75" t="s">
        <v>25</v>
      </c>
      <c r="D59" s="76" t="s">
        <v>30</v>
      </c>
      <c r="E59" s="77">
        <v>100</v>
      </c>
      <c r="F59" s="80">
        <f>E59*12</f>
        <v>1200</v>
      </c>
      <c r="G59" s="59">
        <v>1.2</v>
      </c>
      <c r="H59" s="78">
        <f>F59*G59/1000</f>
        <v>1.44</v>
      </c>
      <c r="I59" s="13">
        <f>F59/12*G59</f>
        <v>120</v>
      </c>
    </row>
    <row r="60" spans="1:22" ht="15.75" customHeight="1">
      <c r="A60" s="29"/>
      <c r="B60" s="91" t="s">
        <v>44</v>
      </c>
      <c r="C60" s="75"/>
      <c r="D60" s="76"/>
      <c r="E60" s="77"/>
      <c r="F60" s="80"/>
      <c r="G60" s="80"/>
      <c r="H60" s="78" t="s">
        <v>137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22</v>
      </c>
      <c r="B61" s="14" t="s">
        <v>45</v>
      </c>
      <c r="C61" s="16" t="s">
        <v>118</v>
      </c>
      <c r="D61" s="14" t="s">
        <v>66</v>
      </c>
      <c r="E61" s="18">
        <v>25</v>
      </c>
      <c r="F61" s="68">
        <v>25</v>
      </c>
      <c r="G61" s="13">
        <v>252.96</v>
      </c>
      <c r="H61" s="81">
        <f t="shared" ref="H61:H75" si="8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118</v>
      </c>
      <c r="D62" s="14" t="s">
        <v>66</v>
      </c>
      <c r="E62" s="18">
        <v>2</v>
      </c>
      <c r="F62" s="68">
        <v>2</v>
      </c>
      <c r="G62" s="13">
        <v>86.74</v>
      </c>
      <c r="H62" s="81">
        <f t="shared" si="8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121</v>
      </c>
      <c r="D63" s="14" t="s">
        <v>52</v>
      </c>
      <c r="E63" s="67">
        <v>8692</v>
      </c>
      <c r="F63" s="13">
        <f>SUM(E63/100)</f>
        <v>86.92</v>
      </c>
      <c r="G63" s="13">
        <v>241.31</v>
      </c>
      <c r="H63" s="81">
        <f t="shared" si="8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30"/>
      <c r="S63" s="130"/>
      <c r="T63" s="130"/>
      <c r="U63" s="130"/>
    </row>
    <row r="64" spans="1:22" ht="15.75" hidden="1" customHeight="1">
      <c r="A64" s="29"/>
      <c r="B64" s="14" t="s">
        <v>48</v>
      </c>
      <c r="C64" s="16" t="s">
        <v>122</v>
      </c>
      <c r="D64" s="14"/>
      <c r="E64" s="67">
        <v>8692</v>
      </c>
      <c r="F64" s="13">
        <f>SUM(E64/1000)</f>
        <v>8.6920000000000002</v>
      </c>
      <c r="G64" s="13">
        <v>187.91</v>
      </c>
      <c r="H64" s="81">
        <f t="shared" si="8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76</v>
      </c>
      <c r="D65" s="14" t="s">
        <v>52</v>
      </c>
      <c r="E65" s="67">
        <v>855</v>
      </c>
      <c r="F65" s="13">
        <f>SUM(E65/100)</f>
        <v>8.5500000000000007</v>
      </c>
      <c r="G65" s="13">
        <v>2359.7199999999998</v>
      </c>
      <c r="H65" s="81">
        <f t="shared" si="8"/>
        <v>20.175605999999998</v>
      </c>
      <c r="I65" s="13">
        <v>0</v>
      </c>
    </row>
    <row r="66" spans="1:9" ht="15.75" hidden="1" customHeight="1">
      <c r="A66" s="29"/>
      <c r="B66" s="82" t="s">
        <v>123</v>
      </c>
      <c r="C66" s="16" t="s">
        <v>33</v>
      </c>
      <c r="D66" s="14"/>
      <c r="E66" s="67">
        <v>8.6</v>
      </c>
      <c r="F66" s="13">
        <f>SUM(E66)</f>
        <v>8.6</v>
      </c>
      <c r="G66" s="13">
        <v>42.67</v>
      </c>
      <c r="H66" s="81">
        <f t="shared" si="8"/>
        <v>0.36696200000000001</v>
      </c>
      <c r="I66" s="13">
        <v>0</v>
      </c>
    </row>
    <row r="67" spans="1:9" ht="15.75" hidden="1" customHeight="1">
      <c r="A67" s="29"/>
      <c r="B67" s="82" t="s">
        <v>124</v>
      </c>
      <c r="C67" s="16" t="s">
        <v>33</v>
      </c>
      <c r="D67" s="14"/>
      <c r="E67" s="67">
        <v>8.6</v>
      </c>
      <c r="F67" s="13">
        <f>SUM(E67)</f>
        <v>8.6</v>
      </c>
      <c r="G67" s="13">
        <v>39.81</v>
      </c>
      <c r="H67" s="81">
        <f t="shared" si="8"/>
        <v>0.342366</v>
      </c>
      <c r="I67" s="13">
        <v>0</v>
      </c>
    </row>
    <row r="68" spans="1:9" ht="15.75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5</v>
      </c>
      <c r="F68" s="68">
        <v>5</v>
      </c>
      <c r="G68" s="13">
        <v>56.74</v>
      </c>
      <c r="H68" s="81">
        <f t="shared" si="8"/>
        <v>0.28370000000000001</v>
      </c>
      <c r="I68" s="13">
        <f>F68*G68</f>
        <v>283.7</v>
      </c>
    </row>
    <row r="69" spans="1:9" ht="15.75" customHeight="1">
      <c r="A69" s="29"/>
      <c r="B69" s="92" t="s">
        <v>71</v>
      </c>
      <c r="C69" s="16"/>
      <c r="D69" s="14"/>
      <c r="E69" s="18"/>
      <c r="F69" s="13"/>
      <c r="G69" s="13"/>
      <c r="H69" s="81" t="s">
        <v>137</v>
      </c>
      <c r="I69" s="13"/>
    </row>
    <row r="70" spans="1:9" ht="15.75" hidden="1" customHeight="1">
      <c r="A70" s="29"/>
      <c r="B70" s="14" t="s">
        <v>130</v>
      </c>
      <c r="C70" s="16" t="s">
        <v>131</v>
      </c>
      <c r="D70" s="14"/>
      <c r="E70" s="18">
        <v>4</v>
      </c>
      <c r="F70" s="13">
        <f>E70</f>
        <v>4</v>
      </c>
      <c r="G70" s="13">
        <v>113.57</v>
      </c>
      <c r="H70" s="81">
        <f t="shared" si="8"/>
        <v>0.45427999999999996</v>
      </c>
      <c r="I70" s="13">
        <v>0</v>
      </c>
    </row>
    <row r="71" spans="1:9" ht="15.75" customHeight="1">
      <c r="A71" s="29">
        <v>20</v>
      </c>
      <c r="B71" s="14" t="s">
        <v>72</v>
      </c>
      <c r="C71" s="16" t="s">
        <v>74</v>
      </c>
      <c r="D71" s="14"/>
      <c r="E71" s="18">
        <v>20</v>
      </c>
      <c r="F71" s="13">
        <v>2</v>
      </c>
      <c r="G71" s="13">
        <v>570.54</v>
      </c>
      <c r="H71" s="81">
        <f t="shared" si="8"/>
        <v>1.1410799999999999</v>
      </c>
      <c r="I71" s="13">
        <f>G71*4</f>
        <v>2282.16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59">
        <v>2</v>
      </c>
      <c r="G72" s="13">
        <v>970.21</v>
      </c>
      <c r="H72" s="81">
        <f>F72*G72/1000</f>
        <v>1.94042</v>
      </c>
      <c r="I72" s="13">
        <v>0</v>
      </c>
    </row>
    <row r="73" spans="1:9" ht="15.75" hidden="1" customHeight="1">
      <c r="A73" s="29"/>
      <c r="B73" s="14" t="s">
        <v>88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81">
        <f>G73*F73/1000</f>
        <v>0.81558000000000008</v>
      </c>
      <c r="I73" s="13">
        <v>0</v>
      </c>
    </row>
    <row r="74" spans="1:9" ht="15.75" hidden="1" customHeight="1">
      <c r="A74" s="29"/>
      <c r="B74" s="84" t="s">
        <v>75</v>
      </c>
      <c r="C74" s="16"/>
      <c r="D74" s="14"/>
      <c r="E74" s="18"/>
      <c r="F74" s="13"/>
      <c r="G74" s="13" t="s">
        <v>137</v>
      </c>
      <c r="H74" s="81" t="s">
        <v>137</v>
      </c>
      <c r="I74" s="13"/>
    </row>
    <row r="75" spans="1:9" ht="15.75" hidden="1" customHeight="1">
      <c r="A75" s="29"/>
      <c r="B75" s="43" t="s">
        <v>127</v>
      </c>
      <c r="C75" s="16" t="s">
        <v>76</v>
      </c>
      <c r="D75" s="14"/>
      <c r="E75" s="18"/>
      <c r="F75" s="13">
        <v>1</v>
      </c>
      <c r="G75" s="13">
        <v>3138.63</v>
      </c>
      <c r="H75" s="81">
        <f t="shared" si="8"/>
        <v>3.13863</v>
      </c>
      <c r="I75" s="13">
        <v>0</v>
      </c>
    </row>
    <row r="76" spans="1:9" ht="15.75" hidden="1" customHeight="1">
      <c r="A76" s="29"/>
      <c r="B76" s="57" t="s">
        <v>125</v>
      </c>
      <c r="C76" s="84"/>
      <c r="D76" s="31"/>
      <c r="E76" s="32"/>
      <c r="F76" s="71"/>
      <c r="G76" s="71"/>
      <c r="H76" s="85">
        <f>SUM(H56:H75)</f>
        <v>71.408936880000013</v>
      </c>
      <c r="I76" s="71"/>
    </row>
    <row r="77" spans="1:9" ht="15.75" hidden="1" customHeight="1">
      <c r="A77" s="44"/>
      <c r="B77" s="65" t="s">
        <v>126</v>
      </c>
      <c r="C77" s="16"/>
      <c r="D77" s="14"/>
      <c r="E77" s="60"/>
      <c r="F77" s="13">
        <v>1</v>
      </c>
      <c r="G77" s="13">
        <v>19285</v>
      </c>
      <c r="H77" s="81">
        <f>G77*F77/1000</f>
        <v>19.285</v>
      </c>
      <c r="I77" s="13">
        <v>0</v>
      </c>
    </row>
    <row r="78" spans="1:9" ht="15.75" customHeight="1">
      <c r="A78" s="132" t="s">
        <v>146</v>
      </c>
      <c r="B78" s="133"/>
      <c r="C78" s="133"/>
      <c r="D78" s="133"/>
      <c r="E78" s="133"/>
      <c r="F78" s="133"/>
      <c r="G78" s="133"/>
      <c r="H78" s="133"/>
      <c r="I78" s="134"/>
    </row>
    <row r="79" spans="1:9" ht="15.75" customHeight="1">
      <c r="A79" s="29">
        <v>21</v>
      </c>
      <c r="B79" s="65" t="s">
        <v>128</v>
      </c>
      <c r="C79" s="16" t="s">
        <v>53</v>
      </c>
      <c r="D79" s="86" t="s">
        <v>54</v>
      </c>
      <c r="E79" s="13">
        <v>2177.1</v>
      </c>
      <c r="F79" s="13">
        <f>SUM(E79*12)</f>
        <v>26125.199999999997</v>
      </c>
      <c r="G79" s="13">
        <v>2.7</v>
      </c>
      <c r="H79" s="81">
        <f>SUM(F79*G79/1000)</f>
        <v>70.538039999999995</v>
      </c>
      <c r="I79" s="13">
        <f>F79/12*G79</f>
        <v>5878.17</v>
      </c>
    </row>
    <row r="80" spans="1:9" ht="31.5" customHeight="1">
      <c r="A80" s="29">
        <v>22</v>
      </c>
      <c r="B80" s="14" t="s">
        <v>77</v>
      </c>
      <c r="C80" s="16"/>
      <c r="D80" s="86" t="s">
        <v>54</v>
      </c>
      <c r="E80" s="67">
        <f>E79</f>
        <v>2177.1</v>
      </c>
      <c r="F80" s="13">
        <f>E80*12</f>
        <v>26125.199999999997</v>
      </c>
      <c r="G80" s="13">
        <v>2.1800000000000002</v>
      </c>
      <c r="H80" s="81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80</v>
      </c>
      <c r="C81" s="84"/>
      <c r="D81" s="83"/>
      <c r="E81" s="71"/>
      <c r="F81" s="71"/>
      <c r="G81" s="71"/>
      <c r="H81" s="85">
        <f>H80</f>
        <v>56.952935999999994</v>
      </c>
      <c r="I81" s="71">
        <f>I80+I79+I71+I68+I59+I53+I49+I48+I47+I46+I45+I33+I32+I30+I29+I26+I25+I21+I20+I18+I17+I16</f>
        <v>66173.920023944447</v>
      </c>
    </row>
    <row r="82" spans="1:9" ht="15.75" customHeight="1">
      <c r="A82" s="135" t="s">
        <v>59</v>
      </c>
      <c r="B82" s="136"/>
      <c r="C82" s="136"/>
      <c r="D82" s="136"/>
      <c r="E82" s="136"/>
      <c r="F82" s="136"/>
      <c r="G82" s="136"/>
      <c r="H82" s="136"/>
      <c r="I82" s="137"/>
    </row>
    <row r="83" spans="1:9" ht="15.75" customHeight="1">
      <c r="A83" s="29">
        <v>23</v>
      </c>
      <c r="B83" s="47" t="s">
        <v>168</v>
      </c>
      <c r="C83" s="64" t="s">
        <v>169</v>
      </c>
      <c r="D83" s="48"/>
      <c r="E83" s="34"/>
      <c r="F83" s="34">
        <f>(3*8+15+3+20+3+3)/3</f>
        <v>22.666666666666668</v>
      </c>
      <c r="G83" s="34">
        <v>7709.44</v>
      </c>
      <c r="H83" s="94">
        <f>G83*F83/1000</f>
        <v>174.74730666666667</v>
      </c>
      <c r="I83" s="88">
        <f>G83*0.01</f>
        <v>77.094399999999993</v>
      </c>
    </row>
    <row r="84" spans="1:9" ht="15.75" customHeight="1">
      <c r="A84" s="29">
        <v>24</v>
      </c>
      <c r="B84" s="103" t="s">
        <v>92</v>
      </c>
      <c r="C84" s="49" t="s">
        <v>118</v>
      </c>
      <c r="D84" s="35"/>
      <c r="E84" s="17"/>
      <c r="F84" s="34">
        <f>274/10</f>
        <v>27.4</v>
      </c>
      <c r="G84" s="34">
        <v>164.03</v>
      </c>
      <c r="H84" s="94">
        <f t="shared" ref="H84:H86" si="9">G84*F84/1000</f>
        <v>4.4944219999999993</v>
      </c>
      <c r="I84" s="88">
        <f>G84*2</f>
        <v>328.06</v>
      </c>
    </row>
    <row r="85" spans="1:9" ht="31.5" customHeight="1">
      <c r="A85" s="29">
        <v>25</v>
      </c>
      <c r="B85" s="47" t="s">
        <v>141</v>
      </c>
      <c r="C85" s="64" t="s">
        <v>37</v>
      </c>
      <c r="D85" s="35"/>
      <c r="E85" s="17"/>
      <c r="F85" s="34">
        <v>0.1</v>
      </c>
      <c r="G85" s="34">
        <v>3724.37</v>
      </c>
      <c r="H85" s="34">
        <f t="shared" si="9"/>
        <v>0.37243700000000002</v>
      </c>
      <c r="I85" s="88">
        <f>G85*0.01</f>
        <v>37.243699999999997</v>
      </c>
    </row>
    <row r="86" spans="1:9" ht="19.5" customHeight="1">
      <c r="A86" s="29">
        <v>26</v>
      </c>
      <c r="B86" s="103" t="s">
        <v>82</v>
      </c>
      <c r="C86" s="49" t="s">
        <v>118</v>
      </c>
      <c r="D86" s="48"/>
      <c r="E86" s="34"/>
      <c r="F86" s="34">
        <v>4</v>
      </c>
      <c r="G86" s="34">
        <v>197.48</v>
      </c>
      <c r="H86" s="94">
        <f t="shared" si="9"/>
        <v>0.78991999999999996</v>
      </c>
      <c r="I86" s="88">
        <f>G86*1</f>
        <v>197.48</v>
      </c>
    </row>
    <row r="87" spans="1:9" ht="15.75" hidden="1" customHeight="1">
      <c r="A87" s="29">
        <v>31</v>
      </c>
      <c r="B87" s="47"/>
      <c r="C87" s="64"/>
      <c r="D87" s="43"/>
      <c r="E87" s="13"/>
      <c r="F87" s="13">
        <v>4</v>
      </c>
      <c r="G87" s="13"/>
      <c r="H87" s="81">
        <f>G87*F87/1000</f>
        <v>0</v>
      </c>
      <c r="I87" s="88"/>
    </row>
    <row r="88" spans="1:9" ht="31.5" hidden="1" customHeight="1">
      <c r="A88" s="29">
        <v>32</v>
      </c>
      <c r="B88" s="47"/>
      <c r="C88" s="64"/>
      <c r="D88" s="43"/>
      <c r="E88" s="13"/>
      <c r="F88" s="13">
        <v>8</v>
      </c>
      <c r="G88" s="13"/>
      <c r="H88" s="13">
        <f>G88*F88/1000</f>
        <v>0</v>
      </c>
      <c r="I88" s="88"/>
    </row>
    <row r="89" spans="1:9" ht="15.75" hidden="1" customHeight="1">
      <c r="A89" s="29">
        <v>33</v>
      </c>
      <c r="B89" s="47"/>
      <c r="C89" s="64"/>
      <c r="D89" s="43"/>
      <c r="E89" s="13"/>
      <c r="F89" s="13">
        <v>2</v>
      </c>
      <c r="G89" s="13"/>
      <c r="H89" s="81">
        <f t="shared" ref="H89:H91" si="10">G89*F89/1000</f>
        <v>0</v>
      </c>
      <c r="I89" s="88"/>
    </row>
    <row r="90" spans="1:9" ht="15.75" hidden="1" customHeight="1">
      <c r="A90" s="29">
        <v>34</v>
      </c>
      <c r="B90" s="47"/>
      <c r="C90" s="64"/>
      <c r="D90" s="43"/>
      <c r="E90" s="13"/>
      <c r="F90" s="13">
        <v>1</v>
      </c>
      <c r="G90" s="13"/>
      <c r="H90" s="81">
        <f t="shared" si="10"/>
        <v>0</v>
      </c>
      <c r="I90" s="88"/>
    </row>
    <row r="91" spans="1:9" ht="15.75" hidden="1" customHeight="1">
      <c r="A91" s="120">
        <v>35</v>
      </c>
      <c r="B91" s="76"/>
      <c r="C91" s="75"/>
      <c r="D91" s="43"/>
      <c r="E91" s="13"/>
      <c r="F91" s="13">
        <v>1</v>
      </c>
      <c r="G91" s="13"/>
      <c r="H91" s="81">
        <f t="shared" si="10"/>
        <v>0</v>
      </c>
      <c r="I91" s="88"/>
    </row>
    <row r="92" spans="1:9" ht="15.75" customHeight="1">
      <c r="A92" s="29">
        <v>27</v>
      </c>
      <c r="B92" s="103" t="s">
        <v>232</v>
      </c>
      <c r="C92" s="49" t="s">
        <v>233</v>
      </c>
      <c r="D92" s="16" t="s">
        <v>237</v>
      </c>
      <c r="E92" s="13"/>
      <c r="F92" s="13"/>
      <c r="G92" s="34">
        <v>253.69</v>
      </c>
      <c r="H92" s="81"/>
      <c r="I92" s="88">
        <f>G92*7.5</f>
        <v>1902.675</v>
      </c>
    </row>
    <row r="93" spans="1:9" ht="15.75" customHeight="1">
      <c r="A93" s="29">
        <v>28</v>
      </c>
      <c r="B93" s="103" t="s">
        <v>234</v>
      </c>
      <c r="C93" s="49" t="s">
        <v>235</v>
      </c>
      <c r="D93" s="16" t="s">
        <v>236</v>
      </c>
      <c r="E93" s="13"/>
      <c r="F93" s="13"/>
      <c r="G93" s="34">
        <v>1645</v>
      </c>
      <c r="H93" s="81"/>
      <c r="I93" s="88">
        <f>G93*3</f>
        <v>4935</v>
      </c>
    </row>
    <row r="94" spans="1:9" ht="31.5" customHeight="1">
      <c r="A94" s="29">
        <v>29</v>
      </c>
      <c r="B94" s="103" t="s">
        <v>140</v>
      </c>
      <c r="C94" s="49" t="s">
        <v>118</v>
      </c>
      <c r="D94" s="16"/>
      <c r="E94" s="13"/>
      <c r="F94" s="13"/>
      <c r="G94" s="34">
        <v>2388.9</v>
      </c>
      <c r="H94" s="81"/>
      <c r="I94" s="88">
        <f>G94*1</f>
        <v>2388.9</v>
      </c>
    </row>
    <row r="95" spans="1:9" ht="15.75" customHeight="1">
      <c r="A95" s="29"/>
      <c r="B95" s="41" t="s">
        <v>50</v>
      </c>
      <c r="C95" s="37"/>
      <c r="D95" s="45"/>
      <c r="E95" s="37">
        <v>1</v>
      </c>
      <c r="F95" s="37"/>
      <c r="G95" s="37"/>
      <c r="H95" s="37"/>
      <c r="I95" s="32">
        <f>SUM(I83:I94)</f>
        <v>9866.4531000000006</v>
      </c>
    </row>
    <row r="96" spans="1:9" ht="15.75" customHeight="1">
      <c r="A96" s="29"/>
      <c r="B96" s="43" t="s">
        <v>78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6"/>
      <c r="B97" s="42" t="s">
        <v>165</v>
      </c>
      <c r="C97" s="33"/>
      <c r="D97" s="33"/>
      <c r="E97" s="33"/>
      <c r="F97" s="33"/>
      <c r="G97" s="33"/>
      <c r="H97" s="33"/>
      <c r="I97" s="40">
        <f>I81+I95</f>
        <v>76040.373123944446</v>
      </c>
    </row>
    <row r="98" spans="1:9" ht="15.75">
      <c r="A98" s="131" t="s">
        <v>264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>
      <c r="A99" s="58"/>
      <c r="B99" s="143" t="s">
        <v>265</v>
      </c>
      <c r="C99" s="143"/>
      <c r="D99" s="143"/>
      <c r="E99" s="143"/>
      <c r="F99" s="143"/>
      <c r="G99" s="143"/>
      <c r="H99" s="63"/>
      <c r="I99" s="3"/>
    </row>
    <row r="100" spans="1:9">
      <c r="A100" s="55"/>
      <c r="B100" s="140" t="s">
        <v>6</v>
      </c>
      <c r="C100" s="140"/>
      <c r="D100" s="140"/>
      <c r="E100" s="140"/>
      <c r="F100" s="140"/>
      <c r="G100" s="140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44" t="s">
        <v>7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ht="15.75">
      <c r="A103" s="144" t="s">
        <v>8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127" t="s">
        <v>60</v>
      </c>
      <c r="B104" s="127"/>
      <c r="C104" s="127"/>
      <c r="D104" s="127"/>
      <c r="E104" s="127"/>
      <c r="F104" s="127"/>
      <c r="G104" s="127"/>
      <c r="H104" s="127"/>
      <c r="I104" s="127"/>
    </row>
    <row r="105" spans="1:9" ht="15.75">
      <c r="A105" s="11"/>
    </row>
    <row r="106" spans="1:9" ht="15.75">
      <c r="A106" s="128" t="s">
        <v>9</v>
      </c>
      <c r="B106" s="128"/>
      <c r="C106" s="128"/>
      <c r="D106" s="128"/>
      <c r="E106" s="128"/>
      <c r="F106" s="128"/>
      <c r="G106" s="128"/>
      <c r="H106" s="128"/>
      <c r="I106" s="128"/>
    </row>
    <row r="107" spans="1:9" ht="15.75">
      <c r="A107" s="4"/>
    </row>
    <row r="108" spans="1:9" ht="15.75">
      <c r="B108" s="53" t="s">
        <v>10</v>
      </c>
      <c r="C108" s="139" t="s">
        <v>90</v>
      </c>
      <c r="D108" s="139"/>
      <c r="E108" s="139"/>
      <c r="F108" s="61"/>
      <c r="I108" s="54"/>
    </row>
    <row r="109" spans="1:9">
      <c r="A109" s="55"/>
      <c r="C109" s="140" t="s">
        <v>11</v>
      </c>
      <c r="D109" s="140"/>
      <c r="E109" s="140"/>
      <c r="F109" s="24"/>
      <c r="I109" s="52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53" t="s">
        <v>13</v>
      </c>
      <c r="C111" s="141"/>
      <c r="D111" s="141"/>
      <c r="E111" s="141"/>
      <c r="F111" s="62"/>
      <c r="I111" s="54"/>
    </row>
    <row r="112" spans="1:9">
      <c r="A112" s="55"/>
      <c r="C112" s="130" t="s">
        <v>11</v>
      </c>
      <c r="D112" s="130"/>
      <c r="E112" s="130"/>
      <c r="F112" s="55"/>
      <c r="I112" s="52" t="s">
        <v>12</v>
      </c>
    </row>
    <row r="113" spans="1:9" ht="15.75">
      <c r="A113" s="4" t="s">
        <v>14</v>
      </c>
    </row>
    <row r="114" spans="1:9">
      <c r="A114" s="142" t="s">
        <v>15</v>
      </c>
      <c r="B114" s="142"/>
      <c r="C114" s="142"/>
      <c r="D114" s="142"/>
      <c r="E114" s="142"/>
      <c r="F114" s="142"/>
      <c r="G114" s="142"/>
      <c r="H114" s="142"/>
      <c r="I114" s="142"/>
    </row>
    <row r="115" spans="1:9" ht="45" customHeight="1">
      <c r="A115" s="138" t="s">
        <v>16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30" customHeight="1">
      <c r="A116" s="138" t="s">
        <v>17</v>
      </c>
      <c r="B116" s="138"/>
      <c r="C116" s="138"/>
      <c r="D116" s="138"/>
      <c r="E116" s="138"/>
      <c r="F116" s="138"/>
      <c r="G116" s="138"/>
      <c r="H116" s="138"/>
      <c r="I116" s="138"/>
    </row>
    <row r="117" spans="1:9" ht="30" customHeight="1">
      <c r="A117" s="138" t="s">
        <v>21</v>
      </c>
      <c r="B117" s="138"/>
      <c r="C117" s="138"/>
      <c r="D117" s="138"/>
      <c r="E117" s="138"/>
      <c r="F117" s="138"/>
      <c r="G117" s="138"/>
      <c r="H117" s="138"/>
      <c r="I117" s="138"/>
    </row>
    <row r="118" spans="1:9" ht="15" customHeight="1">
      <c r="A118" s="138" t="s">
        <v>20</v>
      </c>
      <c r="B118" s="138"/>
      <c r="C118" s="138"/>
      <c r="D118" s="138"/>
      <c r="E118" s="138"/>
      <c r="F118" s="138"/>
      <c r="G118" s="138"/>
      <c r="H118" s="138"/>
      <c r="I118" s="138"/>
    </row>
  </sheetData>
  <autoFilter ref="I12:I58"/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7:I27"/>
    <mergeCell ref="A44:I44"/>
    <mergeCell ref="A54:I54"/>
    <mergeCell ref="A98:I98"/>
    <mergeCell ref="B99:G99"/>
    <mergeCell ref="B100:G100"/>
    <mergeCell ref="A102:I102"/>
    <mergeCell ref="A103:I103"/>
    <mergeCell ref="A82:I82"/>
    <mergeCell ref="R63:U63"/>
    <mergeCell ref="A78:I78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'09.18'!Заголовки_для_печати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2017-12-01T06:48:12Z</cp:lastPrinted>
  <dcterms:created xsi:type="dcterms:W3CDTF">2016-03-25T08:33:47Z</dcterms:created>
  <dcterms:modified xsi:type="dcterms:W3CDTF">2019-01-31T12:33:45Z</dcterms:modified>
</cp:coreProperties>
</file>