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5" yWindow="-75" windowWidth="16065" windowHeight="11280" activeTab="11"/>
  </bookViews>
  <sheets>
    <sheet name="01.17" sheetId="17" r:id="rId1"/>
    <sheet name="02.17" sheetId="18" r:id="rId2"/>
    <sheet name="03.17" sheetId="19" r:id="rId3"/>
    <sheet name="04.17" sheetId="20" r:id="rId4"/>
    <sheet name="05.17" sheetId="21" r:id="rId5"/>
    <sheet name="06.17" sheetId="22" r:id="rId6"/>
    <sheet name="07.17" sheetId="23" r:id="rId7"/>
    <sheet name="08.17" sheetId="24" r:id="rId8"/>
    <sheet name="09.17" sheetId="25" r:id="rId9"/>
    <sheet name="10.17" sheetId="26" r:id="rId10"/>
    <sheet name="11.17" sheetId="27" r:id="rId11"/>
    <sheet name="12.17" sheetId="28" r:id="rId12"/>
  </sheets>
  <definedNames>
    <definedName name="_xlnm.Print_Titles" localSheetId="9">'10.17'!$12:$13</definedName>
    <definedName name="_xlnm.Print_Titles" localSheetId="10">'11.17'!$12:$13</definedName>
    <definedName name="_xlnm.Print_Area" localSheetId="0">'01.17'!$A$1:$I$115</definedName>
    <definedName name="_xlnm.Print_Area" localSheetId="1">'02.17'!$A$1:$I$113</definedName>
    <definedName name="_xlnm.Print_Area" localSheetId="2">'03.17'!$A$1:$I$116</definedName>
    <definedName name="_xlnm.Print_Area" localSheetId="3">'04.17'!$A$1:$I$118</definedName>
    <definedName name="_xlnm.Print_Area" localSheetId="4">'05.17'!$A$1:$I$115</definedName>
    <definedName name="_xlnm.Print_Area" localSheetId="5">'06.17'!$A$1:$I$116</definedName>
    <definedName name="_xlnm.Print_Area" localSheetId="6">'07.17'!$A$1:$I$116</definedName>
    <definedName name="_xlnm.Print_Area" localSheetId="7">'08.17'!$A$1:$I$112</definedName>
    <definedName name="_xlnm.Print_Area" localSheetId="8">'09.17'!$A$1:$I$125</definedName>
    <definedName name="_xlnm.Print_Area" localSheetId="9">'10.17'!$A$1:$I$138</definedName>
    <definedName name="_xlnm.Print_Area" localSheetId="10">'11.17'!$A$1:$I$143</definedName>
    <definedName name="_xlnm.Print_Area" localSheetId="11">'12.17'!$A$1:$I$125</definedName>
  </definedNames>
  <calcPr calcId="124519"/>
</workbook>
</file>

<file path=xl/calcChain.xml><?xml version="1.0" encoding="utf-8"?>
<calcChain xmlns="http://schemas.openxmlformats.org/spreadsheetml/2006/main">
  <c r="I94" i="28"/>
  <c r="I102" s="1"/>
  <c r="I100"/>
  <c r="I101"/>
  <c r="H101"/>
  <c r="F101"/>
  <c r="H100"/>
  <c r="F100"/>
  <c r="I90"/>
  <c r="I114" i="27" l="1"/>
  <c r="I90"/>
  <c r="I120"/>
  <c r="I92" i="28" l="1"/>
  <c r="F92"/>
  <c r="H92" s="1"/>
  <c r="I97"/>
  <c r="I96"/>
  <c r="I95"/>
  <c r="F99"/>
  <c r="H99" s="1"/>
  <c r="F98"/>
  <c r="H98" s="1"/>
  <c r="H97"/>
  <c r="H96"/>
  <c r="F95"/>
  <c r="H95" s="1"/>
  <c r="I93"/>
  <c r="H93"/>
  <c r="H94"/>
  <c r="E89"/>
  <c r="F89" s="1"/>
  <c r="F88"/>
  <c r="H88" s="1"/>
  <c r="H86"/>
  <c r="H84"/>
  <c r="F82"/>
  <c r="H82" s="1"/>
  <c r="I80"/>
  <c r="H80"/>
  <c r="F79"/>
  <c r="I79" s="1"/>
  <c r="H78"/>
  <c r="F77"/>
  <c r="H77" s="1"/>
  <c r="H90" s="1"/>
  <c r="I76"/>
  <c r="F76"/>
  <c r="H76" s="1"/>
  <c r="F75"/>
  <c r="H75" s="1"/>
  <c r="H74"/>
  <c r="F72"/>
  <c r="I72" s="1"/>
  <c r="F71"/>
  <c r="H71" s="1"/>
  <c r="F70"/>
  <c r="I70" s="1"/>
  <c r="F69"/>
  <c r="H69" s="1"/>
  <c r="F68"/>
  <c r="I68" s="1"/>
  <c r="F67"/>
  <c r="H67" s="1"/>
  <c r="F66"/>
  <c r="H66" s="1"/>
  <c r="I65"/>
  <c r="F65"/>
  <c r="H65" s="1"/>
  <c r="F63"/>
  <c r="H63" s="1"/>
  <c r="F62"/>
  <c r="H62" s="1"/>
  <c r="I60"/>
  <c r="H60"/>
  <c r="F59"/>
  <c r="I59" s="1"/>
  <c r="F56"/>
  <c r="H56" s="1"/>
  <c r="I55"/>
  <c r="H55"/>
  <c r="F54"/>
  <c r="I54" s="1"/>
  <c r="F53"/>
  <c r="H53" s="1"/>
  <c r="F52"/>
  <c r="I52" s="1"/>
  <c r="F51"/>
  <c r="H51" s="1"/>
  <c r="F50"/>
  <c r="I50" s="1"/>
  <c r="F49"/>
  <c r="H49" s="1"/>
  <c r="F48"/>
  <c r="I48" s="1"/>
  <c r="F47"/>
  <c r="H47" s="1"/>
  <c r="F45"/>
  <c r="I45" s="1"/>
  <c r="I44"/>
  <c r="H44"/>
  <c r="F43"/>
  <c r="H43" s="1"/>
  <c r="F42"/>
  <c r="I42" s="1"/>
  <c r="H41"/>
  <c r="F40"/>
  <c r="I40" s="1"/>
  <c r="F39"/>
  <c r="H39" s="1"/>
  <c r="I38"/>
  <c r="H38"/>
  <c r="H36"/>
  <c r="H35"/>
  <c r="F34"/>
  <c r="I34" s="1"/>
  <c r="E34"/>
  <c r="H33"/>
  <c r="F33"/>
  <c r="I33" s="1"/>
  <c r="F32"/>
  <c r="H32" s="1"/>
  <c r="F31"/>
  <c r="I31" s="1"/>
  <c r="F30"/>
  <c r="H30" s="1"/>
  <c r="F27"/>
  <c r="I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99" l="1"/>
  <c r="I98"/>
  <c r="H22"/>
  <c r="H26"/>
  <c r="H27"/>
  <c r="H40"/>
  <c r="H59"/>
  <c r="H68"/>
  <c r="H72"/>
  <c r="H17"/>
  <c r="H20"/>
  <c r="H24"/>
  <c r="H31"/>
  <c r="H34"/>
  <c r="H42"/>
  <c r="H70"/>
  <c r="H85" s="1"/>
  <c r="H79"/>
  <c r="H48"/>
  <c r="H52"/>
  <c r="H45"/>
  <c r="H50"/>
  <c r="H54"/>
  <c r="H89"/>
  <c r="I89"/>
  <c r="I18"/>
  <c r="H18"/>
  <c r="I16"/>
  <c r="I19"/>
  <c r="I21"/>
  <c r="I23"/>
  <c r="I25"/>
  <c r="I30"/>
  <c r="I32"/>
  <c r="I39"/>
  <c r="I43"/>
  <c r="I47"/>
  <c r="I49"/>
  <c r="I51"/>
  <c r="I53"/>
  <c r="I56"/>
  <c r="I63"/>
  <c r="I67"/>
  <c r="I69"/>
  <c r="I71"/>
  <c r="I82"/>
  <c r="I88"/>
  <c r="I104" l="1"/>
  <c r="I119" i="27" l="1"/>
  <c r="I118"/>
  <c r="I117"/>
  <c r="I116"/>
  <c r="I115"/>
  <c r="I113"/>
  <c r="I111"/>
  <c r="I110"/>
  <c r="I109"/>
  <c r="I108"/>
  <c r="I106"/>
  <c r="I107"/>
  <c r="I105"/>
  <c r="I104"/>
  <c r="I103"/>
  <c r="I102"/>
  <c r="I100"/>
  <c r="I101"/>
  <c r="I98"/>
  <c r="I99"/>
  <c r="I97"/>
  <c r="I96"/>
  <c r="I95"/>
  <c r="I94"/>
  <c r="I93"/>
  <c r="I92"/>
  <c r="F119"/>
  <c r="H119" s="1"/>
  <c r="H118"/>
  <c r="F118"/>
  <c r="H117"/>
  <c r="F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F92"/>
  <c r="H92" s="1"/>
  <c r="I89"/>
  <c r="I88"/>
  <c r="I80"/>
  <c r="I76"/>
  <c r="I65"/>
  <c r="I60"/>
  <c r="I55"/>
  <c r="I44"/>
  <c r="E89"/>
  <c r="F89" s="1"/>
  <c r="H89" s="1"/>
  <c r="F88"/>
  <c r="H88" s="1"/>
  <c r="H86"/>
  <c r="H84"/>
  <c r="F82"/>
  <c r="H82" s="1"/>
  <c r="H80"/>
  <c r="F79"/>
  <c r="H79" s="1"/>
  <c r="H78"/>
  <c r="F77"/>
  <c r="H77" s="1"/>
  <c r="F76"/>
  <c r="H76" s="1"/>
  <c r="F75"/>
  <c r="H75" s="1"/>
  <c r="H74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F63"/>
  <c r="H63" s="1"/>
  <c r="F62"/>
  <c r="H62" s="1"/>
  <c r="H60"/>
  <c r="F59"/>
  <c r="H59" s="1"/>
  <c r="F56"/>
  <c r="H56" s="1"/>
  <c r="H55"/>
  <c r="F54"/>
  <c r="H54" s="1"/>
  <c r="F53"/>
  <c r="H53" s="1"/>
  <c r="F52"/>
  <c r="H52" s="1"/>
  <c r="F51"/>
  <c r="H51" s="1"/>
  <c r="F50"/>
  <c r="H50" s="1"/>
  <c r="F49"/>
  <c r="H49" s="1"/>
  <c r="F48"/>
  <c r="H48" s="1"/>
  <c r="F47"/>
  <c r="H47" s="1"/>
  <c r="F45"/>
  <c r="H45" s="1"/>
  <c r="H44"/>
  <c r="F43"/>
  <c r="H43" s="1"/>
  <c r="F42"/>
  <c r="H42" s="1"/>
  <c r="H41"/>
  <c r="F40"/>
  <c r="H40" s="1"/>
  <c r="F39"/>
  <c r="H39" s="1"/>
  <c r="H38"/>
  <c r="F27"/>
  <c r="H27" s="1"/>
  <c r="H36"/>
  <c r="H35"/>
  <c r="F26"/>
  <c r="I26" s="1"/>
  <c r="F34"/>
  <c r="H34" s="1"/>
  <c r="E34"/>
  <c r="F33"/>
  <c r="H33" s="1"/>
  <c r="F32"/>
  <c r="H32" s="1"/>
  <c r="F31"/>
  <c r="H31" s="1"/>
  <c r="F30"/>
  <c r="H30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H18" s="1"/>
  <c r="F17"/>
  <c r="H17" s="1"/>
  <c r="F16"/>
  <c r="H16" s="1"/>
  <c r="I79" l="1"/>
  <c r="I82"/>
  <c r="I59"/>
  <c r="I63"/>
  <c r="I72"/>
  <c r="I70"/>
  <c r="I68"/>
  <c r="I67"/>
  <c r="I71"/>
  <c r="I69"/>
  <c r="I52"/>
  <c r="I56"/>
  <c r="I45"/>
  <c r="I43"/>
  <c r="I40"/>
  <c r="I54"/>
  <c r="I50"/>
  <c r="I48"/>
  <c r="I42"/>
  <c r="I39"/>
  <c r="I53"/>
  <c r="I51"/>
  <c r="I49"/>
  <c r="I20"/>
  <c r="I19"/>
  <c r="I22"/>
  <c r="I23"/>
  <c r="I24"/>
  <c r="I32"/>
  <c r="I30"/>
  <c r="I27"/>
  <c r="I33"/>
  <c r="H21"/>
  <c r="H26"/>
  <c r="H85"/>
  <c r="I112" l="1"/>
  <c r="I47"/>
  <c r="I38"/>
  <c r="I34"/>
  <c r="I31"/>
  <c r="I25"/>
  <c r="I17"/>
  <c r="I87" i="26"/>
  <c r="I90"/>
  <c r="I89"/>
  <c r="H89"/>
  <c r="H90"/>
  <c r="I18" i="27" l="1"/>
  <c r="H90"/>
  <c r="I16"/>
  <c r="I115" i="26"/>
  <c r="I114"/>
  <c r="I113"/>
  <c r="I112"/>
  <c r="I111"/>
  <c r="I110"/>
  <c r="I109"/>
  <c r="I105"/>
  <c r="I106"/>
  <c r="I107"/>
  <c r="I108"/>
  <c r="I104"/>
  <c r="I103"/>
  <c r="I102"/>
  <c r="I100"/>
  <c r="H114"/>
  <c r="H113"/>
  <c r="F112"/>
  <c r="H112" s="1"/>
  <c r="H111"/>
  <c r="H110"/>
  <c r="H109"/>
  <c r="F109"/>
  <c r="H108"/>
  <c r="H107"/>
  <c r="H106"/>
  <c r="H105"/>
  <c r="H104"/>
  <c r="H103"/>
  <c r="H102"/>
  <c r="H101"/>
  <c r="H100"/>
  <c r="I98"/>
  <c r="I99"/>
  <c r="I97"/>
  <c r="H99"/>
  <c r="H98"/>
  <c r="H97"/>
  <c r="I96"/>
  <c r="I95"/>
  <c r="I94"/>
  <c r="H96"/>
  <c r="H95"/>
  <c r="H94"/>
  <c r="I93"/>
  <c r="H93"/>
  <c r="I92"/>
  <c r="I91"/>
  <c r="H92"/>
  <c r="H91"/>
  <c r="H88"/>
  <c r="F87"/>
  <c r="H87" s="1"/>
  <c r="I85"/>
  <c r="I75"/>
  <c r="I73"/>
  <c r="I73" i="25"/>
  <c r="I101"/>
  <c r="I100"/>
  <c r="I98"/>
  <c r="I99"/>
  <c r="I96"/>
  <c r="I97"/>
  <c r="I95"/>
  <c r="I94"/>
  <c r="I93"/>
  <c r="I92"/>
  <c r="H101"/>
  <c r="H100"/>
  <c r="H99"/>
  <c r="H98"/>
  <c r="H97"/>
  <c r="H96"/>
  <c r="H95"/>
  <c r="H94"/>
  <c r="H93"/>
  <c r="H92"/>
  <c r="I91"/>
  <c r="H91"/>
  <c r="I90"/>
  <c r="I89"/>
  <c r="H90"/>
  <c r="H89"/>
  <c r="I88"/>
  <c r="H88"/>
  <c r="I87"/>
  <c r="F87"/>
  <c r="H87" s="1"/>
  <c r="I76"/>
  <c r="I75"/>
  <c r="I88" i="24"/>
  <c r="H88"/>
  <c r="H87"/>
  <c r="I93" i="23"/>
  <c r="I92"/>
  <c r="I91"/>
  <c r="I90"/>
  <c r="I89"/>
  <c r="H92"/>
  <c r="F91"/>
  <c r="H91" s="1"/>
  <c r="H90"/>
  <c r="F89"/>
  <c r="H89" s="1"/>
  <c r="I88"/>
  <c r="H88"/>
  <c r="H87"/>
  <c r="I85"/>
  <c r="I73"/>
  <c r="I91" i="22"/>
  <c r="I90"/>
  <c r="I92"/>
  <c r="H92"/>
  <c r="H91"/>
  <c r="H90"/>
  <c r="I89"/>
  <c r="H89"/>
  <c r="H88"/>
  <c r="I87"/>
  <c r="F87"/>
  <c r="H87" s="1"/>
  <c r="I63"/>
  <c r="I92" i="21"/>
  <c r="I90"/>
  <c r="H91"/>
  <c r="H90"/>
  <c r="I89"/>
  <c r="H89"/>
  <c r="I88"/>
  <c r="H88"/>
  <c r="I87"/>
  <c r="F87"/>
  <c r="H87" s="1"/>
  <c r="I73"/>
  <c r="I95" i="20"/>
  <c r="I94"/>
  <c r="I93"/>
  <c r="I92"/>
  <c r="H94"/>
  <c r="H93"/>
  <c r="H92"/>
  <c r="I90"/>
  <c r="I91"/>
  <c r="I89"/>
  <c r="H91"/>
  <c r="H90"/>
  <c r="H89"/>
  <c r="I88"/>
  <c r="H88"/>
  <c r="I87"/>
  <c r="F87"/>
  <c r="H87" s="1"/>
  <c r="I93" i="19"/>
  <c r="I92"/>
  <c r="I91"/>
  <c r="I90"/>
  <c r="I89"/>
  <c r="H92"/>
  <c r="H91"/>
  <c r="H90"/>
  <c r="H89"/>
  <c r="I88"/>
  <c r="H88"/>
  <c r="I87"/>
  <c r="F87"/>
  <c r="H87" s="1"/>
  <c r="I85"/>
  <c r="I89" i="18"/>
  <c r="H89"/>
  <c r="I88"/>
  <c r="H88"/>
  <c r="I87"/>
  <c r="F87"/>
  <c r="H87" s="1"/>
  <c r="I92" i="17"/>
  <c r="I91"/>
  <c r="H91"/>
  <c r="I90"/>
  <c r="H90"/>
  <c r="I89"/>
  <c r="F89"/>
  <c r="H89" s="1"/>
  <c r="I88"/>
  <c r="H88"/>
  <c r="I87"/>
  <c r="F87"/>
  <c r="H87" s="1"/>
  <c r="I73"/>
  <c r="I122" i="27" l="1"/>
  <c r="I102" i="25"/>
  <c r="I101" i="26" l="1"/>
  <c r="I52"/>
  <c r="I88"/>
  <c r="E84"/>
  <c r="F84" s="1"/>
  <c r="F83"/>
  <c r="I83" s="1"/>
  <c r="H81"/>
  <c r="H79"/>
  <c r="F77"/>
  <c r="H77" s="1"/>
  <c r="H76"/>
  <c r="H75"/>
  <c r="F74"/>
  <c r="H74" s="1"/>
  <c r="H73"/>
  <c r="F71"/>
  <c r="H71" s="1"/>
  <c r="I70"/>
  <c r="H70"/>
  <c r="F69"/>
  <c r="H69" s="1"/>
  <c r="F68"/>
  <c r="H68" s="1"/>
  <c r="F67"/>
  <c r="H67" s="1"/>
  <c r="F66"/>
  <c r="H66" s="1"/>
  <c r="F65"/>
  <c r="H65" s="1"/>
  <c r="I64"/>
  <c r="H64"/>
  <c r="I63"/>
  <c r="H63"/>
  <c r="F61"/>
  <c r="H61" s="1"/>
  <c r="F59"/>
  <c r="I59" s="1"/>
  <c r="F56"/>
  <c r="I5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F44"/>
  <c r="H44" s="1"/>
  <c r="I42"/>
  <c r="H42"/>
  <c r="F41"/>
  <c r="I41" s="1"/>
  <c r="F40"/>
  <c r="I40" s="1"/>
  <c r="F39"/>
  <c r="I39" s="1"/>
  <c r="F38"/>
  <c r="I38" s="1"/>
  <c r="I37"/>
  <c r="H37"/>
  <c r="H35"/>
  <c r="H34"/>
  <c r="H33"/>
  <c r="F33"/>
  <c r="I33" s="1"/>
  <c r="F32"/>
  <c r="I32" s="1"/>
  <c r="F31"/>
  <c r="I31" s="1"/>
  <c r="F30"/>
  <c r="I30" s="1"/>
  <c r="F27"/>
  <c r="I27" s="1"/>
  <c r="F26"/>
  <c r="I26" s="1"/>
  <c r="F25"/>
  <c r="I25" s="1"/>
  <c r="F24"/>
  <c r="I24" s="1"/>
  <c r="F23"/>
  <c r="H23" s="1"/>
  <c r="F22"/>
  <c r="H22" s="1"/>
  <c r="F21"/>
  <c r="I21" s="1"/>
  <c r="F20"/>
  <c r="I20" s="1"/>
  <c r="F19"/>
  <c r="H19" s="1"/>
  <c r="E18"/>
  <c r="F18" s="1"/>
  <c r="F17"/>
  <c r="I17" s="1"/>
  <c r="F16"/>
  <c r="H16" s="1"/>
  <c r="I63" i="25"/>
  <c r="E84"/>
  <c r="F84" s="1"/>
  <c r="F83"/>
  <c r="I83" s="1"/>
  <c r="H81"/>
  <c r="H79"/>
  <c r="F77"/>
  <c r="H77" s="1"/>
  <c r="H76"/>
  <c r="H75"/>
  <c r="F74"/>
  <c r="H74" s="1"/>
  <c r="H73"/>
  <c r="F71"/>
  <c r="H71" s="1"/>
  <c r="I70"/>
  <c r="H70"/>
  <c r="F69"/>
  <c r="H69" s="1"/>
  <c r="F68"/>
  <c r="H68" s="1"/>
  <c r="F67"/>
  <c r="H67" s="1"/>
  <c r="F66"/>
  <c r="H66" s="1"/>
  <c r="F65"/>
  <c r="H65" s="1"/>
  <c r="I64"/>
  <c r="H64"/>
  <c r="H63"/>
  <c r="F61"/>
  <c r="H61" s="1"/>
  <c r="F59"/>
  <c r="I59" s="1"/>
  <c r="F56"/>
  <c r="I5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F44"/>
  <c r="H44" s="1"/>
  <c r="I42"/>
  <c r="H42"/>
  <c r="F41"/>
  <c r="I41" s="1"/>
  <c r="F40"/>
  <c r="H40" s="1"/>
  <c r="F39"/>
  <c r="I39" s="1"/>
  <c r="F38"/>
  <c r="H38" s="1"/>
  <c r="I37"/>
  <c r="H37"/>
  <c r="H35"/>
  <c r="H34"/>
  <c r="H33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73" i="24"/>
  <c r="I87"/>
  <c r="I89" s="1"/>
  <c r="E84"/>
  <c r="F84" s="1"/>
  <c r="F83"/>
  <c r="I83" s="1"/>
  <c r="H81"/>
  <c r="H79"/>
  <c r="F77"/>
  <c r="H77" s="1"/>
  <c r="H76"/>
  <c r="H75"/>
  <c r="F74"/>
  <c r="H74" s="1"/>
  <c r="H73"/>
  <c r="F71"/>
  <c r="H71" s="1"/>
  <c r="I70"/>
  <c r="H70"/>
  <c r="F69"/>
  <c r="H69" s="1"/>
  <c r="F68"/>
  <c r="H68" s="1"/>
  <c r="F67"/>
  <c r="H67" s="1"/>
  <c r="F66"/>
  <c r="H66" s="1"/>
  <c r="F65"/>
  <c r="H65" s="1"/>
  <c r="I64"/>
  <c r="H64"/>
  <c r="I63"/>
  <c r="H63"/>
  <c r="F61"/>
  <c r="H61" s="1"/>
  <c r="F59"/>
  <c r="H59" s="1"/>
  <c r="F56"/>
  <c r="I56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F44"/>
  <c r="H44" s="1"/>
  <c r="I42"/>
  <c r="H42"/>
  <c r="F41"/>
  <c r="I41" s="1"/>
  <c r="F40"/>
  <c r="H40" s="1"/>
  <c r="F39"/>
  <c r="I39" s="1"/>
  <c r="F38"/>
  <c r="H38" s="1"/>
  <c r="I37"/>
  <c r="H37"/>
  <c r="H35"/>
  <c r="H34"/>
  <c r="H33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7" i="23"/>
  <c r="E84"/>
  <c r="F84" s="1"/>
  <c r="F83"/>
  <c r="I83" s="1"/>
  <c r="H81"/>
  <c r="H79"/>
  <c r="F77"/>
  <c r="H77" s="1"/>
  <c r="H76"/>
  <c r="H75"/>
  <c r="F74"/>
  <c r="H74" s="1"/>
  <c r="H73"/>
  <c r="F71"/>
  <c r="H71" s="1"/>
  <c r="I70"/>
  <c r="H70"/>
  <c r="F69"/>
  <c r="H69" s="1"/>
  <c r="F68"/>
  <c r="H68" s="1"/>
  <c r="F67"/>
  <c r="H67" s="1"/>
  <c r="F66"/>
  <c r="H66" s="1"/>
  <c r="F65"/>
  <c r="H65" s="1"/>
  <c r="I64"/>
  <c r="H64"/>
  <c r="I63"/>
  <c r="H63"/>
  <c r="F61"/>
  <c r="H61" s="1"/>
  <c r="F59"/>
  <c r="I59" s="1"/>
  <c r="F56"/>
  <c r="I5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F44"/>
  <c r="H44" s="1"/>
  <c r="I42"/>
  <c r="H42"/>
  <c r="F41"/>
  <c r="I41" s="1"/>
  <c r="F40"/>
  <c r="I40" s="1"/>
  <c r="F39"/>
  <c r="I39" s="1"/>
  <c r="F38"/>
  <c r="I38" s="1"/>
  <c r="I37"/>
  <c r="H37"/>
  <c r="H35"/>
  <c r="H34"/>
  <c r="H33"/>
  <c r="F33"/>
  <c r="I33" s="1"/>
  <c r="F32"/>
  <c r="I32" s="1"/>
  <c r="F31"/>
  <c r="I31" s="1"/>
  <c r="F30"/>
  <c r="I30" s="1"/>
  <c r="F27"/>
  <c r="I27" s="1"/>
  <c r="F26"/>
  <c r="I26" s="1"/>
  <c r="F25"/>
  <c r="I25" s="1"/>
  <c r="F24"/>
  <c r="I24" s="1"/>
  <c r="F23"/>
  <c r="H23" s="1"/>
  <c r="F22"/>
  <c r="H22" s="1"/>
  <c r="F21"/>
  <c r="I21" s="1"/>
  <c r="F20"/>
  <c r="I20" s="1"/>
  <c r="F19"/>
  <c r="H19" s="1"/>
  <c r="E18"/>
  <c r="F18" s="1"/>
  <c r="I18" s="1"/>
  <c r="F17"/>
  <c r="I17" s="1"/>
  <c r="F16"/>
  <c r="I16" s="1"/>
  <c r="I81" i="22"/>
  <c r="I76"/>
  <c r="I75"/>
  <c r="I73"/>
  <c r="I88"/>
  <c r="I93" s="1"/>
  <c r="E84"/>
  <c r="F84" s="1"/>
  <c r="F83"/>
  <c r="I83" s="1"/>
  <c r="H81"/>
  <c r="H79"/>
  <c r="F77"/>
  <c r="H77" s="1"/>
  <c r="H76"/>
  <c r="H75"/>
  <c r="F74"/>
  <c r="H74" s="1"/>
  <c r="H73"/>
  <c r="F71"/>
  <c r="H71" s="1"/>
  <c r="I70"/>
  <c r="H70"/>
  <c r="F69"/>
  <c r="H69" s="1"/>
  <c r="F68"/>
  <c r="H68" s="1"/>
  <c r="F67"/>
  <c r="H67" s="1"/>
  <c r="F66"/>
  <c r="H66" s="1"/>
  <c r="F65"/>
  <c r="H65" s="1"/>
  <c r="I64"/>
  <c r="H64"/>
  <c r="H63"/>
  <c r="F61"/>
  <c r="H61" s="1"/>
  <c r="F59"/>
  <c r="I59" s="1"/>
  <c r="F56"/>
  <c r="I5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F44"/>
  <c r="H44" s="1"/>
  <c r="I42"/>
  <c r="H42"/>
  <c r="F41"/>
  <c r="I41" s="1"/>
  <c r="F40"/>
  <c r="H40" s="1"/>
  <c r="F39"/>
  <c r="I39" s="1"/>
  <c r="F38"/>
  <c r="H38" s="1"/>
  <c r="I37"/>
  <c r="H37"/>
  <c r="H35"/>
  <c r="H34"/>
  <c r="H33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91" i="21"/>
  <c r="I52"/>
  <c r="E84"/>
  <c r="F84" s="1"/>
  <c r="F83"/>
  <c r="I83" s="1"/>
  <c r="H81"/>
  <c r="H79"/>
  <c r="F77"/>
  <c r="H77" s="1"/>
  <c r="H76"/>
  <c r="H75"/>
  <c r="F74"/>
  <c r="H74" s="1"/>
  <c r="H73"/>
  <c r="F71"/>
  <c r="H71" s="1"/>
  <c r="I70"/>
  <c r="H70"/>
  <c r="F69"/>
  <c r="H69" s="1"/>
  <c r="F68"/>
  <c r="H68" s="1"/>
  <c r="F67"/>
  <c r="H67" s="1"/>
  <c r="F66"/>
  <c r="H66" s="1"/>
  <c r="F65"/>
  <c r="H65" s="1"/>
  <c r="I64"/>
  <c r="H64"/>
  <c r="I63"/>
  <c r="H63"/>
  <c r="F61"/>
  <c r="H61" s="1"/>
  <c r="F59"/>
  <c r="H59" s="1"/>
  <c r="F56"/>
  <c r="I56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F44"/>
  <c r="H44" s="1"/>
  <c r="I42"/>
  <c r="H42"/>
  <c r="F41"/>
  <c r="I41" s="1"/>
  <c r="F40"/>
  <c r="H40" s="1"/>
  <c r="F39"/>
  <c r="I39" s="1"/>
  <c r="F38"/>
  <c r="H38" s="1"/>
  <c r="I37"/>
  <c r="H37"/>
  <c r="H35"/>
  <c r="H34"/>
  <c r="H33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75" i="20"/>
  <c r="I73"/>
  <c r="E84"/>
  <c r="F84" s="1"/>
  <c r="H83"/>
  <c r="F83"/>
  <c r="I83" s="1"/>
  <c r="H81"/>
  <c r="H79"/>
  <c r="F77"/>
  <c r="H77" s="1"/>
  <c r="H76"/>
  <c r="H75"/>
  <c r="F74"/>
  <c r="H74" s="1"/>
  <c r="H73"/>
  <c r="F71"/>
  <c r="H71" s="1"/>
  <c r="I70"/>
  <c r="H70"/>
  <c r="F69"/>
  <c r="H69" s="1"/>
  <c r="F68"/>
  <c r="H68" s="1"/>
  <c r="F67"/>
  <c r="H67" s="1"/>
  <c r="F66"/>
  <c r="H66" s="1"/>
  <c r="F65"/>
  <c r="H65" s="1"/>
  <c r="I64"/>
  <c r="H64"/>
  <c r="I63"/>
  <c r="H63"/>
  <c r="F61"/>
  <c r="H61" s="1"/>
  <c r="F59"/>
  <c r="H59" s="1"/>
  <c r="F56"/>
  <c r="I56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F44"/>
  <c r="H44" s="1"/>
  <c r="I42"/>
  <c r="H42"/>
  <c r="F41"/>
  <c r="I41" s="1"/>
  <c r="F40"/>
  <c r="H40" s="1"/>
  <c r="F39"/>
  <c r="I39" s="1"/>
  <c r="F38"/>
  <c r="H38" s="1"/>
  <c r="I37"/>
  <c r="H37"/>
  <c r="H35"/>
  <c r="H34"/>
  <c r="H33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73" i="19"/>
  <c r="E84"/>
  <c r="F84" s="1"/>
  <c r="F83"/>
  <c r="I83" s="1"/>
  <c r="H81"/>
  <c r="H79"/>
  <c r="F77"/>
  <c r="H77" s="1"/>
  <c r="H76"/>
  <c r="H75"/>
  <c r="F74"/>
  <c r="H74" s="1"/>
  <c r="H73"/>
  <c r="F71"/>
  <c r="H71" s="1"/>
  <c r="I70"/>
  <c r="H70"/>
  <c r="F69"/>
  <c r="H69" s="1"/>
  <c r="F68"/>
  <c r="H68" s="1"/>
  <c r="F67"/>
  <c r="H67" s="1"/>
  <c r="F66"/>
  <c r="H66" s="1"/>
  <c r="F65"/>
  <c r="H65" s="1"/>
  <c r="I64"/>
  <c r="H64"/>
  <c r="I63"/>
  <c r="H63"/>
  <c r="F61"/>
  <c r="H61" s="1"/>
  <c r="F59"/>
  <c r="H59" s="1"/>
  <c r="F56"/>
  <c r="I56" s="1"/>
  <c r="I53"/>
  <c r="F53"/>
  <c r="H53" s="1"/>
  <c r="H52"/>
  <c r="F51"/>
  <c r="H51" s="1"/>
  <c r="F50"/>
  <c r="H50" s="1"/>
  <c r="F49"/>
  <c r="I49" s="1"/>
  <c r="H48"/>
  <c r="F48"/>
  <c r="H47"/>
  <c r="F47"/>
  <c r="H46"/>
  <c r="F46"/>
  <c r="H45"/>
  <c r="F45"/>
  <c r="H44"/>
  <c r="F44"/>
  <c r="I42"/>
  <c r="H42"/>
  <c r="F41"/>
  <c r="I41" s="1"/>
  <c r="F40"/>
  <c r="I40" s="1"/>
  <c r="F39"/>
  <c r="I39" s="1"/>
  <c r="F38"/>
  <c r="I38" s="1"/>
  <c r="I37"/>
  <c r="H37"/>
  <c r="H35"/>
  <c r="H34"/>
  <c r="H33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90" i="18"/>
  <c r="E84"/>
  <c r="F84" s="1"/>
  <c r="F83"/>
  <c r="I83" s="1"/>
  <c r="H81"/>
  <c r="H79"/>
  <c r="F77"/>
  <c r="H77" s="1"/>
  <c r="H76"/>
  <c r="H75"/>
  <c r="F74"/>
  <c r="H74" s="1"/>
  <c r="H73"/>
  <c r="F71"/>
  <c r="H71" s="1"/>
  <c r="I70"/>
  <c r="H70"/>
  <c r="F69"/>
  <c r="H69" s="1"/>
  <c r="F68"/>
  <c r="H68" s="1"/>
  <c r="F67"/>
  <c r="H67" s="1"/>
  <c r="F66"/>
  <c r="H66" s="1"/>
  <c r="F65"/>
  <c r="H65" s="1"/>
  <c r="I64"/>
  <c r="H64"/>
  <c r="I63"/>
  <c r="H63"/>
  <c r="F61"/>
  <c r="H61" s="1"/>
  <c r="F59"/>
  <c r="H59" s="1"/>
  <c r="F56"/>
  <c r="I56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F44"/>
  <c r="H44" s="1"/>
  <c r="I42"/>
  <c r="H42"/>
  <c r="F41"/>
  <c r="I41" s="1"/>
  <c r="F40"/>
  <c r="H40" s="1"/>
  <c r="F39"/>
  <c r="I39" s="1"/>
  <c r="F38"/>
  <c r="H38" s="1"/>
  <c r="I37"/>
  <c r="H37"/>
  <c r="H35"/>
  <c r="H34"/>
  <c r="H33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83" i="24" l="1"/>
  <c r="H83" i="21"/>
  <c r="H21" i="18"/>
  <c r="H41"/>
  <c r="H83"/>
  <c r="H20" i="26"/>
  <c r="H26"/>
  <c r="I50"/>
  <c r="I51"/>
  <c r="H24"/>
  <c r="H59"/>
  <c r="H49"/>
  <c r="H38"/>
  <c r="H40"/>
  <c r="H32"/>
  <c r="H30"/>
  <c r="I18"/>
  <c r="H18"/>
  <c r="I84"/>
  <c r="H84"/>
  <c r="H85" s="1"/>
  <c r="I16"/>
  <c r="H17"/>
  <c r="H21"/>
  <c r="H25"/>
  <c r="H27"/>
  <c r="H31"/>
  <c r="H39"/>
  <c r="H41"/>
  <c r="H56"/>
  <c r="H80" s="1"/>
  <c r="H83"/>
  <c r="H59" i="25"/>
  <c r="H21"/>
  <c r="I48"/>
  <c r="I46"/>
  <c r="I44"/>
  <c r="I71"/>
  <c r="H17"/>
  <c r="H25"/>
  <c r="I47"/>
  <c r="I45"/>
  <c r="H49"/>
  <c r="I18"/>
  <c r="H18"/>
  <c r="I84"/>
  <c r="H84"/>
  <c r="H85" s="1"/>
  <c r="I16"/>
  <c r="I20"/>
  <c r="I24"/>
  <c r="I26"/>
  <c r="H27"/>
  <c r="I30"/>
  <c r="H31"/>
  <c r="I32"/>
  <c r="I38"/>
  <c r="H39"/>
  <c r="I40"/>
  <c r="H41"/>
  <c r="H56"/>
  <c r="H80" s="1"/>
  <c r="H83"/>
  <c r="H21" i="24"/>
  <c r="H27"/>
  <c r="H17"/>
  <c r="H25"/>
  <c r="H56"/>
  <c r="H31"/>
  <c r="H80"/>
  <c r="I18"/>
  <c r="H18"/>
  <c r="I84"/>
  <c r="H84"/>
  <c r="H85" s="1"/>
  <c r="I16"/>
  <c r="I20"/>
  <c r="I24"/>
  <c r="I26"/>
  <c r="I30"/>
  <c r="I32"/>
  <c r="I38"/>
  <c r="H39"/>
  <c r="I40"/>
  <c r="H41"/>
  <c r="I49"/>
  <c r="I59"/>
  <c r="H16" i="23"/>
  <c r="H24"/>
  <c r="H20"/>
  <c r="H26"/>
  <c r="H59"/>
  <c r="H49"/>
  <c r="H38"/>
  <c r="H40"/>
  <c r="H32"/>
  <c r="H30"/>
  <c r="I84"/>
  <c r="H84"/>
  <c r="H85" s="1"/>
  <c r="H17"/>
  <c r="H18"/>
  <c r="H21"/>
  <c r="H25"/>
  <c r="H27"/>
  <c r="H31"/>
  <c r="H39"/>
  <c r="H41"/>
  <c r="H56"/>
  <c r="H80" s="1"/>
  <c r="H83"/>
  <c r="H21" i="22"/>
  <c r="H49"/>
  <c r="H59"/>
  <c r="H17"/>
  <c r="H25"/>
  <c r="I18"/>
  <c r="H18"/>
  <c r="I84"/>
  <c r="H84"/>
  <c r="H85" s="1"/>
  <c r="I16"/>
  <c r="I20"/>
  <c r="I24"/>
  <c r="I26"/>
  <c r="H27"/>
  <c r="I30"/>
  <c r="H31"/>
  <c r="I32"/>
  <c r="I38"/>
  <c r="H39"/>
  <c r="I40"/>
  <c r="H41"/>
  <c r="H56"/>
  <c r="H80" s="1"/>
  <c r="H83"/>
  <c r="I19" i="21"/>
  <c r="I23"/>
  <c r="I47"/>
  <c r="I45"/>
  <c r="I50"/>
  <c r="I51"/>
  <c r="I69"/>
  <c r="I67"/>
  <c r="H17"/>
  <c r="I22"/>
  <c r="I48"/>
  <c r="I46"/>
  <c r="I44"/>
  <c r="I65"/>
  <c r="I68"/>
  <c r="I66"/>
  <c r="I18"/>
  <c r="H18"/>
  <c r="I84"/>
  <c r="H84"/>
  <c r="H85" s="1"/>
  <c r="I16"/>
  <c r="I20"/>
  <c r="H21"/>
  <c r="I24"/>
  <c r="H25"/>
  <c r="I26"/>
  <c r="H27"/>
  <c r="I30"/>
  <c r="H31"/>
  <c r="I32"/>
  <c r="I38"/>
  <c r="H39"/>
  <c r="I40"/>
  <c r="H41"/>
  <c r="I49"/>
  <c r="H56"/>
  <c r="H80" s="1"/>
  <c r="I59"/>
  <c r="H21" i="20"/>
  <c r="H27"/>
  <c r="H41"/>
  <c r="H17"/>
  <c r="H25"/>
  <c r="H31"/>
  <c r="H39"/>
  <c r="H56"/>
  <c r="H80"/>
  <c r="I18"/>
  <c r="H18"/>
  <c r="I84"/>
  <c r="H84"/>
  <c r="H85" s="1"/>
  <c r="I16"/>
  <c r="I20"/>
  <c r="I24"/>
  <c r="I26"/>
  <c r="I30"/>
  <c r="I32"/>
  <c r="I38"/>
  <c r="I40"/>
  <c r="I49"/>
  <c r="I59"/>
  <c r="H49" i="19"/>
  <c r="H38"/>
  <c r="H17"/>
  <c r="H40"/>
  <c r="H83"/>
  <c r="I18"/>
  <c r="H18"/>
  <c r="I84"/>
  <c r="H84"/>
  <c r="H85" s="1"/>
  <c r="I16"/>
  <c r="I20"/>
  <c r="H21"/>
  <c r="I24"/>
  <c r="H25"/>
  <c r="I26"/>
  <c r="H27"/>
  <c r="I30"/>
  <c r="H31"/>
  <c r="I32"/>
  <c r="H39"/>
  <c r="H41"/>
  <c r="H56"/>
  <c r="H80" s="1"/>
  <c r="I59"/>
  <c r="H17" i="18"/>
  <c r="H25"/>
  <c r="H31"/>
  <c r="H39"/>
  <c r="H56"/>
  <c r="H27"/>
  <c r="I18"/>
  <c r="H18"/>
  <c r="H80"/>
  <c r="I84"/>
  <c r="H84"/>
  <c r="H85" s="1"/>
  <c r="I20"/>
  <c r="I24"/>
  <c r="I26"/>
  <c r="I30"/>
  <c r="I32"/>
  <c r="I38"/>
  <c r="I40"/>
  <c r="I49"/>
  <c r="I59"/>
  <c r="I16"/>
  <c r="I85" s="1"/>
  <c r="I85" i="25" l="1"/>
  <c r="I104" s="1"/>
  <c r="I85" i="24"/>
  <c r="I91" s="1"/>
  <c r="I85" i="22"/>
  <c r="I85" i="21"/>
  <c r="I94" s="1"/>
  <c r="I85" i="20"/>
  <c r="I97" s="1"/>
  <c r="I117" i="26"/>
  <c r="I95" i="23"/>
  <c r="I95" i="22"/>
  <c r="I95" i="19"/>
  <c r="I92" i="18"/>
  <c r="E84" i="17" l="1"/>
  <c r="F84" s="1"/>
  <c r="F83"/>
  <c r="H83" s="1"/>
  <c r="H81"/>
  <c r="H79"/>
  <c r="F77"/>
  <c r="H77" s="1"/>
  <c r="H76"/>
  <c r="H75"/>
  <c r="F74"/>
  <c r="H74" s="1"/>
  <c r="H73"/>
  <c r="F71"/>
  <c r="H71" s="1"/>
  <c r="I70"/>
  <c r="H70"/>
  <c r="F69"/>
  <c r="H69" s="1"/>
  <c r="F68"/>
  <c r="H68" s="1"/>
  <c r="F67"/>
  <c r="H67" s="1"/>
  <c r="F66"/>
  <c r="H66" s="1"/>
  <c r="F65"/>
  <c r="H65" s="1"/>
  <c r="I64"/>
  <c r="H64"/>
  <c r="I63"/>
  <c r="H63"/>
  <c r="F61"/>
  <c r="H61" s="1"/>
  <c r="F59"/>
  <c r="I59" s="1"/>
  <c r="F56"/>
  <c r="H5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F44"/>
  <c r="H44" s="1"/>
  <c r="I42"/>
  <c r="H42"/>
  <c r="F41"/>
  <c r="I41" s="1"/>
  <c r="F40"/>
  <c r="H40" s="1"/>
  <c r="F39"/>
  <c r="I39" s="1"/>
  <c r="F38"/>
  <c r="H38" s="1"/>
  <c r="I37"/>
  <c r="H37"/>
  <c r="F27"/>
  <c r="H27" s="1"/>
  <c r="H35"/>
  <c r="H34"/>
  <c r="F26"/>
  <c r="I26" s="1"/>
  <c r="H33"/>
  <c r="F33"/>
  <c r="I33" s="1"/>
  <c r="F32"/>
  <c r="H32" s="1"/>
  <c r="F31"/>
  <c r="H31" s="1"/>
  <c r="F30"/>
  <c r="H30" s="1"/>
  <c r="F25"/>
  <c r="I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32" l="1"/>
  <c r="I30"/>
  <c r="I31"/>
  <c r="H17"/>
  <c r="H39"/>
  <c r="H41"/>
  <c r="H49"/>
  <c r="H59"/>
  <c r="H80" s="1"/>
  <c r="I18"/>
  <c r="H18"/>
  <c r="I84"/>
  <c r="H84"/>
  <c r="H85" s="1"/>
  <c r="I16"/>
  <c r="I20"/>
  <c r="H21"/>
  <c r="I24"/>
  <c r="H25"/>
  <c r="H26"/>
  <c r="I27"/>
  <c r="I38"/>
  <c r="I40"/>
  <c r="I56"/>
  <c r="I83"/>
  <c r="I85" l="1"/>
  <c r="I94" s="1"/>
</calcChain>
</file>

<file path=xl/sharedStrings.xml><?xml version="1.0" encoding="utf-8"?>
<sst xmlns="http://schemas.openxmlformats.org/spreadsheetml/2006/main" count="2826" uniqueCount="300">
  <si>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</si>
  <si>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</si>
  <si>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</si>
  <si>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</si>
  <si>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</si>
  <si>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</si>
  <si>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</si>
  <si>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</si>
  <si>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</si>
  <si>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</si>
  <si>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</si>
  <si>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</si>
  <si>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</si>
  <si>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</si>
  <si>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</si>
  <si>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</si>
  <si>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</si>
  <si>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</si>
  <si>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</si>
  <si>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</si>
  <si>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</si>
  <si>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</si>
  <si>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</si>
  <si>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</si>
  <si>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</si>
  <si>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</si>
  <si>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</si>
  <si>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</si>
  <si>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</si>
  <si>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</si>
  <si>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</si>
  <si>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</si>
  <si>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</si>
  <si>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</si>
  <si>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</si>
  <si>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</si>
  <si>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</si>
  <si>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</si>
  <si>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</si>
  <si>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</si>
  <si>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</si>
  <si>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</si>
  <si>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</si>
  <si>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</si>
  <si>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</si>
  <si>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</si>
  <si>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</si>
  <si>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</si>
  <si>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</si>
  <si>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</si>
  <si>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</si>
  <si>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</si>
  <si>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</si>
  <si>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</si>
  <si>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</si>
  <si>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</si>
  <si>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</si>
  <si>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</si>
  <si>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</si>
  <si>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</si>
  <si>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</si>
  <si>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</si>
  <si>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</si>
  <si>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</si>
  <si>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</si>
  <si>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</si>
  <si>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</si>
  <si>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</si>
  <si>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</si>
  <si>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</si>
  <si>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</si>
  <si>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</si>
  <si>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</si>
  <si>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</si>
  <si>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</si>
  <si>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Вода для промывки системы отопления</t>
  </si>
  <si>
    <t>Спуск воды после промывки системы отопления в канализацию</t>
  </si>
  <si>
    <t>Электроснабжение</t>
  </si>
  <si>
    <t>Смена ламп накаливания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</si>
  <si>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</si>
  <si>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</si>
  <si>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</si>
  <si>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</si>
  <si>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</si>
  <si>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</si>
  <si>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</si>
  <si>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</si>
  <si>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</si>
  <si>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Внеплановый осмотр электросетей, арматуры и электрооборудования на лестничных клетках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</si>
  <si>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</si>
  <si>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</si>
  <si>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>ООО «Жилсервис»</t>
  </si>
  <si>
    <t>АКТ №11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</si>
  <si>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</si>
  <si>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</si>
  <si>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</si>
  <si>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</si>
  <si>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</si>
  <si>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</si>
  <si>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</si>
  <si>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Уборка контейнерной площадки (16 кв.м.)</t>
  </si>
  <si>
    <t>Уборка газонов</t>
  </si>
  <si>
    <t>шт</t>
  </si>
  <si>
    <t>100м3</t>
  </si>
  <si>
    <t>1000м3</t>
  </si>
  <si>
    <t>ТО внутридомового газ.оборудования</t>
  </si>
  <si>
    <t>Аварийно-диспетчерское обслуживание</t>
  </si>
  <si>
    <t>Прочистка каналов</t>
  </si>
  <si>
    <t>АКТ №12</t>
  </si>
  <si>
    <t>Влажное подметание лестничных клеток 1 этажа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</si>
  <si>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</si>
  <si>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</si>
  <si>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</si>
  <si>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</si>
  <si>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</si>
  <si>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</si>
  <si>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</si>
  <si>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</si>
  <si>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</si>
  <si>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>1 раз в 2 месяца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</si>
  <si>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</si>
  <si>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</si>
  <si>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</si>
  <si>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</si>
  <si>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отопительных приборов</t>
  </si>
  <si>
    <t>3 раза в неделю 78 раз за сезон</t>
  </si>
  <si>
    <t xml:space="preserve">6 раз за сезон </t>
  </si>
  <si>
    <t>Смена плавкой вставки в электрощитке</t>
  </si>
  <si>
    <t>Замена ламп ДРЛ</t>
  </si>
  <si>
    <t xml:space="preserve">2 раза в месяц 24 раза в год </t>
  </si>
  <si>
    <t>1 раз в неделю 26 раз в сезон</t>
  </si>
  <si>
    <t>50 раз за сезон</t>
  </si>
  <si>
    <t>12 раз за сезон</t>
  </si>
  <si>
    <t>Обслуживание прибора учета тепловой энергии</t>
  </si>
  <si>
    <t>Смена выключателей</t>
  </si>
  <si>
    <t>Смена патронов</t>
  </si>
  <si>
    <t>1 шт</t>
  </si>
  <si>
    <t>Снятие показаний эл.счетчика коммунального назначения</t>
  </si>
  <si>
    <t>Дератизация</t>
  </si>
  <si>
    <t>12 раз в год</t>
  </si>
  <si>
    <t>10 м2</t>
  </si>
  <si>
    <t xml:space="preserve">1 раз в месяц    </t>
  </si>
  <si>
    <t xml:space="preserve">1 раз в месяц  </t>
  </si>
  <si>
    <t xml:space="preserve">приемки оказанных услуг и выполненных работ по содержанию и текущему ремонту
общего имущества в многоквартирном доме №16 по ул.Советская пгт.Ярега
</t>
  </si>
  <si>
    <t>3м</t>
  </si>
  <si>
    <t>Смена трубопроводов на полипропиленовые трубы PN25 диаметром 20 мм</t>
  </si>
  <si>
    <t>Смена арматуры - вентилей и клапанов обратных муфтовых диаметром до 20 мм</t>
  </si>
  <si>
    <r>
      <t xml:space="preserve">    Собственники помещений в многоквартирном доме, расположенном по адресу: пгт.Ярега, ул.Советская, д.16,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29.04.2013г.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</si>
  <si>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III. Проведение технических осмотров</t>
  </si>
  <si>
    <t>IV. Содержание общего имущества МКД</t>
  </si>
  <si>
    <t>генеральный директор Куканов Ю.Л.</t>
  </si>
  <si>
    <t>V. Прочие услуги</t>
  </si>
  <si>
    <t>III. Содержание общего имущества МКД</t>
  </si>
  <si>
    <t>IV. Прочие услуги</t>
  </si>
  <si>
    <t>АКТ №1</t>
  </si>
  <si>
    <t>ежедневно 365 раз</t>
  </si>
  <si>
    <t xml:space="preserve"> </t>
  </si>
  <si>
    <t>Осмотр кровли металлической</t>
  </si>
  <si>
    <t>Очистка края кровли от слежавшегося снега со сбрасыванием сосулек (10% от S кровли и козырьки)</t>
  </si>
  <si>
    <t>Лестничная клетка</t>
  </si>
  <si>
    <t>Ремонт и регулировка доводчика (со стоимостью доводчика)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</si>
  <si>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</si>
  <si>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</si>
  <si>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100шт</t>
  </si>
  <si>
    <t>Переход чугун-пластик Ду 50 мм с манжетой</t>
  </si>
  <si>
    <t>1 место</t>
  </si>
  <si>
    <t>Дезинфекция подвала</t>
  </si>
  <si>
    <t>Смена отдельных участков наружной проводки</t>
  </si>
  <si>
    <t>м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</si>
  <si>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</si>
  <si>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</si>
  <si>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Установка пружин на входных дверях</t>
  </si>
  <si>
    <t>АКТ №2</t>
  </si>
  <si>
    <t>АКТ №3</t>
  </si>
  <si>
    <t>АКТ №4</t>
  </si>
  <si>
    <t>АКТ №5</t>
  </si>
  <si>
    <t>Спуск воды после промывки СО в канализацию</t>
  </si>
  <si>
    <t>АКТ №6</t>
  </si>
  <si>
    <t>АКТ №7</t>
  </si>
  <si>
    <t>АКТ №8</t>
  </si>
  <si>
    <t>АКТ №9</t>
  </si>
  <si>
    <t>АКТ №10</t>
  </si>
  <si>
    <t>Прочистка засоров канализации</t>
  </si>
  <si>
    <t>Работа автовышки</t>
  </si>
  <si>
    <t>Устройство хомута диаметром до 50 мм</t>
  </si>
  <si>
    <t>место</t>
  </si>
  <si>
    <t>Внеплановый осмотр элекгросетей, арматуры и электрооборудования на чердаках и подвалах</t>
  </si>
  <si>
    <t>за период с 01.01.2017 г. по 31.01.2017 г.</t>
  </si>
  <si>
    <t>Прочистка фановых труб</t>
  </si>
  <si>
    <t>Внеплановая проверка вентканалов</t>
  </si>
  <si>
    <t>(сто шесть тысяч девятьсот девяносто восемь рублей 39 копеек)</t>
  </si>
  <si>
    <t>2. Всего за период с 01.01.2017 по 31.01.2017 выполнено работ (оказано услуг) на общую сумму: 106998,39 руб.</t>
  </si>
  <si>
    <t>Итого месячные затраты</t>
  </si>
  <si>
    <t>за период с 01.02.2017 г. по 28.02.2017 г.</t>
  </si>
  <si>
    <t>Смена арматуры - вентилей и клапанов обратных муфтовых диаметром до 32 мм (без материала)</t>
  </si>
  <si>
    <t>2. Всего за период с 01.02.2017 по 28.02.2017 выполнено работ (оказано услуг) на общую сумму: 93122,15 руб.</t>
  </si>
  <si>
    <t>(девяносто три тысячи сто двадцать два рубля 15 копеек)</t>
  </si>
  <si>
    <t>за период с 01.03.2017 г. по 31.03.2017 г.</t>
  </si>
  <si>
    <t>Внеплановый осмотр вводных электрических щитков</t>
  </si>
  <si>
    <t>маш/час</t>
  </si>
  <si>
    <t>2. Всего за период с 01.03.2017 по 31.03.2017 выполнено работ (оказано услуг) на общую сумму: 98318,25 руб.</t>
  </si>
  <si>
    <t>(девяносто восемь тысяч триста восемнадцать рублей 25 копеек)</t>
  </si>
  <si>
    <t>за период с 01.04.2017 г. по 30.04.2017 г.</t>
  </si>
  <si>
    <t>2. Всего за период с 01.04.2017 по 30.04.2017 выполнено работ (оказано услуг) на общую сумму: 95253,35 руб.</t>
  </si>
  <si>
    <t>(девяносто пять тысяч двести пятьдесят три рубля 35 копеек)</t>
  </si>
  <si>
    <t>за период с 01.05.2017 г. по 31.05.2017 г.</t>
  </si>
  <si>
    <t>2. Всего за период с 01.05.2017 по 31.05.2017 выполнено работ (оказано услуг) на общую сумму: 217294,21 руб.</t>
  </si>
  <si>
    <t>(двести семнадцать тысяч двести девяносто четыре рубля 21 копейка)</t>
  </si>
  <si>
    <t>за период с 01.06.2017 г. по 30.06.2017 г.</t>
  </si>
  <si>
    <t>Смена вентилей диаметром до 20 мм (без учета материала)</t>
  </si>
  <si>
    <t xml:space="preserve">Герметизация стыков фоновой трубы    </t>
  </si>
  <si>
    <t>2. Всего за период с 01.06.2017 по 30.06.2017 выполнено работ (оказано услуг) на общую сумму: 90834,83 руб.</t>
  </si>
  <si>
    <t>(девяносто тысяч восемьсот тридцать четыре рубля 83 копейки)</t>
  </si>
  <si>
    <t>за период с 01.07.2017 г. по 31.07.2017 г.</t>
  </si>
  <si>
    <t>Водоотлив из подвала электрическими (механическими) насосами (100 м3 воды)</t>
  </si>
  <si>
    <t>10 м3</t>
  </si>
  <si>
    <t>Демонтаж прибора СПТ 941 на госповерку</t>
  </si>
  <si>
    <t>10шт</t>
  </si>
  <si>
    <t>2. Всего за период с 01.07.2017 по 31.07.2017 выполнено работ (оказано услуг) на общую сумму: 74211,50 руб.</t>
  </si>
  <si>
    <t>(семьдесят четыре тысячи двести одиннадцать рублей 50 копеек)</t>
  </si>
  <si>
    <t>за период с 01.08.2017 г. по 31.08.2017 г.</t>
  </si>
  <si>
    <t>Поверка средств измерений: тепловычислитель СПТ941</t>
  </si>
  <si>
    <t>2. Всего за период с 01.08.2017 по 31.08.2017 выполнено работ (оказано услуг) на общую сумму: 67182,05 руб.</t>
  </si>
  <si>
    <t>(шестьдесят семь тысяч сто восемьдесят два рубля 05 копеек)</t>
  </si>
  <si>
    <t>за период с 01.09.2017 г. по 30.09.2017 г.</t>
  </si>
  <si>
    <t>Установка заглушек диаметром трубопроводов до 100 мм</t>
  </si>
  <si>
    <t>заглушка</t>
  </si>
  <si>
    <t>Ревизия Ду 50</t>
  </si>
  <si>
    <t>Патрубок компенсационный ПП Ду 50</t>
  </si>
  <si>
    <t>Муфта ремонтная Ду-50 мм</t>
  </si>
  <si>
    <t>Монтаж тепловычислителя после госповерки</t>
  </si>
  <si>
    <t>Смена полиэтиленовых канализационных труб 50×2000 мм</t>
  </si>
  <si>
    <t>Отвод 50×90°</t>
  </si>
  <si>
    <t>Манжета 75×50 мм</t>
  </si>
  <si>
    <t>2. Всего за период с 01.09.2017 по 30.09.2017 выполнено работ (оказано услуг) на общую сумму: 100347,71 руб.</t>
  </si>
  <si>
    <t>(сто тысяч триста сорок семь рублей 71 копейка)</t>
  </si>
  <si>
    <t>за период с 01.10.2017 г. по 31.10.2017 г.</t>
  </si>
  <si>
    <t>Смена полиэтиленовых канализационных труб 110×2000 мм</t>
  </si>
  <si>
    <t>Тройник 100-45°</t>
  </si>
  <si>
    <t>Манжета 110</t>
  </si>
  <si>
    <t>Патрубок компенсацинный ПП Ду 110</t>
  </si>
  <si>
    <t>Тройник 100-90°</t>
  </si>
  <si>
    <t>Ревизия 110</t>
  </si>
  <si>
    <t xml:space="preserve">Переход чугун-пластик Ду 110 </t>
  </si>
  <si>
    <t>Прочистка канализационного лежака в подвальных помещениях и технических этажах</t>
  </si>
  <si>
    <t>Смена дверных приборов - петли</t>
  </si>
  <si>
    <t>Ремонт рубильника ППБ, ВР</t>
  </si>
  <si>
    <t>Смена магнитных пускателей</t>
  </si>
  <si>
    <t>Отвод 110×90°</t>
  </si>
  <si>
    <t>Переход 110×50</t>
  </si>
  <si>
    <t>2. Всего за период с 01.10.2017 по 31.10.2017 выполнено работ (оказано услуг) на общую сумму: 99383,30 руб.</t>
  </si>
  <si>
    <t>(девяносто девять тысяч триста восемьдесят три рубля 30 копеек)</t>
  </si>
  <si>
    <t>за период с 01.11.2017 г. по 30.11.2017 г.</t>
  </si>
  <si>
    <r>
      <t xml:space="preserve">    Собственники помещений в многоквартирном доме, расположенном по адресу: пгт.Ярега, ул.Советская, д.16,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31.10.2017г.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</si>
  <si>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156 раз в год</t>
  </si>
  <si>
    <t>104 раза в год</t>
  </si>
  <si>
    <t xml:space="preserve">24 раза в год </t>
  </si>
  <si>
    <t>48 раза в сезон</t>
  </si>
  <si>
    <t>48 раз за сезон</t>
  </si>
  <si>
    <t>Очистка урн от мусора</t>
  </si>
  <si>
    <t>48 раз</t>
  </si>
  <si>
    <t>26 раз за сезон</t>
  </si>
  <si>
    <t>Вывоз снега с придомовой территории</t>
  </si>
  <si>
    <t>1м3</t>
  </si>
  <si>
    <t>24 раза за сезон</t>
  </si>
  <si>
    <t>Очистка вручную от снега и наледи люков каналиационных и водопроводных колодцев</t>
  </si>
  <si>
    <t>2 раза в месяц</t>
  </si>
  <si>
    <t>Работы автовышки</t>
  </si>
  <si>
    <t>маш-час</t>
  </si>
  <si>
    <t>Смена светодиодных светильников в.о.</t>
  </si>
  <si>
    <t>Стоимость светодиодного светильника</t>
  </si>
  <si>
    <t>руб</t>
  </si>
  <si>
    <t>Смена светодиодных светильников н.о.</t>
  </si>
  <si>
    <t>Снятие показаний с общедомовых приборов учёта холодной воды</t>
  </si>
  <si>
    <t>Водоснабжение, канализация</t>
  </si>
  <si>
    <t>ТО внутренних сетей водопровода и канализации</t>
  </si>
  <si>
    <t>руб/м2 в мес</t>
  </si>
  <si>
    <t>Тройник Ду-50*90°</t>
  </si>
  <si>
    <t>Муфта 50</t>
  </si>
  <si>
    <t>Муфта 100</t>
  </si>
  <si>
    <t>Смена плавкой вставки</t>
  </si>
  <si>
    <t>Работа автопогрузчика</t>
  </si>
  <si>
    <t>Устройство деревянного настила под.№3</t>
  </si>
  <si>
    <t>Заделка выбоин в полах цементных площадью до 1,0 м2 (I-VIII под.)</t>
  </si>
  <si>
    <t>100 шт</t>
  </si>
  <si>
    <t>Ремонт крыльца (I,  II, III, V, VI под.)</t>
  </si>
  <si>
    <t>Тройник 100×50/90гр.</t>
  </si>
  <si>
    <t>Отвод 110×45°</t>
  </si>
  <si>
    <t>Итого затраты за месяц</t>
  </si>
  <si>
    <t>за период с 01.12.2017 г. по 31.12.2017 г.</t>
  </si>
  <si>
    <t>Утепление трубопроводов минеральной ватой УРСА</t>
  </si>
  <si>
    <t>1 мЗ</t>
  </si>
  <si>
    <t>Ремонт штукатурки внутренних стен по камню и бетону цементно-известковым раствором площадью до 1 м2 толщиной слоя до 20 мм</t>
  </si>
  <si>
    <t>2. Всего за период с 01.11.2017 по 30.11.2017 выполнено работ (оказано услуг) на общую сумму: 172032,95 руб.</t>
  </si>
  <si>
    <t>(сто семьдесят две тысячи тридцать два рубля 95 копеек)</t>
  </si>
  <si>
    <t>Сверхнормативы по ОДП за 1 полугодие</t>
  </si>
  <si>
    <t>Сверхнормативы по ОДП за 2 полугодие</t>
  </si>
  <si>
    <t>2. Всего за период с 01.12.2017 по 31.12.2017 выполнено работ (оказано услуг) на общую сумму: 127542,79 руб.</t>
  </si>
  <si>
    <t>(сто двадцать семь тысяч пятьсот сорок два рубля 79 копеек)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</si>
  <si>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ул.Советская, д.16</t>
    </r>
  </si>
</sst>
</file>

<file path=xl/styles.xml><?xml version="1.0" encoding="utf-8"?>
<styleSheet xmlns="http://schemas.openxmlformats.org/spreadsheetml/2006/main">
  <numFmts count="1">
    <numFmt numFmtId="164" formatCode="#,##0.000"/>
  </numFmts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rgb="FFFFFF00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3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76">
    <xf numFmtId="0" fontId="0" fillId="0" borderId="0" xfId="0"/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4" fontId="11" fillId="3" borderId="8" xfId="0" applyNumberFormat="1" applyFont="1" applyFill="1" applyBorder="1" applyAlignment="1">
      <alignment horizontal="center" vertical="center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4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3" borderId="8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1" fillId="0" borderId="11" xfId="0" applyNumberFormat="1" applyFont="1" applyFill="1" applyBorder="1" applyAlignment="1" applyProtection="1">
      <alignment horizontal="left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9" fillId="0" borderId="3" xfId="0" applyFont="1" applyFill="1" applyBorder="1" applyAlignment="1">
      <alignment horizontal="left" vertical="center" wrapText="1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 wrapText="1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0" borderId="17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4" fontId="11" fillId="2" borderId="3" xfId="0" applyNumberFormat="1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  <protection hidden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4" fontId="11" fillId="2" borderId="8" xfId="0" applyNumberFormat="1" applyFont="1" applyFill="1" applyBorder="1" applyAlignment="1">
      <alignment horizontal="center" vertical="center" wrapText="1"/>
    </xf>
    <xf numFmtId="4" fontId="11" fillId="2" borderId="12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 wrapText="1"/>
    </xf>
    <xf numFmtId="4" fontId="17" fillId="2" borderId="8" xfId="0" applyNumberFormat="1" applyFont="1" applyFill="1" applyBorder="1" applyAlignment="1">
      <alignment horizontal="center" vertical="center" wrapText="1"/>
    </xf>
    <xf numFmtId="4" fontId="11" fillId="3" borderId="8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4" fontId="11" fillId="2" borderId="16" xfId="0" applyNumberFormat="1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 wrapText="1"/>
    </xf>
    <xf numFmtId="4" fontId="13" fillId="5" borderId="5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4" fontId="11" fillId="2" borderId="19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4" fontId="11" fillId="6" borderId="3" xfId="0" applyNumberFormat="1" applyFont="1" applyFill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horizontal="center" vertical="center"/>
    </xf>
    <xf numFmtId="4" fontId="11" fillId="7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91</v>
      </c>
      <c r="I1" s="19"/>
    </row>
    <row r="2" spans="1:9" ht="15.75">
      <c r="A2" s="21" t="s">
        <v>64</v>
      </c>
    </row>
    <row r="3" spans="1:9" ht="15.75">
      <c r="A3" s="171" t="s">
        <v>154</v>
      </c>
      <c r="B3" s="171"/>
      <c r="C3" s="171"/>
      <c r="D3" s="171"/>
      <c r="E3" s="171"/>
      <c r="F3" s="171"/>
      <c r="G3" s="171"/>
      <c r="H3" s="171"/>
      <c r="I3" s="171"/>
    </row>
    <row r="4" spans="1:9" ht="31.5" customHeight="1">
      <c r="A4" s="172" t="s">
        <v>143</v>
      </c>
      <c r="B4" s="172"/>
      <c r="C4" s="172"/>
      <c r="D4" s="172"/>
      <c r="E4" s="172"/>
      <c r="F4" s="172"/>
      <c r="G4" s="172"/>
      <c r="H4" s="172"/>
      <c r="I4" s="172"/>
    </row>
    <row r="5" spans="1:9" ht="15.75">
      <c r="A5" s="171" t="s">
        <v>187</v>
      </c>
      <c r="B5" s="173"/>
      <c r="C5" s="173"/>
      <c r="D5" s="173"/>
      <c r="E5" s="173"/>
      <c r="F5" s="173"/>
      <c r="G5" s="173"/>
      <c r="H5" s="173"/>
      <c r="I5" s="173"/>
    </row>
    <row r="6" spans="1:9" ht="15.75">
      <c r="A6" s="1"/>
      <c r="B6" s="65"/>
      <c r="C6" s="65"/>
      <c r="D6" s="65"/>
      <c r="E6" s="65"/>
      <c r="F6" s="65"/>
      <c r="G6" s="65"/>
      <c r="H6" s="65"/>
      <c r="I6" s="23">
        <v>42766</v>
      </c>
    </row>
    <row r="7" spans="1:9" ht="15.75">
      <c r="B7" s="61"/>
      <c r="C7" s="61"/>
      <c r="D7" s="61"/>
      <c r="E7" s="2"/>
      <c r="F7" s="2"/>
      <c r="G7" s="2"/>
      <c r="H7" s="2"/>
    </row>
    <row r="8" spans="1:9" ht="78.75" customHeight="1">
      <c r="A8" s="174" t="s">
        <v>147</v>
      </c>
      <c r="B8" s="174"/>
      <c r="C8" s="174"/>
      <c r="D8" s="174"/>
      <c r="E8" s="174"/>
      <c r="F8" s="174"/>
      <c r="G8" s="174"/>
      <c r="H8" s="174"/>
      <c r="I8" s="174"/>
    </row>
    <row r="9" spans="1:9" ht="15.75">
      <c r="A9" s="3"/>
    </row>
    <row r="10" spans="1:9" ht="47.25" customHeight="1">
      <c r="A10" s="175" t="s">
        <v>299</v>
      </c>
      <c r="B10" s="175"/>
      <c r="C10" s="175"/>
      <c r="D10" s="175"/>
      <c r="E10" s="175"/>
      <c r="F10" s="175"/>
      <c r="G10" s="175"/>
      <c r="H10" s="175"/>
      <c r="I10" s="17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70" t="s">
        <v>61</v>
      </c>
      <c r="B14" s="170"/>
      <c r="C14" s="170"/>
      <c r="D14" s="170"/>
      <c r="E14" s="170"/>
      <c r="F14" s="170"/>
      <c r="G14" s="170"/>
      <c r="H14" s="170"/>
      <c r="I14" s="170"/>
    </row>
    <row r="15" spans="1:9" ht="15" customHeight="1">
      <c r="A15" s="165" t="s">
        <v>4</v>
      </c>
      <c r="B15" s="165"/>
      <c r="C15" s="165"/>
      <c r="D15" s="165"/>
      <c r="E15" s="165"/>
      <c r="F15" s="165"/>
      <c r="G15" s="165"/>
      <c r="H15" s="165"/>
      <c r="I15" s="165"/>
    </row>
    <row r="16" spans="1:9" ht="31.5" customHeight="1">
      <c r="A16" s="22">
        <v>1</v>
      </c>
      <c r="B16" s="84" t="s">
        <v>109</v>
      </c>
      <c r="C16" s="85" t="s">
        <v>93</v>
      </c>
      <c r="D16" s="84" t="s">
        <v>110</v>
      </c>
      <c r="E16" s="86">
        <v>121.14</v>
      </c>
      <c r="F16" s="87">
        <f>SUM(E16*156/100)</f>
        <v>188.97839999999999</v>
      </c>
      <c r="G16" s="87">
        <v>175.38</v>
      </c>
      <c r="H16" s="88">
        <f t="shared" ref="H16:H25" si="0">SUM(F16*G16/1000)</f>
        <v>33.143031792000002</v>
      </c>
      <c r="I16" s="10">
        <f>F16/12*G16</f>
        <v>2761.9193159999995</v>
      </c>
    </row>
    <row r="17" spans="1:9" ht="31.5" customHeight="1">
      <c r="A17" s="22">
        <v>2</v>
      </c>
      <c r="B17" s="84" t="s">
        <v>111</v>
      </c>
      <c r="C17" s="85" t="s">
        <v>93</v>
      </c>
      <c r="D17" s="84" t="s">
        <v>112</v>
      </c>
      <c r="E17" s="86">
        <v>484.56</v>
      </c>
      <c r="F17" s="87">
        <f>SUM(E17*104/100)</f>
        <v>503.94239999999996</v>
      </c>
      <c r="G17" s="87">
        <v>175.38</v>
      </c>
      <c r="H17" s="88">
        <f t="shared" si="0"/>
        <v>88.381418111999992</v>
      </c>
      <c r="I17" s="10">
        <f>F17/12*G17</f>
        <v>7365.118175999999</v>
      </c>
    </row>
    <row r="18" spans="1:9" ht="31.5" customHeight="1">
      <c r="A18" s="22">
        <v>3</v>
      </c>
      <c r="B18" s="84" t="s">
        <v>113</v>
      </c>
      <c r="C18" s="85" t="s">
        <v>93</v>
      </c>
      <c r="D18" s="84" t="s">
        <v>129</v>
      </c>
      <c r="E18" s="86">
        <f>SUM(E16+E17)</f>
        <v>605.70000000000005</v>
      </c>
      <c r="F18" s="87">
        <f>SUM(E18*24/100)</f>
        <v>145.36800000000002</v>
      </c>
      <c r="G18" s="87">
        <v>504.5</v>
      </c>
      <c r="H18" s="88">
        <f t="shared" si="0"/>
        <v>73.338156000000012</v>
      </c>
      <c r="I18" s="10">
        <f>F18/12*G18</f>
        <v>6111.5130000000008</v>
      </c>
    </row>
    <row r="19" spans="1:9" ht="15.75" hidden="1" customHeight="1">
      <c r="A19" s="22"/>
      <c r="B19" s="84" t="s">
        <v>114</v>
      </c>
      <c r="C19" s="85" t="s">
        <v>115</v>
      </c>
      <c r="D19" s="84" t="s">
        <v>116</v>
      </c>
      <c r="E19" s="86">
        <v>38.4</v>
      </c>
      <c r="F19" s="87">
        <f>SUM(E19/10)</f>
        <v>3.84</v>
      </c>
      <c r="G19" s="87">
        <v>170.16</v>
      </c>
      <c r="H19" s="88">
        <f t="shared" si="0"/>
        <v>0.65341439999999995</v>
      </c>
      <c r="I19" s="10">
        <v>0</v>
      </c>
    </row>
    <row r="20" spans="1:9" ht="15.75" customHeight="1">
      <c r="A20" s="22">
        <v>4</v>
      </c>
      <c r="B20" s="84" t="s">
        <v>117</v>
      </c>
      <c r="C20" s="85" t="s">
        <v>93</v>
      </c>
      <c r="D20" s="84" t="s">
        <v>30</v>
      </c>
      <c r="E20" s="86">
        <v>58.4</v>
      </c>
      <c r="F20" s="87">
        <f>SUM(E20*12/100)</f>
        <v>7.0079999999999991</v>
      </c>
      <c r="G20" s="87">
        <v>217.88</v>
      </c>
      <c r="H20" s="88">
        <f t="shared" si="0"/>
        <v>1.5269030399999997</v>
      </c>
      <c r="I20" s="10">
        <f>F20/12*G20</f>
        <v>127.24191999999999</v>
      </c>
    </row>
    <row r="21" spans="1:9" ht="15.75" customHeight="1">
      <c r="A21" s="22">
        <v>5</v>
      </c>
      <c r="B21" s="84" t="s">
        <v>118</v>
      </c>
      <c r="C21" s="85" t="s">
        <v>93</v>
      </c>
      <c r="D21" s="84" t="s">
        <v>30</v>
      </c>
      <c r="E21" s="86">
        <v>9.08</v>
      </c>
      <c r="F21" s="87">
        <f>SUM(E21*12/100)</f>
        <v>1.0896000000000001</v>
      </c>
      <c r="G21" s="87">
        <v>216.12</v>
      </c>
      <c r="H21" s="88">
        <f t="shared" si="0"/>
        <v>0.23548435200000004</v>
      </c>
      <c r="I21" s="10">
        <f>F21/12*G21</f>
        <v>19.623696000000002</v>
      </c>
    </row>
    <row r="22" spans="1:9" ht="15.75" hidden="1" customHeight="1">
      <c r="A22" s="22"/>
      <c r="B22" s="84" t="s">
        <v>120</v>
      </c>
      <c r="C22" s="85" t="s">
        <v>54</v>
      </c>
      <c r="D22" s="84" t="s">
        <v>116</v>
      </c>
      <c r="E22" s="86">
        <v>714</v>
      </c>
      <c r="F22" s="87">
        <f>SUM(E22/100)</f>
        <v>7.14</v>
      </c>
      <c r="G22" s="87">
        <v>269.26</v>
      </c>
      <c r="H22" s="88">
        <f t="shared" si="0"/>
        <v>1.9225163999999997</v>
      </c>
      <c r="I22" s="10">
        <v>0</v>
      </c>
    </row>
    <row r="23" spans="1:9" ht="15.75" hidden="1" customHeight="1">
      <c r="A23" s="22"/>
      <c r="B23" s="84" t="s">
        <v>121</v>
      </c>
      <c r="C23" s="85" t="s">
        <v>54</v>
      </c>
      <c r="D23" s="84" t="s">
        <v>116</v>
      </c>
      <c r="E23" s="89">
        <v>96.6</v>
      </c>
      <c r="F23" s="87">
        <f>SUM(E23/100)</f>
        <v>0.96599999999999997</v>
      </c>
      <c r="G23" s="87">
        <v>44.29</v>
      </c>
      <c r="H23" s="88">
        <f t="shared" si="0"/>
        <v>4.2784139999999998E-2</v>
      </c>
      <c r="I23" s="10">
        <v>0</v>
      </c>
    </row>
    <row r="24" spans="1:9" ht="15.75" customHeight="1">
      <c r="A24" s="22">
        <v>6</v>
      </c>
      <c r="B24" s="84" t="s">
        <v>122</v>
      </c>
      <c r="C24" s="85" t="s">
        <v>54</v>
      </c>
      <c r="D24" s="84" t="s">
        <v>141</v>
      </c>
      <c r="E24" s="86">
        <v>32</v>
      </c>
      <c r="F24" s="87">
        <f>E24*12/100</f>
        <v>3.84</v>
      </c>
      <c r="G24" s="87">
        <v>389.42</v>
      </c>
      <c r="H24" s="88">
        <f t="shared" si="0"/>
        <v>1.4953728000000002</v>
      </c>
      <c r="I24" s="10">
        <f>F24/12*G24</f>
        <v>124.6144</v>
      </c>
    </row>
    <row r="25" spans="1:9" ht="15.75" customHeight="1">
      <c r="A25" s="22">
        <v>7</v>
      </c>
      <c r="B25" s="84" t="s">
        <v>124</v>
      </c>
      <c r="C25" s="85" t="s">
        <v>54</v>
      </c>
      <c r="D25" s="84" t="s">
        <v>142</v>
      </c>
      <c r="E25" s="86">
        <v>17</v>
      </c>
      <c r="F25" s="87">
        <f>SUM(E25*12/100)</f>
        <v>2.04</v>
      </c>
      <c r="G25" s="87">
        <v>520.79999999999995</v>
      </c>
      <c r="H25" s="88">
        <f t="shared" si="0"/>
        <v>1.062432</v>
      </c>
      <c r="I25" s="10">
        <f>F25/12*G25</f>
        <v>88.536000000000001</v>
      </c>
    </row>
    <row r="26" spans="1:9" ht="15.75" customHeight="1">
      <c r="A26" s="22">
        <v>8</v>
      </c>
      <c r="B26" s="84" t="s">
        <v>66</v>
      </c>
      <c r="C26" s="85" t="s">
        <v>33</v>
      </c>
      <c r="D26" s="84" t="s">
        <v>155</v>
      </c>
      <c r="E26" s="86">
        <v>0.1</v>
      </c>
      <c r="F26" s="87">
        <f>SUM(E26*365)</f>
        <v>36.5</v>
      </c>
      <c r="G26" s="87">
        <v>147.03</v>
      </c>
      <c r="H26" s="88">
        <f>SUM(F26*G26/1000)</f>
        <v>5.3665950000000002</v>
      </c>
      <c r="I26" s="10">
        <f>F26/12*G26</f>
        <v>447.21625</v>
      </c>
    </row>
    <row r="27" spans="1:9" ht="15.75" customHeight="1">
      <c r="A27" s="22">
        <v>9</v>
      </c>
      <c r="B27" s="93" t="s">
        <v>23</v>
      </c>
      <c r="C27" s="85" t="s">
        <v>24</v>
      </c>
      <c r="D27" s="93" t="s">
        <v>156</v>
      </c>
      <c r="E27" s="86">
        <v>4394</v>
      </c>
      <c r="F27" s="87">
        <f>SUM(E27*12)</f>
        <v>52728</v>
      </c>
      <c r="G27" s="87">
        <v>4.53</v>
      </c>
      <c r="H27" s="88">
        <f>SUM(F27*G27/1000)</f>
        <v>238.85784000000004</v>
      </c>
      <c r="I27" s="10">
        <f>F27/12*G27</f>
        <v>19904.82</v>
      </c>
    </row>
    <row r="28" spans="1:9" ht="15.75" customHeight="1">
      <c r="A28" s="153" t="s">
        <v>90</v>
      </c>
      <c r="B28" s="154"/>
      <c r="C28" s="154"/>
      <c r="D28" s="154"/>
      <c r="E28" s="154"/>
      <c r="F28" s="154"/>
      <c r="G28" s="154"/>
      <c r="H28" s="154"/>
      <c r="I28" s="155"/>
    </row>
    <row r="29" spans="1:9" ht="15.75" hidden="1" customHeight="1">
      <c r="A29" s="22"/>
      <c r="B29" s="107" t="s">
        <v>28</v>
      </c>
      <c r="C29" s="85"/>
      <c r="D29" s="84"/>
      <c r="E29" s="86"/>
      <c r="F29" s="87"/>
      <c r="G29" s="87"/>
      <c r="H29" s="88"/>
      <c r="I29" s="10"/>
    </row>
    <row r="30" spans="1:9" ht="31.5" hidden="1" customHeight="1">
      <c r="A30" s="22">
        <v>10</v>
      </c>
      <c r="B30" s="84" t="s">
        <v>101</v>
      </c>
      <c r="C30" s="85" t="s">
        <v>95</v>
      </c>
      <c r="D30" s="84" t="s">
        <v>130</v>
      </c>
      <c r="E30" s="87">
        <v>2873.1</v>
      </c>
      <c r="F30" s="87">
        <f>SUM(E30*26/1000)</f>
        <v>74.700599999999994</v>
      </c>
      <c r="G30" s="87">
        <v>155.88999999999999</v>
      </c>
      <c r="H30" s="88">
        <f t="shared" ref="H30:H35" si="1">SUM(F30*G30/1000)</f>
        <v>11.645076533999998</v>
      </c>
      <c r="I30" s="10">
        <f t="shared" ref="I30:I33" si="2">F30/6*G30</f>
        <v>1940.8460889999997</v>
      </c>
    </row>
    <row r="31" spans="1:9" ht="31.5" hidden="1" customHeight="1">
      <c r="A31" s="22">
        <v>11</v>
      </c>
      <c r="B31" s="84" t="s">
        <v>169</v>
      </c>
      <c r="C31" s="85" t="s">
        <v>95</v>
      </c>
      <c r="D31" s="84" t="s">
        <v>125</v>
      </c>
      <c r="E31" s="87">
        <v>824.5</v>
      </c>
      <c r="F31" s="87">
        <f>SUM(E31*78/1000)</f>
        <v>64.311000000000007</v>
      </c>
      <c r="G31" s="87">
        <v>258.63</v>
      </c>
      <c r="H31" s="88">
        <f t="shared" si="1"/>
        <v>16.632753930000003</v>
      </c>
      <c r="I31" s="10">
        <f t="shared" si="2"/>
        <v>2772.1256550000003</v>
      </c>
    </row>
    <row r="32" spans="1:9" ht="15.75" hidden="1" customHeight="1">
      <c r="A32" s="22"/>
      <c r="B32" s="84" t="s">
        <v>27</v>
      </c>
      <c r="C32" s="85" t="s">
        <v>95</v>
      </c>
      <c r="D32" s="84" t="s">
        <v>55</v>
      </c>
      <c r="E32" s="87">
        <v>2873.1</v>
      </c>
      <c r="F32" s="87">
        <f>SUM(E32/1000)</f>
        <v>2.8731</v>
      </c>
      <c r="G32" s="87">
        <v>3020.33</v>
      </c>
      <c r="H32" s="88">
        <f t="shared" si="1"/>
        <v>8.6777101229999989</v>
      </c>
      <c r="I32" s="10">
        <f>F32*G32</f>
        <v>8677.7101229999989</v>
      </c>
    </row>
    <row r="33" spans="1:9" ht="15.75" hidden="1" customHeight="1">
      <c r="A33" s="22">
        <v>12</v>
      </c>
      <c r="B33" s="84" t="s">
        <v>100</v>
      </c>
      <c r="C33" s="85" t="s">
        <v>31</v>
      </c>
      <c r="D33" s="84" t="s">
        <v>65</v>
      </c>
      <c r="E33" s="92">
        <v>0.33333333333333331</v>
      </c>
      <c r="F33" s="87">
        <f>155/3</f>
        <v>51.666666666666664</v>
      </c>
      <c r="G33" s="87">
        <v>56.69</v>
      </c>
      <c r="H33" s="88">
        <f>SUM(G33*155/3/1000)</f>
        <v>2.9289833333333331</v>
      </c>
      <c r="I33" s="10">
        <f t="shared" si="2"/>
        <v>488.16388888888883</v>
      </c>
    </row>
    <row r="34" spans="1:9" ht="15.75" hidden="1" customHeight="1">
      <c r="A34" s="22"/>
      <c r="B34" s="84" t="s">
        <v>67</v>
      </c>
      <c r="C34" s="85" t="s">
        <v>33</v>
      </c>
      <c r="D34" s="84" t="s">
        <v>69</v>
      </c>
      <c r="E34" s="86"/>
      <c r="F34" s="87">
        <v>2</v>
      </c>
      <c r="G34" s="87">
        <v>191.32</v>
      </c>
      <c r="H34" s="88">
        <f t="shared" si="1"/>
        <v>0.38263999999999998</v>
      </c>
      <c r="I34" s="10">
        <v>0</v>
      </c>
    </row>
    <row r="35" spans="1:9" ht="15.75" hidden="1" customHeight="1">
      <c r="A35" s="22"/>
      <c r="B35" s="84" t="s">
        <v>68</v>
      </c>
      <c r="C35" s="85" t="s">
        <v>32</v>
      </c>
      <c r="D35" s="84" t="s">
        <v>69</v>
      </c>
      <c r="E35" s="86"/>
      <c r="F35" s="87">
        <v>3</v>
      </c>
      <c r="G35" s="87">
        <v>1136.33</v>
      </c>
      <c r="H35" s="88">
        <f t="shared" si="1"/>
        <v>3.4089899999999997</v>
      </c>
      <c r="I35" s="10">
        <v>0</v>
      </c>
    </row>
    <row r="36" spans="1:9" ht="15.75" customHeight="1">
      <c r="A36" s="22"/>
      <c r="B36" s="91" t="s">
        <v>5</v>
      </c>
      <c r="C36" s="85"/>
      <c r="D36" s="84"/>
      <c r="E36" s="86"/>
      <c r="F36" s="87"/>
      <c r="G36" s="87"/>
      <c r="H36" s="88" t="s">
        <v>156</v>
      </c>
      <c r="I36" s="10"/>
    </row>
    <row r="37" spans="1:9" ht="15.75" customHeight="1">
      <c r="A37" s="22">
        <v>10</v>
      </c>
      <c r="B37" s="84" t="s">
        <v>26</v>
      </c>
      <c r="C37" s="85" t="s">
        <v>32</v>
      </c>
      <c r="D37" s="84"/>
      <c r="E37" s="86"/>
      <c r="F37" s="87">
        <v>15</v>
      </c>
      <c r="G37" s="87">
        <v>1527.22</v>
      </c>
      <c r="H37" s="88">
        <f t="shared" ref="H37:H42" si="3">SUM(F37*G37/1000)</f>
        <v>22.908300000000001</v>
      </c>
      <c r="I37" s="10">
        <f t="shared" ref="I37:I42" si="4">F37/6*G37</f>
        <v>3818.05</v>
      </c>
    </row>
    <row r="38" spans="1:9" ht="15.75" customHeight="1">
      <c r="A38" s="22">
        <v>11</v>
      </c>
      <c r="B38" s="84" t="s">
        <v>70</v>
      </c>
      <c r="C38" s="85" t="s">
        <v>29</v>
      </c>
      <c r="D38" s="84" t="s">
        <v>131</v>
      </c>
      <c r="E38" s="87">
        <v>824.5</v>
      </c>
      <c r="F38" s="87">
        <f>SUM(E38*50/1000)</f>
        <v>41.225000000000001</v>
      </c>
      <c r="G38" s="87">
        <v>2102.71</v>
      </c>
      <c r="H38" s="88">
        <f t="shared" si="3"/>
        <v>86.684219749999997</v>
      </c>
      <c r="I38" s="10">
        <f t="shared" si="4"/>
        <v>14447.369958333335</v>
      </c>
    </row>
    <row r="39" spans="1:9" ht="15.75" customHeight="1">
      <c r="A39" s="22">
        <v>12</v>
      </c>
      <c r="B39" s="84" t="s">
        <v>71</v>
      </c>
      <c r="C39" s="85" t="s">
        <v>29</v>
      </c>
      <c r="D39" s="84" t="s">
        <v>94</v>
      </c>
      <c r="E39" s="87">
        <v>188</v>
      </c>
      <c r="F39" s="87">
        <f>SUM(E39*155/1000)</f>
        <v>29.14</v>
      </c>
      <c r="G39" s="87">
        <v>350.75</v>
      </c>
      <c r="H39" s="88">
        <f t="shared" si="3"/>
        <v>10.220855</v>
      </c>
      <c r="I39" s="10">
        <f t="shared" si="4"/>
        <v>1703.4758333333332</v>
      </c>
    </row>
    <row r="40" spans="1:9" ht="47.25" customHeight="1">
      <c r="A40" s="22">
        <v>13</v>
      </c>
      <c r="B40" s="84" t="s">
        <v>89</v>
      </c>
      <c r="C40" s="85" t="s">
        <v>95</v>
      </c>
      <c r="D40" s="84" t="s">
        <v>132</v>
      </c>
      <c r="E40" s="87">
        <v>188</v>
      </c>
      <c r="F40" s="87">
        <f>SUM(E40*12/1000)</f>
        <v>2.2559999999999998</v>
      </c>
      <c r="G40" s="87">
        <v>5803.28</v>
      </c>
      <c r="H40" s="88">
        <f t="shared" si="3"/>
        <v>13.092199679999998</v>
      </c>
      <c r="I40" s="10">
        <f t="shared" si="4"/>
        <v>2182.0332799999996</v>
      </c>
    </row>
    <row r="41" spans="1:9" ht="15.75" customHeight="1">
      <c r="A41" s="22">
        <v>14</v>
      </c>
      <c r="B41" s="84" t="s">
        <v>96</v>
      </c>
      <c r="C41" s="85" t="s">
        <v>95</v>
      </c>
      <c r="D41" s="84" t="s">
        <v>72</v>
      </c>
      <c r="E41" s="87">
        <v>188</v>
      </c>
      <c r="F41" s="87">
        <f>SUM(E41*45/1000)</f>
        <v>8.4600000000000009</v>
      </c>
      <c r="G41" s="87">
        <v>428.7</v>
      </c>
      <c r="H41" s="88">
        <f t="shared" si="3"/>
        <v>3.6268020000000001</v>
      </c>
      <c r="I41" s="10">
        <f t="shared" si="4"/>
        <v>604.4670000000001</v>
      </c>
    </row>
    <row r="42" spans="1:9" ht="15.75" customHeight="1">
      <c r="A42" s="22">
        <v>15</v>
      </c>
      <c r="B42" s="84" t="s">
        <v>73</v>
      </c>
      <c r="C42" s="85" t="s">
        <v>33</v>
      </c>
      <c r="D42" s="84"/>
      <c r="E42" s="86"/>
      <c r="F42" s="87">
        <v>0.9</v>
      </c>
      <c r="G42" s="87">
        <v>798</v>
      </c>
      <c r="H42" s="88">
        <f t="shared" si="3"/>
        <v>0.71820000000000006</v>
      </c>
      <c r="I42" s="10">
        <f t="shared" si="4"/>
        <v>119.69999999999999</v>
      </c>
    </row>
    <row r="43" spans="1:9" ht="15.75" customHeight="1">
      <c r="A43" s="153" t="s">
        <v>148</v>
      </c>
      <c r="B43" s="154"/>
      <c r="C43" s="154"/>
      <c r="D43" s="154"/>
      <c r="E43" s="154"/>
      <c r="F43" s="154"/>
      <c r="G43" s="154"/>
      <c r="H43" s="154"/>
      <c r="I43" s="155"/>
    </row>
    <row r="44" spans="1:9" ht="15.75" hidden="1" customHeight="1">
      <c r="A44" s="22"/>
      <c r="B44" s="84" t="s">
        <v>157</v>
      </c>
      <c r="C44" s="85" t="s">
        <v>95</v>
      </c>
      <c r="D44" s="84" t="s">
        <v>43</v>
      </c>
      <c r="E44" s="86">
        <v>1609.3</v>
      </c>
      <c r="F44" s="87">
        <f>SUM(E44*2/1000)</f>
        <v>3.2185999999999999</v>
      </c>
      <c r="G44" s="10">
        <v>910.17</v>
      </c>
      <c r="H44" s="88">
        <f t="shared" ref="H44:H53" si="5">SUM(F44*G44/1000)</f>
        <v>2.9294731619999999</v>
      </c>
      <c r="I44" s="10">
        <v>0</v>
      </c>
    </row>
    <row r="45" spans="1:9" ht="15.75" hidden="1" customHeight="1">
      <c r="A45" s="22"/>
      <c r="B45" s="84" t="s">
        <v>36</v>
      </c>
      <c r="C45" s="85" t="s">
        <v>95</v>
      </c>
      <c r="D45" s="84" t="s">
        <v>43</v>
      </c>
      <c r="E45" s="86">
        <v>742</v>
      </c>
      <c r="F45" s="87">
        <f>SUM(E45*2/1000)</f>
        <v>1.484</v>
      </c>
      <c r="G45" s="10">
        <v>579.48</v>
      </c>
      <c r="H45" s="88">
        <f t="shared" si="5"/>
        <v>0.85994831999999999</v>
      </c>
      <c r="I45" s="10">
        <v>0</v>
      </c>
    </row>
    <row r="46" spans="1:9" ht="15.75" hidden="1" customHeight="1">
      <c r="A46" s="22"/>
      <c r="B46" s="84" t="s">
        <v>37</v>
      </c>
      <c r="C46" s="85" t="s">
        <v>95</v>
      </c>
      <c r="D46" s="84" t="s">
        <v>43</v>
      </c>
      <c r="E46" s="86">
        <v>4989.8100000000004</v>
      </c>
      <c r="F46" s="87">
        <f>SUM(E46*2/1000)</f>
        <v>9.9796200000000006</v>
      </c>
      <c r="G46" s="10">
        <v>579.48</v>
      </c>
      <c r="H46" s="88">
        <f t="shared" si="5"/>
        <v>5.7829901976000002</v>
      </c>
      <c r="I46" s="10">
        <v>0</v>
      </c>
    </row>
    <row r="47" spans="1:9" ht="15.75" hidden="1" customHeight="1">
      <c r="A47" s="22"/>
      <c r="B47" s="84" t="s">
        <v>38</v>
      </c>
      <c r="C47" s="85" t="s">
        <v>95</v>
      </c>
      <c r="D47" s="84" t="s">
        <v>43</v>
      </c>
      <c r="E47" s="86">
        <v>2654.21</v>
      </c>
      <c r="F47" s="87">
        <f>SUM(E47*2/1000)</f>
        <v>5.3084199999999999</v>
      </c>
      <c r="G47" s="10">
        <v>606.77</v>
      </c>
      <c r="H47" s="88">
        <f t="shared" si="5"/>
        <v>3.2209900033999999</v>
      </c>
      <c r="I47" s="10">
        <v>0</v>
      </c>
    </row>
    <row r="48" spans="1:9" ht="15.75" hidden="1" customHeight="1">
      <c r="A48" s="22"/>
      <c r="B48" s="84" t="s">
        <v>34</v>
      </c>
      <c r="C48" s="85" t="s">
        <v>35</v>
      </c>
      <c r="D48" s="84" t="s">
        <v>43</v>
      </c>
      <c r="E48" s="86">
        <v>128.53</v>
      </c>
      <c r="F48" s="87">
        <f>SUM(E48*2/100)</f>
        <v>2.5706000000000002</v>
      </c>
      <c r="G48" s="10">
        <v>72.81</v>
      </c>
      <c r="H48" s="88">
        <f t="shared" si="5"/>
        <v>0.18716538600000002</v>
      </c>
      <c r="I48" s="10">
        <v>0</v>
      </c>
    </row>
    <row r="49" spans="1:9" ht="15.75" customHeight="1">
      <c r="A49" s="22">
        <v>16</v>
      </c>
      <c r="B49" s="84" t="s">
        <v>58</v>
      </c>
      <c r="C49" s="85" t="s">
        <v>95</v>
      </c>
      <c r="D49" s="84" t="s">
        <v>170</v>
      </c>
      <c r="E49" s="86">
        <v>2026.8</v>
      </c>
      <c r="F49" s="87">
        <f>SUM(E49*5/1000)</f>
        <v>10.134</v>
      </c>
      <c r="G49" s="10">
        <v>1213.55</v>
      </c>
      <c r="H49" s="88">
        <f t="shared" si="5"/>
        <v>12.2981157</v>
      </c>
      <c r="I49" s="10">
        <f>F49/5*G49</f>
        <v>2459.6231400000001</v>
      </c>
    </row>
    <row r="50" spans="1:9" ht="31.5" hidden="1" customHeight="1">
      <c r="A50" s="22"/>
      <c r="B50" s="84" t="s">
        <v>97</v>
      </c>
      <c r="C50" s="85" t="s">
        <v>95</v>
      </c>
      <c r="D50" s="84" t="s">
        <v>43</v>
      </c>
      <c r="E50" s="86">
        <v>2026.8</v>
      </c>
      <c r="F50" s="87">
        <f>SUM(E50*2/1000)</f>
        <v>4.0536000000000003</v>
      </c>
      <c r="G50" s="10">
        <v>1213.55</v>
      </c>
      <c r="H50" s="88">
        <f t="shared" si="5"/>
        <v>4.9192462800000003</v>
      </c>
      <c r="I50" s="10">
        <v>0</v>
      </c>
    </row>
    <row r="51" spans="1:9" ht="31.5" hidden="1" customHeight="1">
      <c r="A51" s="22"/>
      <c r="B51" s="84" t="s">
        <v>98</v>
      </c>
      <c r="C51" s="85" t="s">
        <v>39</v>
      </c>
      <c r="D51" s="84" t="s">
        <v>43</v>
      </c>
      <c r="E51" s="86">
        <v>40</v>
      </c>
      <c r="F51" s="87">
        <f>SUM(E51*2/100)</f>
        <v>0.8</v>
      </c>
      <c r="G51" s="10">
        <v>2730.49</v>
      </c>
      <c r="H51" s="88">
        <f t="shared" si="5"/>
        <v>2.1843919999999999</v>
      </c>
      <c r="I51" s="10">
        <v>0</v>
      </c>
    </row>
    <row r="52" spans="1:9" ht="15.75" hidden="1" customHeight="1">
      <c r="A52" s="22"/>
      <c r="B52" s="84" t="s">
        <v>40</v>
      </c>
      <c r="C52" s="85" t="s">
        <v>41</v>
      </c>
      <c r="D52" s="84" t="s">
        <v>43</v>
      </c>
      <c r="E52" s="86">
        <v>1</v>
      </c>
      <c r="F52" s="87">
        <v>0.02</v>
      </c>
      <c r="G52" s="10">
        <v>5652.13</v>
      </c>
      <c r="H52" s="88">
        <f t="shared" si="5"/>
        <v>0.11304260000000001</v>
      </c>
      <c r="I52" s="10">
        <v>0</v>
      </c>
    </row>
    <row r="53" spans="1:9" ht="15.75" customHeight="1">
      <c r="A53" s="22">
        <v>17</v>
      </c>
      <c r="B53" s="84" t="s">
        <v>42</v>
      </c>
      <c r="C53" s="85" t="s">
        <v>102</v>
      </c>
      <c r="D53" s="84" t="s">
        <v>74</v>
      </c>
      <c r="E53" s="86">
        <v>160</v>
      </c>
      <c r="F53" s="87">
        <f>SUM(E53)*3</f>
        <v>480</v>
      </c>
      <c r="G53" s="10">
        <v>65.67</v>
      </c>
      <c r="H53" s="88">
        <f t="shared" si="5"/>
        <v>31.521600000000003</v>
      </c>
      <c r="I53" s="10">
        <f>E53*G53</f>
        <v>10507.2</v>
      </c>
    </row>
    <row r="54" spans="1:9" ht="15.75" customHeight="1">
      <c r="A54" s="153" t="s">
        <v>149</v>
      </c>
      <c r="B54" s="154"/>
      <c r="C54" s="154"/>
      <c r="D54" s="154"/>
      <c r="E54" s="154"/>
      <c r="F54" s="154"/>
      <c r="G54" s="154"/>
      <c r="H54" s="154"/>
      <c r="I54" s="155"/>
    </row>
    <row r="55" spans="1:9" ht="15.75" customHeight="1">
      <c r="A55" s="22"/>
      <c r="B55" s="107" t="s">
        <v>44</v>
      </c>
      <c r="C55" s="85"/>
      <c r="D55" s="84"/>
      <c r="E55" s="86"/>
      <c r="F55" s="87"/>
      <c r="G55" s="87"/>
      <c r="H55" s="88"/>
      <c r="I55" s="10"/>
    </row>
    <row r="56" spans="1:9" ht="31.5" customHeight="1">
      <c r="A56" s="22">
        <v>18</v>
      </c>
      <c r="B56" s="84" t="s">
        <v>158</v>
      </c>
      <c r="C56" s="85" t="s">
        <v>93</v>
      </c>
      <c r="D56" s="84" t="s">
        <v>126</v>
      </c>
      <c r="E56" s="86">
        <v>176.93</v>
      </c>
      <c r="F56" s="87">
        <f>SUM(E56*6/100)</f>
        <v>10.6158</v>
      </c>
      <c r="G56" s="10">
        <v>1547.28</v>
      </c>
      <c r="H56" s="88">
        <f>SUM(F56*G56/1000)</f>
        <v>16.425615023999999</v>
      </c>
      <c r="I56" s="10">
        <f>F56/6*G56</f>
        <v>2737.602504</v>
      </c>
    </row>
    <row r="57" spans="1:9" ht="15.75" customHeight="1">
      <c r="A57" s="22"/>
      <c r="B57" s="107" t="s">
        <v>45</v>
      </c>
      <c r="C57" s="85"/>
      <c r="D57" s="84"/>
      <c r="E57" s="86"/>
      <c r="F57" s="87"/>
      <c r="G57" s="109"/>
      <c r="H57" s="88"/>
      <c r="I57" s="10"/>
    </row>
    <row r="58" spans="1:9" ht="15.75" hidden="1" customHeight="1">
      <c r="A58" s="22"/>
      <c r="B58" s="84" t="s">
        <v>46</v>
      </c>
      <c r="C58" s="85" t="s">
        <v>93</v>
      </c>
      <c r="D58" s="84" t="s">
        <v>55</v>
      </c>
      <c r="E58" s="86">
        <v>2026.8</v>
      </c>
      <c r="F58" s="88">
        <v>20.268000000000001</v>
      </c>
      <c r="G58" s="10">
        <v>793.61</v>
      </c>
      <c r="H58" s="94">
        <v>16.085000000000001</v>
      </c>
      <c r="I58" s="10">
        <v>0</v>
      </c>
    </row>
    <row r="59" spans="1:9" ht="15.75" customHeight="1">
      <c r="A59" s="22">
        <v>19</v>
      </c>
      <c r="B59" s="84" t="s">
        <v>138</v>
      </c>
      <c r="C59" s="85" t="s">
        <v>25</v>
      </c>
      <c r="D59" s="84" t="s">
        <v>139</v>
      </c>
      <c r="E59" s="86">
        <v>325</v>
      </c>
      <c r="F59" s="87">
        <f>E59*12</f>
        <v>3900</v>
      </c>
      <c r="G59" s="110">
        <v>2.59</v>
      </c>
      <c r="H59" s="88">
        <f>F59*G59/1000</f>
        <v>10.101000000000001</v>
      </c>
      <c r="I59" s="10">
        <f>F59/12*G59</f>
        <v>841.75</v>
      </c>
    </row>
    <row r="60" spans="1:9" ht="15.75" hidden="1" customHeight="1">
      <c r="A60" s="22"/>
      <c r="B60" s="107" t="s">
        <v>159</v>
      </c>
      <c r="C60" s="85"/>
      <c r="D60" s="84"/>
      <c r="E60" s="86"/>
      <c r="F60" s="87"/>
      <c r="G60" s="87"/>
      <c r="H60" s="88" t="s">
        <v>156</v>
      </c>
      <c r="I60" s="10"/>
    </row>
    <row r="61" spans="1:9" ht="15.75" hidden="1" customHeight="1">
      <c r="A61" s="22"/>
      <c r="B61" s="84" t="s">
        <v>171</v>
      </c>
      <c r="C61" s="85" t="s">
        <v>102</v>
      </c>
      <c r="D61" s="84" t="s">
        <v>55</v>
      </c>
      <c r="E61" s="86">
        <v>4</v>
      </c>
      <c r="F61" s="87">
        <f>SUM(E61)</f>
        <v>4</v>
      </c>
      <c r="G61" s="95">
        <v>237.75</v>
      </c>
      <c r="H61" s="88">
        <f t="shared" ref="H61:H79" si="6">SUM(F61*G61/1000)</f>
        <v>0.95099999999999996</v>
      </c>
      <c r="I61" s="10">
        <v>0</v>
      </c>
    </row>
    <row r="62" spans="1:9" ht="15.75" customHeight="1">
      <c r="A62" s="22"/>
      <c r="B62" s="108" t="s">
        <v>47</v>
      </c>
      <c r="C62" s="96"/>
      <c r="D62" s="97"/>
      <c r="E62" s="98"/>
      <c r="F62" s="99"/>
      <c r="G62" s="99"/>
      <c r="H62" s="100" t="s">
        <v>156</v>
      </c>
      <c r="I62" s="10"/>
    </row>
    <row r="63" spans="1:9" ht="15.75" hidden="1" customHeight="1">
      <c r="A63" s="22">
        <v>20</v>
      </c>
      <c r="B63" s="11" t="s">
        <v>48</v>
      </c>
      <c r="C63" s="13" t="s">
        <v>102</v>
      </c>
      <c r="D63" s="11" t="s">
        <v>69</v>
      </c>
      <c r="E63" s="16">
        <v>30</v>
      </c>
      <c r="F63" s="87">
        <v>30</v>
      </c>
      <c r="G63" s="10">
        <v>222.4</v>
      </c>
      <c r="H63" s="82">
        <f t="shared" si="6"/>
        <v>6.6719999999999997</v>
      </c>
      <c r="I63" s="10">
        <f>G63</f>
        <v>222.4</v>
      </c>
    </row>
    <row r="64" spans="1:9" ht="15.75" hidden="1" customHeight="1">
      <c r="A64" s="22">
        <v>21</v>
      </c>
      <c r="B64" s="11" t="s">
        <v>49</v>
      </c>
      <c r="C64" s="13" t="s">
        <v>102</v>
      </c>
      <c r="D64" s="11" t="s">
        <v>69</v>
      </c>
      <c r="E64" s="16">
        <v>5</v>
      </c>
      <c r="F64" s="87">
        <v>5</v>
      </c>
      <c r="G64" s="10">
        <v>76.25</v>
      </c>
      <c r="H64" s="82">
        <f t="shared" si="6"/>
        <v>0.38124999999999998</v>
      </c>
      <c r="I64" s="10">
        <f>G64</f>
        <v>76.25</v>
      </c>
    </row>
    <row r="65" spans="1:9" ht="15.75" hidden="1" customHeight="1">
      <c r="A65" s="22"/>
      <c r="B65" s="11" t="s">
        <v>50</v>
      </c>
      <c r="C65" s="13" t="s">
        <v>103</v>
      </c>
      <c r="D65" s="11" t="s">
        <v>55</v>
      </c>
      <c r="E65" s="86">
        <v>24063</v>
      </c>
      <c r="F65" s="10">
        <f>SUM(E65/100)</f>
        <v>240.63</v>
      </c>
      <c r="G65" s="10">
        <v>212.15</v>
      </c>
      <c r="H65" s="82">
        <f t="shared" si="6"/>
        <v>51.049654499999995</v>
      </c>
      <c r="I65" s="10">
        <v>0</v>
      </c>
    </row>
    <row r="66" spans="1:9" ht="15.75" hidden="1" customHeight="1">
      <c r="A66" s="22"/>
      <c r="B66" s="11" t="s">
        <v>51</v>
      </c>
      <c r="C66" s="13" t="s">
        <v>104</v>
      </c>
      <c r="D66" s="11"/>
      <c r="E66" s="86">
        <v>24063</v>
      </c>
      <c r="F66" s="10">
        <f>SUM(E66/1000)</f>
        <v>24.062999999999999</v>
      </c>
      <c r="G66" s="10">
        <v>165.21</v>
      </c>
      <c r="H66" s="82">
        <f t="shared" si="6"/>
        <v>3.97544823</v>
      </c>
      <c r="I66" s="10">
        <v>0</v>
      </c>
    </row>
    <row r="67" spans="1:9" ht="15.75" hidden="1" customHeight="1">
      <c r="A67" s="22"/>
      <c r="B67" s="11" t="s">
        <v>52</v>
      </c>
      <c r="C67" s="13" t="s">
        <v>81</v>
      </c>
      <c r="D67" s="11" t="s">
        <v>55</v>
      </c>
      <c r="E67" s="86">
        <v>2730</v>
      </c>
      <c r="F67" s="10">
        <f>SUM(E67/100)</f>
        <v>27.3</v>
      </c>
      <c r="G67" s="10">
        <v>2074.63</v>
      </c>
      <c r="H67" s="82">
        <f t="shared" si="6"/>
        <v>56.637399000000002</v>
      </c>
      <c r="I67" s="10">
        <v>0</v>
      </c>
    </row>
    <row r="68" spans="1:9" ht="15.75" hidden="1" customHeight="1">
      <c r="A68" s="22"/>
      <c r="B68" s="101" t="s">
        <v>75</v>
      </c>
      <c r="C68" s="13" t="s">
        <v>33</v>
      </c>
      <c r="D68" s="11"/>
      <c r="E68" s="86">
        <v>21.4</v>
      </c>
      <c r="F68" s="10">
        <f>SUM(E68)</f>
        <v>21.4</v>
      </c>
      <c r="G68" s="10">
        <v>45.32</v>
      </c>
      <c r="H68" s="82">
        <f t="shared" si="6"/>
        <v>0.96984799999999993</v>
      </c>
      <c r="I68" s="10">
        <v>0</v>
      </c>
    </row>
    <row r="69" spans="1:9" ht="15.75" hidden="1" customHeight="1">
      <c r="A69" s="22"/>
      <c r="B69" s="101" t="s">
        <v>76</v>
      </c>
      <c r="C69" s="13" t="s">
        <v>33</v>
      </c>
      <c r="D69" s="11"/>
      <c r="E69" s="86">
        <v>21.4</v>
      </c>
      <c r="F69" s="10">
        <f>SUM(E69)</f>
        <v>21.4</v>
      </c>
      <c r="G69" s="10">
        <v>42.28</v>
      </c>
      <c r="H69" s="82">
        <f t="shared" si="6"/>
        <v>0.90479199999999993</v>
      </c>
      <c r="I69" s="10">
        <v>0</v>
      </c>
    </row>
    <row r="70" spans="1:9" ht="15.75" customHeight="1">
      <c r="A70" s="22">
        <v>20</v>
      </c>
      <c r="B70" s="101" t="s">
        <v>133</v>
      </c>
      <c r="C70" s="13"/>
      <c r="D70" s="11"/>
      <c r="E70" s="102"/>
      <c r="F70" s="76">
        <v>1</v>
      </c>
      <c r="G70" s="10">
        <v>5600</v>
      </c>
      <c r="H70" s="82">
        <f t="shared" si="6"/>
        <v>5.6</v>
      </c>
      <c r="I70" s="10">
        <f>F70*G70</f>
        <v>5600</v>
      </c>
    </row>
    <row r="71" spans="1:9" ht="15.75" hidden="1" customHeight="1">
      <c r="A71" s="22"/>
      <c r="B71" s="11" t="s">
        <v>59</v>
      </c>
      <c r="C71" s="13" t="s">
        <v>60</v>
      </c>
      <c r="D71" s="11" t="s">
        <v>55</v>
      </c>
      <c r="E71" s="16">
        <v>10</v>
      </c>
      <c r="F71" s="87">
        <f>SUM(E71)</f>
        <v>10</v>
      </c>
      <c r="G71" s="10">
        <v>49.88</v>
      </c>
      <c r="H71" s="82">
        <f t="shared" si="6"/>
        <v>0.49880000000000002</v>
      </c>
      <c r="I71" s="10">
        <v>0</v>
      </c>
    </row>
    <row r="72" spans="1:9" ht="15.75" customHeight="1">
      <c r="A72" s="22"/>
      <c r="B72" s="66" t="s">
        <v>77</v>
      </c>
      <c r="C72" s="13"/>
      <c r="D72" s="11"/>
      <c r="E72" s="16"/>
      <c r="F72" s="10"/>
      <c r="G72" s="10"/>
      <c r="H72" s="82" t="s">
        <v>156</v>
      </c>
      <c r="I72" s="10"/>
    </row>
    <row r="73" spans="1:9" ht="15.75" customHeight="1">
      <c r="A73" s="22">
        <v>21</v>
      </c>
      <c r="B73" s="11" t="s">
        <v>78</v>
      </c>
      <c r="C73" s="13" t="s">
        <v>79</v>
      </c>
      <c r="D73" s="11"/>
      <c r="E73" s="16">
        <v>160</v>
      </c>
      <c r="F73" s="10">
        <v>16</v>
      </c>
      <c r="G73" s="10">
        <v>501.62</v>
      </c>
      <c r="H73" s="82">
        <f t="shared" si="6"/>
        <v>8.0259199999999993</v>
      </c>
      <c r="I73" s="10">
        <f>G73*0.3</f>
        <v>150.48599999999999</v>
      </c>
    </row>
    <row r="74" spans="1:9" ht="15.75" hidden="1" customHeight="1">
      <c r="A74" s="22"/>
      <c r="B74" s="11" t="s">
        <v>128</v>
      </c>
      <c r="C74" s="13" t="s">
        <v>102</v>
      </c>
      <c r="D74" s="11"/>
      <c r="E74" s="16">
        <v>1</v>
      </c>
      <c r="F74" s="87">
        <f>SUM(E74)</f>
        <v>1</v>
      </c>
      <c r="G74" s="10">
        <v>358.51</v>
      </c>
      <c r="H74" s="82">
        <f t="shared" si="6"/>
        <v>0.35851</v>
      </c>
      <c r="I74" s="10">
        <v>0</v>
      </c>
    </row>
    <row r="75" spans="1:9" ht="15.75" hidden="1" customHeight="1">
      <c r="A75" s="22"/>
      <c r="B75" s="11" t="s">
        <v>134</v>
      </c>
      <c r="C75" s="13" t="s">
        <v>31</v>
      </c>
      <c r="D75" s="11"/>
      <c r="E75" s="16">
        <v>3</v>
      </c>
      <c r="F75" s="10">
        <v>3</v>
      </c>
      <c r="G75" s="10">
        <v>99.85</v>
      </c>
      <c r="H75" s="82">
        <f>F75*G75/1000</f>
        <v>0.29954999999999993</v>
      </c>
      <c r="I75" s="10">
        <v>0</v>
      </c>
    </row>
    <row r="76" spans="1:9" ht="15.75" hidden="1" customHeight="1">
      <c r="A76" s="22"/>
      <c r="B76" s="11" t="s">
        <v>135</v>
      </c>
      <c r="C76" s="13" t="s">
        <v>31</v>
      </c>
      <c r="D76" s="11"/>
      <c r="E76" s="16">
        <v>2</v>
      </c>
      <c r="F76" s="10">
        <v>2</v>
      </c>
      <c r="G76" s="10">
        <v>120.26</v>
      </c>
      <c r="H76" s="82">
        <f>F76*G76/1000</f>
        <v>0.24052000000000001</v>
      </c>
      <c r="I76" s="10">
        <v>0</v>
      </c>
    </row>
    <row r="77" spans="1:9" ht="15.75" hidden="1" customHeight="1">
      <c r="A77" s="22"/>
      <c r="B77" s="11" t="s">
        <v>127</v>
      </c>
      <c r="C77" s="13" t="s">
        <v>102</v>
      </c>
      <c r="D77" s="11"/>
      <c r="E77" s="16">
        <v>1</v>
      </c>
      <c r="F77" s="87">
        <f>SUM(E77)</f>
        <v>1</v>
      </c>
      <c r="G77" s="10">
        <v>911.85</v>
      </c>
      <c r="H77" s="82">
        <f t="shared" ref="H77" si="7">SUM(F77*G77/1000)</f>
        <v>0.91185000000000005</v>
      </c>
      <c r="I77" s="10">
        <v>0</v>
      </c>
    </row>
    <row r="78" spans="1:9" ht="15.75" hidden="1" customHeight="1">
      <c r="A78" s="22"/>
      <c r="B78" s="104" t="s">
        <v>80</v>
      </c>
      <c r="C78" s="13"/>
      <c r="D78" s="11"/>
      <c r="E78" s="16"/>
      <c r="F78" s="10"/>
      <c r="G78" s="10" t="s">
        <v>156</v>
      </c>
      <c r="H78" s="82" t="s">
        <v>156</v>
      </c>
      <c r="I78" s="10"/>
    </row>
    <row r="79" spans="1:9" ht="15.75" hidden="1" customHeight="1">
      <c r="A79" s="22"/>
      <c r="B79" s="49" t="s">
        <v>107</v>
      </c>
      <c r="C79" s="13" t="s">
        <v>81</v>
      </c>
      <c r="D79" s="11"/>
      <c r="E79" s="16"/>
      <c r="F79" s="10">
        <v>0.6</v>
      </c>
      <c r="G79" s="10">
        <v>2759.44</v>
      </c>
      <c r="H79" s="82">
        <f t="shared" si="6"/>
        <v>1.655664</v>
      </c>
      <c r="I79" s="10">
        <v>0</v>
      </c>
    </row>
    <row r="80" spans="1:9" ht="15.75" hidden="1" customHeight="1">
      <c r="A80" s="22"/>
      <c r="B80" s="66" t="s">
        <v>99</v>
      </c>
      <c r="C80" s="104"/>
      <c r="D80" s="24"/>
      <c r="E80" s="25"/>
      <c r="F80" s="90"/>
      <c r="G80" s="90"/>
      <c r="H80" s="105">
        <f>SUM(H56:H79)</f>
        <v>181.74382075399996</v>
      </c>
      <c r="I80" s="90"/>
    </row>
    <row r="81" spans="1:9" ht="15.75" hidden="1" customHeight="1">
      <c r="A81" s="22"/>
      <c r="B81" s="84" t="s">
        <v>105</v>
      </c>
      <c r="C81" s="13"/>
      <c r="D81" s="11"/>
      <c r="E81" s="77"/>
      <c r="F81" s="10">
        <v>1</v>
      </c>
      <c r="G81" s="10">
        <v>17508</v>
      </c>
      <c r="H81" s="82">
        <f>G81*F81/1000</f>
        <v>17.507999999999999</v>
      </c>
      <c r="I81" s="10">
        <v>0</v>
      </c>
    </row>
    <row r="82" spans="1:9" ht="15.75" customHeight="1">
      <c r="A82" s="153" t="s">
        <v>151</v>
      </c>
      <c r="B82" s="154"/>
      <c r="C82" s="154"/>
      <c r="D82" s="154"/>
      <c r="E82" s="154"/>
      <c r="F82" s="154"/>
      <c r="G82" s="154"/>
      <c r="H82" s="154"/>
      <c r="I82" s="155"/>
    </row>
    <row r="83" spans="1:9" ht="15.75" customHeight="1">
      <c r="A83" s="22">
        <v>22</v>
      </c>
      <c r="B83" s="84" t="s">
        <v>106</v>
      </c>
      <c r="C83" s="13" t="s">
        <v>56</v>
      </c>
      <c r="D83" s="106" t="s">
        <v>57</v>
      </c>
      <c r="E83" s="10">
        <v>4394.8999999999996</v>
      </c>
      <c r="F83" s="10">
        <f>SUM(E83*12)</f>
        <v>52738.799999999996</v>
      </c>
      <c r="G83" s="10">
        <v>2.1</v>
      </c>
      <c r="H83" s="82">
        <f>SUM(F83*G83/1000)</f>
        <v>110.75148</v>
      </c>
      <c r="I83" s="10">
        <f>F83/12*G83</f>
        <v>9229.2899999999991</v>
      </c>
    </row>
    <row r="84" spans="1:9" ht="31.5" customHeight="1">
      <c r="A84" s="22">
        <v>23</v>
      </c>
      <c r="B84" s="11" t="s">
        <v>82</v>
      </c>
      <c r="C84" s="13"/>
      <c r="D84" s="106" t="s">
        <v>57</v>
      </c>
      <c r="E84" s="86">
        <f>E83</f>
        <v>4394.8999999999996</v>
      </c>
      <c r="F84" s="10">
        <f>E84*12</f>
        <v>52738.799999999996</v>
      </c>
      <c r="G84" s="10">
        <v>1.63</v>
      </c>
      <c r="H84" s="82">
        <f>F84*G84/1000</f>
        <v>85.964243999999994</v>
      </c>
      <c r="I84" s="10">
        <f>F84/12*G84</f>
        <v>7163.686999999999</v>
      </c>
    </row>
    <row r="85" spans="1:9" ht="15.75" customHeight="1">
      <c r="A85" s="22"/>
      <c r="B85" s="38" t="s">
        <v>85</v>
      </c>
      <c r="C85" s="104"/>
      <c r="D85" s="103"/>
      <c r="E85" s="90"/>
      <c r="F85" s="90"/>
      <c r="G85" s="90"/>
      <c r="H85" s="105">
        <f>SUM(H84)</f>
        <v>85.964243999999994</v>
      </c>
      <c r="I85" s="90">
        <f>I16+I17+I18+I20+I21+I24+I25+I26+I27+I37+I38+I39+I40+I41+I42+I49+I53+I56+I59+I70+I73+I83+I84</f>
        <v>98515.337473666659</v>
      </c>
    </row>
    <row r="86" spans="1:9" ht="15.75" customHeight="1">
      <c r="A86" s="167" t="s">
        <v>62</v>
      </c>
      <c r="B86" s="168"/>
      <c r="C86" s="168"/>
      <c r="D86" s="168"/>
      <c r="E86" s="168"/>
      <c r="F86" s="168"/>
      <c r="G86" s="168"/>
      <c r="H86" s="168"/>
      <c r="I86" s="169"/>
    </row>
    <row r="87" spans="1:9" ht="15.75" customHeight="1">
      <c r="A87" s="22">
        <v>24</v>
      </c>
      <c r="B87" s="68" t="s">
        <v>182</v>
      </c>
      <c r="C87" s="69" t="s">
        <v>144</v>
      </c>
      <c r="D87" s="49"/>
      <c r="E87" s="10"/>
      <c r="F87" s="10">
        <f>((3+3+3+10+5+10+15+3+10+10+3+15+3+3+10)/3)</f>
        <v>35.333333333333336</v>
      </c>
      <c r="G87" s="10">
        <v>1120.8900000000001</v>
      </c>
      <c r="H87" s="82">
        <f>G87*F87/1000</f>
        <v>39.604780000000005</v>
      </c>
      <c r="I87" s="10">
        <f>G87</f>
        <v>1120.8900000000001</v>
      </c>
    </row>
    <row r="88" spans="1:9" ht="31.5" customHeight="1">
      <c r="A88" s="22">
        <v>25</v>
      </c>
      <c r="B88" s="81" t="s">
        <v>160</v>
      </c>
      <c r="C88" s="13" t="s">
        <v>31</v>
      </c>
      <c r="D88" s="49"/>
      <c r="E88" s="10"/>
      <c r="F88" s="10">
        <v>1</v>
      </c>
      <c r="G88" s="10">
        <v>1934.94</v>
      </c>
      <c r="H88" s="82">
        <f t="shared" ref="H88:H91" si="8">G88*F88/1000</f>
        <v>1.9349400000000001</v>
      </c>
      <c r="I88" s="10">
        <f>G88</f>
        <v>1934.94</v>
      </c>
    </row>
    <row r="89" spans="1:9" ht="15.75" customHeight="1">
      <c r="A89" s="22">
        <v>26</v>
      </c>
      <c r="B89" s="68" t="s">
        <v>188</v>
      </c>
      <c r="C89" s="69" t="s">
        <v>144</v>
      </c>
      <c r="D89" s="49"/>
      <c r="E89" s="10"/>
      <c r="F89" s="10">
        <f>3/3</f>
        <v>1</v>
      </c>
      <c r="G89" s="10">
        <v>1120.8900000000001</v>
      </c>
      <c r="H89" s="82">
        <f t="shared" si="8"/>
        <v>1.1208900000000002</v>
      </c>
      <c r="I89" s="10">
        <f>G89</f>
        <v>1120.8900000000001</v>
      </c>
    </row>
    <row r="90" spans="1:9" ht="15.75" customHeight="1">
      <c r="A90" s="22">
        <v>27</v>
      </c>
      <c r="B90" s="56" t="s">
        <v>137</v>
      </c>
      <c r="C90" s="57" t="s">
        <v>102</v>
      </c>
      <c r="D90" s="49"/>
      <c r="E90" s="10"/>
      <c r="F90" s="10">
        <v>790</v>
      </c>
      <c r="G90" s="10">
        <v>53.42</v>
      </c>
      <c r="H90" s="82">
        <f t="shared" si="8"/>
        <v>42.201800000000006</v>
      </c>
      <c r="I90" s="10">
        <f>G90*79</f>
        <v>4220.18</v>
      </c>
    </row>
    <row r="91" spans="1:9" ht="15.75" customHeight="1">
      <c r="A91" s="22">
        <v>28</v>
      </c>
      <c r="B91" s="56" t="s">
        <v>189</v>
      </c>
      <c r="C91" s="57" t="s">
        <v>136</v>
      </c>
      <c r="D91" s="49"/>
      <c r="E91" s="10"/>
      <c r="F91" s="10">
        <v>1</v>
      </c>
      <c r="G91" s="10">
        <v>86.15</v>
      </c>
      <c r="H91" s="82">
        <f t="shared" si="8"/>
        <v>8.6150000000000004E-2</v>
      </c>
      <c r="I91" s="10">
        <f>G91</f>
        <v>86.15</v>
      </c>
    </row>
    <row r="92" spans="1:9">
      <c r="A92" s="22"/>
      <c r="B92" s="45" t="s">
        <v>53</v>
      </c>
      <c r="C92" s="41"/>
      <c r="D92" s="51"/>
      <c r="E92" s="41">
        <v>1</v>
      </c>
      <c r="F92" s="41"/>
      <c r="G92" s="41"/>
      <c r="H92" s="41"/>
      <c r="I92" s="25">
        <f>SUM(I87:I91)</f>
        <v>8483.0500000000011</v>
      </c>
    </row>
    <row r="93" spans="1:9" ht="15.75" customHeight="1">
      <c r="A93" s="22"/>
      <c r="B93" s="49" t="s">
        <v>83</v>
      </c>
      <c r="C93" s="12"/>
      <c r="D93" s="12"/>
      <c r="E93" s="42"/>
      <c r="F93" s="42"/>
      <c r="G93" s="43"/>
      <c r="H93" s="43"/>
      <c r="I93" s="15">
        <v>0</v>
      </c>
    </row>
    <row r="94" spans="1:9" ht="15.75" customHeight="1">
      <c r="A94" s="52"/>
      <c r="B94" s="46" t="s">
        <v>192</v>
      </c>
      <c r="C94" s="30"/>
      <c r="D94" s="30"/>
      <c r="E94" s="30"/>
      <c r="F94" s="30"/>
      <c r="G94" s="30"/>
      <c r="H94" s="30"/>
      <c r="I94" s="44">
        <f>I85+I92</f>
        <v>106998.38747366666</v>
      </c>
    </row>
    <row r="95" spans="1:9" ht="15.75">
      <c r="A95" s="166" t="s">
        <v>191</v>
      </c>
      <c r="B95" s="166"/>
      <c r="C95" s="166"/>
      <c r="D95" s="166"/>
      <c r="E95" s="166"/>
      <c r="F95" s="166"/>
      <c r="G95" s="166"/>
      <c r="H95" s="166"/>
      <c r="I95" s="166"/>
    </row>
    <row r="96" spans="1:9" ht="15.75" customHeight="1">
      <c r="A96" s="67"/>
      <c r="B96" s="161" t="s">
        <v>190</v>
      </c>
      <c r="C96" s="161"/>
      <c r="D96" s="161"/>
      <c r="E96" s="161"/>
      <c r="F96" s="161"/>
      <c r="G96" s="161"/>
      <c r="H96" s="80"/>
      <c r="I96" s="2"/>
    </row>
    <row r="97" spans="1:9" ht="15.75" customHeight="1">
      <c r="A97" s="64"/>
      <c r="B97" s="157" t="s">
        <v>6</v>
      </c>
      <c r="C97" s="157"/>
      <c r="D97" s="157"/>
      <c r="E97" s="157"/>
      <c r="F97" s="157"/>
      <c r="G97" s="157"/>
      <c r="H97" s="17"/>
      <c r="I97" s="4"/>
    </row>
    <row r="98" spans="1:9" ht="7.5" customHeight="1">
      <c r="A98" s="7"/>
      <c r="B98" s="7"/>
      <c r="C98" s="7"/>
      <c r="D98" s="7"/>
      <c r="E98" s="7"/>
      <c r="F98" s="7"/>
      <c r="G98" s="7"/>
      <c r="H98" s="7"/>
      <c r="I98" s="7"/>
    </row>
    <row r="99" spans="1:9" ht="15.75" customHeight="1">
      <c r="A99" s="162" t="s">
        <v>7</v>
      </c>
      <c r="B99" s="162"/>
      <c r="C99" s="162"/>
      <c r="D99" s="162"/>
      <c r="E99" s="162"/>
      <c r="F99" s="162"/>
      <c r="G99" s="162"/>
      <c r="H99" s="162"/>
      <c r="I99" s="162"/>
    </row>
    <row r="100" spans="1:9" ht="15.75" customHeight="1">
      <c r="A100" s="162" t="s">
        <v>8</v>
      </c>
      <c r="B100" s="162"/>
      <c r="C100" s="162"/>
      <c r="D100" s="162"/>
      <c r="E100" s="162"/>
      <c r="F100" s="162"/>
      <c r="G100" s="162"/>
      <c r="H100" s="162"/>
      <c r="I100" s="162"/>
    </row>
    <row r="101" spans="1:9" ht="15.75">
      <c r="A101" s="163" t="s">
        <v>63</v>
      </c>
      <c r="B101" s="163"/>
      <c r="C101" s="163"/>
      <c r="D101" s="163"/>
      <c r="E101" s="163"/>
      <c r="F101" s="163"/>
      <c r="G101" s="163"/>
      <c r="H101" s="163"/>
      <c r="I101" s="163"/>
    </row>
    <row r="102" spans="1:9" ht="8.25" customHeight="1">
      <c r="A102" s="8"/>
    </row>
    <row r="103" spans="1:9" ht="15.75">
      <c r="A103" s="164" t="s">
        <v>9</v>
      </c>
      <c r="B103" s="164"/>
      <c r="C103" s="164"/>
      <c r="D103" s="164"/>
      <c r="E103" s="164"/>
      <c r="F103" s="164"/>
      <c r="G103" s="164"/>
      <c r="H103" s="164"/>
      <c r="I103" s="164"/>
    </row>
    <row r="104" spans="1:9" ht="15.75" customHeight="1">
      <c r="A104" s="3"/>
    </row>
    <row r="105" spans="1:9" ht="15.75">
      <c r="B105" s="61" t="s">
        <v>10</v>
      </c>
      <c r="C105" s="156" t="s">
        <v>150</v>
      </c>
      <c r="D105" s="156"/>
      <c r="E105" s="156"/>
      <c r="F105" s="78"/>
      <c r="I105" s="63"/>
    </row>
    <row r="106" spans="1:9">
      <c r="A106" s="64"/>
      <c r="C106" s="157" t="s">
        <v>11</v>
      </c>
      <c r="D106" s="157"/>
      <c r="E106" s="157"/>
      <c r="F106" s="17"/>
      <c r="I106" s="62" t="s">
        <v>12</v>
      </c>
    </row>
    <row r="107" spans="1:9" ht="15.75">
      <c r="A107" s="18"/>
      <c r="C107" s="9"/>
      <c r="D107" s="9"/>
      <c r="G107" s="9"/>
      <c r="H107" s="9"/>
    </row>
    <row r="108" spans="1:9" ht="15.75" customHeight="1">
      <c r="B108" s="61" t="s">
        <v>13</v>
      </c>
      <c r="C108" s="158"/>
      <c r="D108" s="158"/>
      <c r="E108" s="158"/>
      <c r="F108" s="79"/>
      <c r="I108" s="63"/>
    </row>
    <row r="109" spans="1:9" ht="15.75" customHeight="1">
      <c r="A109" s="64"/>
      <c r="C109" s="159" t="s">
        <v>11</v>
      </c>
      <c r="D109" s="159"/>
      <c r="E109" s="159"/>
      <c r="F109" s="64"/>
      <c r="I109" s="62" t="s">
        <v>12</v>
      </c>
    </row>
    <row r="110" spans="1:9" ht="15.75" customHeight="1">
      <c r="A110" s="3" t="s">
        <v>14</v>
      </c>
    </row>
    <row r="111" spans="1:9">
      <c r="A111" s="160" t="s">
        <v>15</v>
      </c>
      <c r="B111" s="160"/>
      <c r="C111" s="160"/>
      <c r="D111" s="160"/>
      <c r="E111" s="160"/>
      <c r="F111" s="160"/>
      <c r="G111" s="160"/>
      <c r="H111" s="160"/>
      <c r="I111" s="160"/>
    </row>
    <row r="112" spans="1:9" ht="45" customHeight="1">
      <c r="A112" s="152" t="s">
        <v>16</v>
      </c>
      <c r="B112" s="152"/>
      <c r="C112" s="152"/>
      <c r="D112" s="152"/>
      <c r="E112" s="152"/>
      <c r="F112" s="152"/>
      <c r="G112" s="152"/>
      <c r="H112" s="152"/>
      <c r="I112" s="152"/>
    </row>
    <row r="113" spans="1:9" ht="30" customHeight="1">
      <c r="A113" s="152" t="s">
        <v>17</v>
      </c>
      <c r="B113" s="152"/>
      <c r="C113" s="152"/>
      <c r="D113" s="152"/>
      <c r="E113" s="152"/>
      <c r="F113" s="152"/>
      <c r="G113" s="152"/>
      <c r="H113" s="152"/>
      <c r="I113" s="152"/>
    </row>
    <row r="114" spans="1:9" ht="30" customHeight="1">
      <c r="A114" s="152" t="s">
        <v>21</v>
      </c>
      <c r="B114" s="152"/>
      <c r="C114" s="152"/>
      <c r="D114" s="152"/>
      <c r="E114" s="152"/>
      <c r="F114" s="152"/>
      <c r="G114" s="152"/>
      <c r="H114" s="152"/>
      <c r="I114" s="152"/>
    </row>
    <row r="115" spans="1:9" ht="15" customHeight="1">
      <c r="A115" s="152" t="s">
        <v>20</v>
      </c>
      <c r="B115" s="152"/>
      <c r="C115" s="152"/>
      <c r="D115" s="152"/>
      <c r="E115" s="152"/>
      <c r="F115" s="152"/>
      <c r="G115" s="152"/>
      <c r="H115" s="152"/>
      <c r="I115" s="152"/>
    </row>
  </sheetData>
  <mergeCells count="28">
    <mergeCell ref="A14:I14"/>
    <mergeCell ref="A3:I3"/>
    <mergeCell ref="A4:I4"/>
    <mergeCell ref="A5:I5"/>
    <mergeCell ref="A8:I8"/>
    <mergeCell ref="A10:I10"/>
    <mergeCell ref="A101:I101"/>
    <mergeCell ref="A103:I103"/>
    <mergeCell ref="A15:I15"/>
    <mergeCell ref="A28:I28"/>
    <mergeCell ref="A95:I95"/>
    <mergeCell ref="A86:I86"/>
    <mergeCell ref="A113:I113"/>
    <mergeCell ref="A114:I114"/>
    <mergeCell ref="A115:I115"/>
    <mergeCell ref="A43:I43"/>
    <mergeCell ref="A54:I54"/>
    <mergeCell ref="A82:I82"/>
    <mergeCell ref="C105:E105"/>
    <mergeCell ref="C106:E106"/>
    <mergeCell ref="C108:E108"/>
    <mergeCell ref="C109:E109"/>
    <mergeCell ref="A111:I111"/>
    <mergeCell ref="A112:I112"/>
    <mergeCell ref="B96:G96"/>
    <mergeCell ref="B97:G97"/>
    <mergeCell ref="A99:I99"/>
    <mergeCell ref="A100:I100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38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91</v>
      </c>
      <c r="I1" s="19"/>
    </row>
    <row r="2" spans="1:9" ht="15.75">
      <c r="A2" s="21" t="s">
        <v>64</v>
      </c>
    </row>
    <row r="3" spans="1:9" ht="15.75">
      <c r="A3" s="171" t="s">
        <v>181</v>
      </c>
      <c r="B3" s="171"/>
      <c r="C3" s="171"/>
      <c r="D3" s="171"/>
      <c r="E3" s="171"/>
      <c r="F3" s="171"/>
      <c r="G3" s="171"/>
      <c r="H3" s="171"/>
      <c r="I3" s="171"/>
    </row>
    <row r="4" spans="1:9" ht="31.5" customHeight="1">
      <c r="A4" s="172" t="s">
        <v>143</v>
      </c>
      <c r="B4" s="172"/>
      <c r="C4" s="172"/>
      <c r="D4" s="172"/>
      <c r="E4" s="172"/>
      <c r="F4" s="172"/>
      <c r="G4" s="172"/>
      <c r="H4" s="172"/>
      <c r="I4" s="172"/>
    </row>
    <row r="5" spans="1:9" ht="15.75">
      <c r="A5" s="171" t="s">
        <v>236</v>
      </c>
      <c r="B5" s="173"/>
      <c r="C5" s="173"/>
      <c r="D5" s="173"/>
      <c r="E5" s="173"/>
      <c r="F5" s="173"/>
      <c r="G5" s="173"/>
      <c r="H5" s="173"/>
      <c r="I5" s="173"/>
    </row>
    <row r="6" spans="1:9" ht="15.75">
      <c r="A6" s="1"/>
      <c r="B6" s="72"/>
      <c r="C6" s="72"/>
      <c r="D6" s="72"/>
      <c r="E6" s="72"/>
      <c r="F6" s="72"/>
      <c r="G6" s="72"/>
      <c r="H6" s="72"/>
      <c r="I6" s="23">
        <v>43039</v>
      </c>
    </row>
    <row r="7" spans="1:9" ht="15.75">
      <c r="B7" s="74"/>
      <c r="C7" s="74"/>
      <c r="D7" s="74"/>
      <c r="E7" s="2"/>
      <c r="F7" s="2"/>
      <c r="G7" s="2"/>
      <c r="H7" s="2"/>
    </row>
    <row r="8" spans="1:9" ht="78.75" customHeight="1">
      <c r="A8" s="174" t="s">
        <v>147</v>
      </c>
      <c r="B8" s="174"/>
      <c r="C8" s="174"/>
      <c r="D8" s="174"/>
      <c r="E8" s="174"/>
      <c r="F8" s="174"/>
      <c r="G8" s="174"/>
      <c r="H8" s="174"/>
      <c r="I8" s="174"/>
    </row>
    <row r="9" spans="1:9" ht="15.75">
      <c r="A9" s="3"/>
    </row>
    <row r="10" spans="1:9" ht="47.25" customHeight="1">
      <c r="A10" s="175" t="s">
        <v>299</v>
      </c>
      <c r="B10" s="175"/>
      <c r="C10" s="175"/>
      <c r="D10" s="175"/>
      <c r="E10" s="175"/>
      <c r="F10" s="175"/>
      <c r="G10" s="175"/>
      <c r="H10" s="175"/>
      <c r="I10" s="17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70" t="s">
        <v>61</v>
      </c>
      <c r="B14" s="170"/>
      <c r="C14" s="170"/>
      <c r="D14" s="170"/>
      <c r="E14" s="170"/>
      <c r="F14" s="170"/>
      <c r="G14" s="170"/>
      <c r="H14" s="170"/>
      <c r="I14" s="170"/>
    </row>
    <row r="15" spans="1:9" ht="15" customHeight="1">
      <c r="A15" s="165" t="s">
        <v>4</v>
      </c>
      <c r="B15" s="165"/>
      <c r="C15" s="165"/>
      <c r="D15" s="165"/>
      <c r="E15" s="165"/>
      <c r="F15" s="165"/>
      <c r="G15" s="165"/>
      <c r="H15" s="165"/>
      <c r="I15" s="165"/>
    </row>
    <row r="16" spans="1:9" ht="31.5" customHeight="1">
      <c r="A16" s="22">
        <v>1</v>
      </c>
      <c r="B16" s="84" t="s">
        <v>109</v>
      </c>
      <c r="C16" s="85" t="s">
        <v>93</v>
      </c>
      <c r="D16" s="84" t="s">
        <v>110</v>
      </c>
      <c r="E16" s="86">
        <v>121.14</v>
      </c>
      <c r="F16" s="87">
        <f>SUM(E16*156/100)</f>
        <v>188.97839999999999</v>
      </c>
      <c r="G16" s="87">
        <v>175.38</v>
      </c>
      <c r="H16" s="88">
        <f t="shared" ref="H16:H25" si="0">SUM(F16*G16/1000)</f>
        <v>33.143031792000002</v>
      </c>
      <c r="I16" s="10">
        <f>F16/12*G16</f>
        <v>2761.9193159999995</v>
      </c>
    </row>
    <row r="17" spans="1:9" ht="31.5" customHeight="1">
      <c r="A17" s="22">
        <v>2</v>
      </c>
      <c r="B17" s="84" t="s">
        <v>111</v>
      </c>
      <c r="C17" s="85" t="s">
        <v>93</v>
      </c>
      <c r="D17" s="84" t="s">
        <v>112</v>
      </c>
      <c r="E17" s="86">
        <v>484.56</v>
      </c>
      <c r="F17" s="87">
        <f>SUM(E17*104/100)</f>
        <v>503.94239999999996</v>
      </c>
      <c r="G17" s="87">
        <v>175.38</v>
      </c>
      <c r="H17" s="88">
        <f t="shared" si="0"/>
        <v>88.381418111999992</v>
      </c>
      <c r="I17" s="10">
        <f>F17/12*G17</f>
        <v>7365.118175999999</v>
      </c>
    </row>
    <row r="18" spans="1:9" ht="31.5" customHeight="1">
      <c r="A18" s="22">
        <v>3</v>
      </c>
      <c r="B18" s="84" t="s">
        <v>113</v>
      </c>
      <c r="C18" s="85" t="s">
        <v>93</v>
      </c>
      <c r="D18" s="84" t="s">
        <v>129</v>
      </c>
      <c r="E18" s="86">
        <f>SUM(E16+E17)</f>
        <v>605.70000000000005</v>
      </c>
      <c r="F18" s="87">
        <f>SUM(E18*24/100)</f>
        <v>145.36800000000002</v>
      </c>
      <c r="G18" s="87">
        <v>504.5</v>
      </c>
      <c r="H18" s="88">
        <f t="shared" si="0"/>
        <v>73.338156000000012</v>
      </c>
      <c r="I18" s="10">
        <f>F18/12*G18</f>
        <v>6111.5130000000008</v>
      </c>
    </row>
    <row r="19" spans="1:9" ht="15.75" hidden="1" customHeight="1">
      <c r="A19" s="22"/>
      <c r="B19" s="84" t="s">
        <v>114</v>
      </c>
      <c r="C19" s="85" t="s">
        <v>115</v>
      </c>
      <c r="D19" s="84" t="s">
        <v>116</v>
      </c>
      <c r="E19" s="86">
        <v>38.4</v>
      </c>
      <c r="F19" s="87">
        <f>SUM(E19/10)</f>
        <v>3.84</v>
      </c>
      <c r="G19" s="87">
        <v>170.16</v>
      </c>
      <c r="H19" s="88">
        <f t="shared" si="0"/>
        <v>0.65341439999999995</v>
      </c>
      <c r="I19" s="10">
        <v>0</v>
      </c>
    </row>
    <row r="20" spans="1:9" ht="15.75" customHeight="1">
      <c r="A20" s="22">
        <v>4</v>
      </c>
      <c r="B20" s="84" t="s">
        <v>117</v>
      </c>
      <c r="C20" s="85" t="s">
        <v>93</v>
      </c>
      <c r="D20" s="84" t="s">
        <v>30</v>
      </c>
      <c r="E20" s="86">
        <v>58.4</v>
      </c>
      <c r="F20" s="87">
        <f>SUM(E20*12/100)</f>
        <v>7.0079999999999991</v>
      </c>
      <c r="G20" s="87">
        <v>217.88</v>
      </c>
      <c r="H20" s="88">
        <f t="shared" si="0"/>
        <v>1.5269030399999997</v>
      </c>
      <c r="I20" s="10">
        <f>F20/12*G20</f>
        <v>127.24191999999999</v>
      </c>
    </row>
    <row r="21" spans="1:9" ht="15.75" customHeight="1">
      <c r="A21" s="22">
        <v>5</v>
      </c>
      <c r="B21" s="84" t="s">
        <v>118</v>
      </c>
      <c r="C21" s="85" t="s">
        <v>93</v>
      </c>
      <c r="D21" s="84" t="s">
        <v>30</v>
      </c>
      <c r="E21" s="86">
        <v>9.08</v>
      </c>
      <c r="F21" s="87">
        <f>SUM(E21*12/100)</f>
        <v>1.0896000000000001</v>
      </c>
      <c r="G21" s="87">
        <v>216.12</v>
      </c>
      <c r="H21" s="88">
        <f t="shared" si="0"/>
        <v>0.23548435200000004</v>
      </c>
      <c r="I21" s="10">
        <f>F21/12*G21</f>
        <v>19.623696000000002</v>
      </c>
    </row>
    <row r="22" spans="1:9" ht="15.75" hidden="1" customHeight="1">
      <c r="A22" s="22"/>
      <c r="B22" s="84" t="s">
        <v>120</v>
      </c>
      <c r="C22" s="85" t="s">
        <v>54</v>
      </c>
      <c r="D22" s="84" t="s">
        <v>116</v>
      </c>
      <c r="E22" s="86">
        <v>714</v>
      </c>
      <c r="F22" s="87">
        <f>SUM(E22/100)</f>
        <v>7.14</v>
      </c>
      <c r="G22" s="87">
        <v>269.26</v>
      </c>
      <c r="H22" s="88">
        <f t="shared" si="0"/>
        <v>1.9225163999999997</v>
      </c>
      <c r="I22" s="10">
        <v>0</v>
      </c>
    </row>
    <row r="23" spans="1:9" ht="15.75" hidden="1" customHeight="1">
      <c r="A23" s="22"/>
      <c r="B23" s="84" t="s">
        <v>121</v>
      </c>
      <c r="C23" s="85" t="s">
        <v>54</v>
      </c>
      <c r="D23" s="84" t="s">
        <v>116</v>
      </c>
      <c r="E23" s="89">
        <v>96.6</v>
      </c>
      <c r="F23" s="87">
        <f>SUM(E23/100)</f>
        <v>0.96599999999999997</v>
      </c>
      <c r="G23" s="87">
        <v>44.29</v>
      </c>
      <c r="H23" s="88">
        <f t="shared" si="0"/>
        <v>4.2784139999999998E-2</v>
      </c>
      <c r="I23" s="10">
        <v>0</v>
      </c>
    </row>
    <row r="24" spans="1:9" ht="15.75" customHeight="1">
      <c r="A24" s="22">
        <v>6</v>
      </c>
      <c r="B24" s="84" t="s">
        <v>122</v>
      </c>
      <c r="C24" s="85" t="s">
        <v>54</v>
      </c>
      <c r="D24" s="84" t="s">
        <v>141</v>
      </c>
      <c r="E24" s="86">
        <v>32</v>
      </c>
      <c r="F24" s="87">
        <f>E24*12/100</f>
        <v>3.84</v>
      </c>
      <c r="G24" s="87">
        <v>389.42</v>
      </c>
      <c r="H24" s="88">
        <f t="shared" si="0"/>
        <v>1.4953728000000002</v>
      </c>
      <c r="I24" s="10">
        <f>F24/12*G24</f>
        <v>124.6144</v>
      </c>
    </row>
    <row r="25" spans="1:9" ht="15.75" customHeight="1">
      <c r="A25" s="22">
        <v>7</v>
      </c>
      <c r="B25" s="84" t="s">
        <v>124</v>
      </c>
      <c r="C25" s="85" t="s">
        <v>54</v>
      </c>
      <c r="D25" s="84" t="s">
        <v>142</v>
      </c>
      <c r="E25" s="86">
        <v>17</v>
      </c>
      <c r="F25" s="87">
        <f>SUM(E25*12/100)</f>
        <v>2.04</v>
      </c>
      <c r="G25" s="87">
        <v>520.79999999999995</v>
      </c>
      <c r="H25" s="88">
        <f t="shared" si="0"/>
        <v>1.062432</v>
      </c>
      <c r="I25" s="10">
        <f>F25/12*G25</f>
        <v>88.536000000000001</v>
      </c>
    </row>
    <row r="26" spans="1:9" ht="15.75" customHeight="1">
      <c r="A26" s="22">
        <v>8</v>
      </c>
      <c r="B26" s="84" t="s">
        <v>66</v>
      </c>
      <c r="C26" s="85" t="s">
        <v>33</v>
      </c>
      <c r="D26" s="84" t="s">
        <v>155</v>
      </c>
      <c r="E26" s="86">
        <v>0.1</v>
      </c>
      <c r="F26" s="87">
        <f>SUM(E26*365)</f>
        <v>36.5</v>
      </c>
      <c r="G26" s="87">
        <v>147.03</v>
      </c>
      <c r="H26" s="88">
        <f>SUM(F26*G26/1000)</f>
        <v>5.3665950000000002</v>
      </c>
      <c r="I26" s="10">
        <f>F26/12*G26</f>
        <v>447.21625</v>
      </c>
    </row>
    <row r="27" spans="1:9" ht="15.75" customHeight="1">
      <c r="A27" s="22">
        <v>9</v>
      </c>
      <c r="B27" s="93" t="s">
        <v>23</v>
      </c>
      <c r="C27" s="85" t="s">
        <v>24</v>
      </c>
      <c r="D27" s="93" t="s">
        <v>156</v>
      </c>
      <c r="E27" s="86">
        <v>4394</v>
      </c>
      <c r="F27" s="87">
        <f>SUM(E27*12)</f>
        <v>52728</v>
      </c>
      <c r="G27" s="87">
        <v>4.53</v>
      </c>
      <c r="H27" s="88">
        <f>SUM(F27*G27/1000)</f>
        <v>238.85784000000004</v>
      </c>
      <c r="I27" s="10">
        <f>F27/12*G27</f>
        <v>19904.82</v>
      </c>
    </row>
    <row r="28" spans="1:9" ht="15.75" customHeight="1">
      <c r="A28" s="153" t="s">
        <v>90</v>
      </c>
      <c r="B28" s="154"/>
      <c r="C28" s="154"/>
      <c r="D28" s="154"/>
      <c r="E28" s="154"/>
      <c r="F28" s="154"/>
      <c r="G28" s="154"/>
      <c r="H28" s="154"/>
      <c r="I28" s="155"/>
    </row>
    <row r="29" spans="1:9" ht="15.75" customHeight="1">
      <c r="A29" s="22"/>
      <c r="B29" s="107" t="s">
        <v>28</v>
      </c>
      <c r="C29" s="85"/>
      <c r="D29" s="84"/>
      <c r="E29" s="86"/>
      <c r="F29" s="87"/>
      <c r="G29" s="87"/>
      <c r="H29" s="88"/>
      <c r="I29" s="10"/>
    </row>
    <row r="30" spans="1:9" ht="31.5" customHeight="1">
      <c r="A30" s="22">
        <v>10</v>
      </c>
      <c r="B30" s="84" t="s">
        <v>101</v>
      </c>
      <c r="C30" s="85" t="s">
        <v>95</v>
      </c>
      <c r="D30" s="84" t="s">
        <v>130</v>
      </c>
      <c r="E30" s="87">
        <v>2873.1</v>
      </c>
      <c r="F30" s="87">
        <f>SUM(E30*26/1000)</f>
        <v>74.700599999999994</v>
      </c>
      <c r="G30" s="87">
        <v>155.88999999999999</v>
      </c>
      <c r="H30" s="88">
        <f t="shared" ref="H30:H35" si="1">SUM(F30*G30/1000)</f>
        <v>11.645076533999998</v>
      </c>
      <c r="I30" s="10">
        <f t="shared" ref="I30:I33" si="2">F30/6*G30</f>
        <v>1940.8460889999997</v>
      </c>
    </row>
    <row r="31" spans="1:9" ht="31.5" customHeight="1">
      <c r="A31" s="22">
        <v>11</v>
      </c>
      <c r="B31" s="84" t="s">
        <v>169</v>
      </c>
      <c r="C31" s="85" t="s">
        <v>95</v>
      </c>
      <c r="D31" s="84" t="s">
        <v>125</v>
      </c>
      <c r="E31" s="87">
        <v>824.5</v>
      </c>
      <c r="F31" s="87">
        <f>SUM(E31*78/1000)</f>
        <v>64.311000000000007</v>
      </c>
      <c r="G31" s="87">
        <v>258.63</v>
      </c>
      <c r="H31" s="88">
        <f t="shared" si="1"/>
        <v>16.632753930000003</v>
      </c>
      <c r="I31" s="10">
        <f t="shared" si="2"/>
        <v>2772.1256550000003</v>
      </c>
    </row>
    <row r="32" spans="1:9" ht="15.75" hidden="1" customHeight="1">
      <c r="A32" s="22"/>
      <c r="B32" s="84" t="s">
        <v>27</v>
      </c>
      <c r="C32" s="85" t="s">
        <v>95</v>
      </c>
      <c r="D32" s="84" t="s">
        <v>55</v>
      </c>
      <c r="E32" s="87">
        <v>2873.1</v>
      </c>
      <c r="F32" s="87">
        <f>SUM(E32/1000)</f>
        <v>2.8731</v>
      </c>
      <c r="G32" s="87">
        <v>3020.33</v>
      </c>
      <c r="H32" s="88">
        <f t="shared" si="1"/>
        <v>8.6777101229999989</v>
      </c>
      <c r="I32" s="10">
        <f>F32*G32</f>
        <v>8677.7101229999989</v>
      </c>
    </row>
    <row r="33" spans="1:9" ht="15.75" customHeight="1">
      <c r="A33" s="22">
        <v>12</v>
      </c>
      <c r="B33" s="84" t="s">
        <v>100</v>
      </c>
      <c r="C33" s="85" t="s">
        <v>31</v>
      </c>
      <c r="D33" s="84" t="s">
        <v>65</v>
      </c>
      <c r="E33" s="92">
        <v>0.33333333333333331</v>
      </c>
      <c r="F33" s="87">
        <f>155/3</f>
        <v>51.666666666666664</v>
      </c>
      <c r="G33" s="87">
        <v>56.69</v>
      </c>
      <c r="H33" s="88">
        <f>SUM(G33*155/3/1000)</f>
        <v>2.9289833333333331</v>
      </c>
      <c r="I33" s="10">
        <f t="shared" si="2"/>
        <v>488.16388888888883</v>
      </c>
    </row>
    <row r="34" spans="1:9" ht="15.75" hidden="1" customHeight="1">
      <c r="A34" s="22"/>
      <c r="B34" s="84" t="s">
        <v>67</v>
      </c>
      <c r="C34" s="85" t="s">
        <v>33</v>
      </c>
      <c r="D34" s="84" t="s">
        <v>69</v>
      </c>
      <c r="E34" s="86"/>
      <c r="F34" s="87">
        <v>2</v>
      </c>
      <c r="G34" s="87">
        <v>191.32</v>
      </c>
      <c r="H34" s="88">
        <f t="shared" si="1"/>
        <v>0.38263999999999998</v>
      </c>
      <c r="I34" s="10">
        <v>0</v>
      </c>
    </row>
    <row r="35" spans="1:9" ht="15.75" hidden="1" customHeight="1">
      <c r="A35" s="22"/>
      <c r="B35" s="84" t="s">
        <v>68</v>
      </c>
      <c r="C35" s="85" t="s">
        <v>32</v>
      </c>
      <c r="D35" s="84" t="s">
        <v>69</v>
      </c>
      <c r="E35" s="86"/>
      <c r="F35" s="87">
        <v>3</v>
      </c>
      <c r="G35" s="87">
        <v>1136.33</v>
      </c>
      <c r="H35" s="88">
        <f t="shared" si="1"/>
        <v>3.4089899999999997</v>
      </c>
      <c r="I35" s="10">
        <v>0</v>
      </c>
    </row>
    <row r="36" spans="1:9" ht="15.75" hidden="1" customHeight="1">
      <c r="A36" s="22"/>
      <c r="B36" s="91" t="s">
        <v>5</v>
      </c>
      <c r="C36" s="85"/>
      <c r="D36" s="84"/>
      <c r="E36" s="86"/>
      <c r="F36" s="87"/>
      <c r="G36" s="87"/>
      <c r="H36" s="88" t="s">
        <v>156</v>
      </c>
      <c r="I36" s="10"/>
    </row>
    <row r="37" spans="1:9" ht="15.75" hidden="1" customHeight="1">
      <c r="A37" s="22">
        <v>10</v>
      </c>
      <c r="B37" s="84" t="s">
        <v>26</v>
      </c>
      <c r="C37" s="85" t="s">
        <v>32</v>
      </c>
      <c r="D37" s="84"/>
      <c r="E37" s="86"/>
      <c r="F37" s="87">
        <v>15</v>
      </c>
      <c r="G37" s="87">
        <v>1527.22</v>
      </c>
      <c r="H37" s="88">
        <f t="shared" ref="H37:H42" si="3">SUM(F37*G37/1000)</f>
        <v>22.908300000000001</v>
      </c>
      <c r="I37" s="10">
        <f t="shared" ref="I37:I42" si="4">F37/6*G37</f>
        <v>3818.05</v>
      </c>
    </row>
    <row r="38" spans="1:9" ht="15.75" hidden="1" customHeight="1">
      <c r="A38" s="22">
        <v>11</v>
      </c>
      <c r="B38" s="84" t="s">
        <v>70</v>
      </c>
      <c r="C38" s="85" t="s">
        <v>29</v>
      </c>
      <c r="D38" s="84" t="s">
        <v>131</v>
      </c>
      <c r="E38" s="87">
        <v>824.5</v>
      </c>
      <c r="F38" s="87">
        <f>SUM(E38*50/1000)</f>
        <v>41.225000000000001</v>
      </c>
      <c r="G38" s="87">
        <v>2102.71</v>
      </c>
      <c r="H38" s="88">
        <f t="shared" si="3"/>
        <v>86.684219749999997</v>
      </c>
      <c r="I38" s="10">
        <f t="shared" si="4"/>
        <v>14447.369958333335</v>
      </c>
    </row>
    <row r="39" spans="1:9" ht="15.75" hidden="1" customHeight="1">
      <c r="A39" s="22">
        <v>12</v>
      </c>
      <c r="B39" s="84" t="s">
        <v>71</v>
      </c>
      <c r="C39" s="85" t="s">
        <v>29</v>
      </c>
      <c r="D39" s="84" t="s">
        <v>94</v>
      </c>
      <c r="E39" s="87">
        <v>188</v>
      </c>
      <c r="F39" s="87">
        <f>SUM(E39*155/1000)</f>
        <v>29.14</v>
      </c>
      <c r="G39" s="87">
        <v>350.75</v>
      </c>
      <c r="H39" s="88">
        <f t="shared" si="3"/>
        <v>10.220855</v>
      </c>
      <c r="I39" s="10">
        <f t="shared" si="4"/>
        <v>1703.4758333333332</v>
      </c>
    </row>
    <row r="40" spans="1:9" ht="47.25" hidden="1" customHeight="1">
      <c r="A40" s="22">
        <v>13</v>
      </c>
      <c r="B40" s="84" t="s">
        <v>89</v>
      </c>
      <c r="C40" s="85" t="s">
        <v>95</v>
      </c>
      <c r="D40" s="84" t="s">
        <v>132</v>
      </c>
      <c r="E40" s="87">
        <v>188</v>
      </c>
      <c r="F40" s="87">
        <f>SUM(E40*12/1000)</f>
        <v>2.2559999999999998</v>
      </c>
      <c r="G40" s="87">
        <v>5803.28</v>
      </c>
      <c r="H40" s="88">
        <f t="shared" si="3"/>
        <v>13.092199679999998</v>
      </c>
      <c r="I40" s="10">
        <f t="shared" si="4"/>
        <v>2182.0332799999996</v>
      </c>
    </row>
    <row r="41" spans="1:9" ht="15.75" hidden="1" customHeight="1">
      <c r="A41" s="22">
        <v>14</v>
      </c>
      <c r="B41" s="84" t="s">
        <v>96</v>
      </c>
      <c r="C41" s="85" t="s">
        <v>95</v>
      </c>
      <c r="D41" s="84" t="s">
        <v>72</v>
      </c>
      <c r="E41" s="87">
        <v>188</v>
      </c>
      <c r="F41" s="87">
        <f>SUM(E41*45/1000)</f>
        <v>8.4600000000000009</v>
      </c>
      <c r="G41" s="87">
        <v>428.7</v>
      </c>
      <c r="H41" s="88">
        <f t="shared" si="3"/>
        <v>3.6268020000000001</v>
      </c>
      <c r="I41" s="10">
        <f t="shared" si="4"/>
        <v>604.4670000000001</v>
      </c>
    </row>
    <row r="42" spans="1:9" ht="15.75" hidden="1" customHeight="1">
      <c r="A42" s="22">
        <v>15</v>
      </c>
      <c r="B42" s="84" t="s">
        <v>73</v>
      </c>
      <c r="C42" s="85" t="s">
        <v>33</v>
      </c>
      <c r="D42" s="84"/>
      <c r="E42" s="86"/>
      <c r="F42" s="87">
        <v>0.9</v>
      </c>
      <c r="G42" s="87">
        <v>798</v>
      </c>
      <c r="H42" s="88">
        <f t="shared" si="3"/>
        <v>0.71820000000000006</v>
      </c>
      <c r="I42" s="10">
        <f t="shared" si="4"/>
        <v>119.69999999999999</v>
      </c>
    </row>
    <row r="43" spans="1:9" ht="15.75" customHeight="1">
      <c r="A43" s="153" t="s">
        <v>148</v>
      </c>
      <c r="B43" s="154"/>
      <c r="C43" s="154"/>
      <c r="D43" s="154"/>
      <c r="E43" s="154"/>
      <c r="F43" s="154"/>
      <c r="G43" s="154"/>
      <c r="H43" s="154"/>
      <c r="I43" s="155"/>
    </row>
    <row r="44" spans="1:9" ht="15.75" hidden="1" customHeight="1">
      <c r="A44" s="22"/>
      <c r="B44" s="84" t="s">
        <v>157</v>
      </c>
      <c r="C44" s="85" t="s">
        <v>95</v>
      </c>
      <c r="D44" s="84" t="s">
        <v>43</v>
      </c>
      <c r="E44" s="86">
        <v>1609.3</v>
      </c>
      <c r="F44" s="87">
        <f>SUM(E44*2/1000)</f>
        <v>3.2185999999999999</v>
      </c>
      <c r="G44" s="10">
        <v>910.17</v>
      </c>
      <c r="H44" s="88">
        <f t="shared" ref="H44:H53" si="5">SUM(F44*G44/1000)</f>
        <v>2.9294731619999999</v>
      </c>
      <c r="I44" s="10">
        <v>0</v>
      </c>
    </row>
    <row r="45" spans="1:9" ht="15.75" hidden="1" customHeight="1">
      <c r="A45" s="22"/>
      <c r="B45" s="84" t="s">
        <v>36</v>
      </c>
      <c r="C45" s="85" t="s">
        <v>95</v>
      </c>
      <c r="D45" s="84" t="s">
        <v>43</v>
      </c>
      <c r="E45" s="86">
        <v>742</v>
      </c>
      <c r="F45" s="87">
        <f>SUM(E45*2/1000)</f>
        <v>1.484</v>
      </c>
      <c r="G45" s="10">
        <v>579.48</v>
      </c>
      <c r="H45" s="88">
        <f t="shared" si="5"/>
        <v>0.85994831999999999</v>
      </c>
      <c r="I45" s="10">
        <v>0</v>
      </c>
    </row>
    <row r="46" spans="1:9" ht="15.75" hidden="1" customHeight="1">
      <c r="A46" s="22"/>
      <c r="B46" s="84" t="s">
        <v>37</v>
      </c>
      <c r="C46" s="85" t="s">
        <v>95</v>
      </c>
      <c r="D46" s="84" t="s">
        <v>43</v>
      </c>
      <c r="E46" s="86">
        <v>4989.8100000000004</v>
      </c>
      <c r="F46" s="87">
        <f>SUM(E46*2/1000)</f>
        <v>9.9796200000000006</v>
      </c>
      <c r="G46" s="10">
        <v>579.48</v>
      </c>
      <c r="H46" s="88">
        <f t="shared" si="5"/>
        <v>5.7829901976000002</v>
      </c>
      <c r="I46" s="10">
        <v>0</v>
      </c>
    </row>
    <row r="47" spans="1:9" ht="15.75" hidden="1" customHeight="1">
      <c r="A47" s="22"/>
      <c r="B47" s="84" t="s">
        <v>38</v>
      </c>
      <c r="C47" s="85" t="s">
        <v>95</v>
      </c>
      <c r="D47" s="84" t="s">
        <v>43</v>
      </c>
      <c r="E47" s="86">
        <v>2654.21</v>
      </c>
      <c r="F47" s="87">
        <f>SUM(E47*2/1000)</f>
        <v>5.3084199999999999</v>
      </c>
      <c r="G47" s="10">
        <v>606.77</v>
      </c>
      <c r="H47" s="88">
        <f t="shared" si="5"/>
        <v>3.2209900033999999</v>
      </c>
      <c r="I47" s="10">
        <v>0</v>
      </c>
    </row>
    <row r="48" spans="1:9" ht="15.75" hidden="1" customHeight="1">
      <c r="A48" s="22"/>
      <c r="B48" s="84" t="s">
        <v>34</v>
      </c>
      <c r="C48" s="85" t="s">
        <v>35</v>
      </c>
      <c r="D48" s="84" t="s">
        <v>43</v>
      </c>
      <c r="E48" s="86">
        <v>128.53</v>
      </c>
      <c r="F48" s="87">
        <f>SUM(E48*2/100)</f>
        <v>2.5706000000000002</v>
      </c>
      <c r="G48" s="10">
        <v>72.81</v>
      </c>
      <c r="H48" s="88">
        <f t="shared" si="5"/>
        <v>0.18716538600000002</v>
      </c>
      <c r="I48" s="10">
        <v>0</v>
      </c>
    </row>
    <row r="49" spans="1:9" ht="15.75" hidden="1" customHeight="1">
      <c r="A49" s="22">
        <v>16</v>
      </c>
      <c r="B49" s="84" t="s">
        <v>58</v>
      </c>
      <c r="C49" s="85" t="s">
        <v>95</v>
      </c>
      <c r="D49" s="84" t="s">
        <v>170</v>
      </c>
      <c r="E49" s="86">
        <v>2026.8</v>
      </c>
      <c r="F49" s="87">
        <f>SUM(E49*5/1000)</f>
        <v>10.134</v>
      </c>
      <c r="G49" s="10">
        <v>1213.55</v>
      </c>
      <c r="H49" s="88">
        <f t="shared" si="5"/>
        <v>12.2981157</v>
      </c>
      <c r="I49" s="10">
        <f>F49/5*G49</f>
        <v>2459.6231400000001</v>
      </c>
    </row>
    <row r="50" spans="1:9" ht="31.5" customHeight="1">
      <c r="A50" s="22">
        <v>13</v>
      </c>
      <c r="B50" s="84" t="s">
        <v>97</v>
      </c>
      <c r="C50" s="85" t="s">
        <v>95</v>
      </c>
      <c r="D50" s="84" t="s">
        <v>43</v>
      </c>
      <c r="E50" s="86">
        <v>2026.8</v>
      </c>
      <c r="F50" s="87">
        <f>SUM(E50*2/1000)</f>
        <v>4.0536000000000003</v>
      </c>
      <c r="G50" s="10">
        <v>1213.55</v>
      </c>
      <c r="H50" s="88">
        <f t="shared" si="5"/>
        <v>4.9192462800000003</v>
      </c>
      <c r="I50" s="10">
        <f>F50/2*G50</f>
        <v>2459.6231400000001</v>
      </c>
    </row>
    <row r="51" spans="1:9" ht="31.5" customHeight="1">
      <c r="A51" s="22">
        <v>14</v>
      </c>
      <c r="B51" s="84" t="s">
        <v>98</v>
      </c>
      <c r="C51" s="85" t="s">
        <v>39</v>
      </c>
      <c r="D51" s="84" t="s">
        <v>43</v>
      </c>
      <c r="E51" s="86">
        <v>40</v>
      </c>
      <c r="F51" s="87">
        <f>SUM(E51*2/100)</f>
        <v>0.8</v>
      </c>
      <c r="G51" s="10">
        <v>2730.49</v>
      </c>
      <c r="H51" s="88">
        <f t="shared" si="5"/>
        <v>2.1843919999999999</v>
      </c>
      <c r="I51" s="10">
        <f t="shared" ref="I51:I52" si="6">F51/2*G51</f>
        <v>1092.1959999999999</v>
      </c>
    </row>
    <row r="52" spans="1:9" ht="15.75" customHeight="1">
      <c r="A52" s="22">
        <v>15</v>
      </c>
      <c r="B52" s="84" t="s">
        <v>40</v>
      </c>
      <c r="C52" s="85" t="s">
        <v>41</v>
      </c>
      <c r="D52" s="84" t="s">
        <v>43</v>
      </c>
      <c r="E52" s="86">
        <v>1</v>
      </c>
      <c r="F52" s="87">
        <v>0.02</v>
      </c>
      <c r="G52" s="10">
        <v>5652.13</v>
      </c>
      <c r="H52" s="88">
        <f t="shared" si="5"/>
        <v>0.11304260000000001</v>
      </c>
      <c r="I52" s="10">
        <f t="shared" si="6"/>
        <v>56.521300000000004</v>
      </c>
    </row>
    <row r="53" spans="1:9" ht="15.75" hidden="1" customHeight="1">
      <c r="A53" s="22">
        <v>17</v>
      </c>
      <c r="B53" s="84" t="s">
        <v>42</v>
      </c>
      <c r="C53" s="85" t="s">
        <v>102</v>
      </c>
      <c r="D53" s="84" t="s">
        <v>74</v>
      </c>
      <c r="E53" s="86">
        <v>160</v>
      </c>
      <c r="F53" s="87">
        <f>SUM(E53)*3</f>
        <v>480</v>
      </c>
      <c r="G53" s="10">
        <v>65.67</v>
      </c>
      <c r="H53" s="88">
        <f t="shared" si="5"/>
        <v>31.521600000000003</v>
      </c>
      <c r="I53" s="10">
        <f>E53*G53</f>
        <v>10507.2</v>
      </c>
    </row>
    <row r="54" spans="1:9" ht="15.75" customHeight="1">
      <c r="A54" s="153" t="s">
        <v>149</v>
      </c>
      <c r="B54" s="154"/>
      <c r="C54" s="154"/>
      <c r="D54" s="154"/>
      <c r="E54" s="154"/>
      <c r="F54" s="154"/>
      <c r="G54" s="154"/>
      <c r="H54" s="154"/>
      <c r="I54" s="155"/>
    </row>
    <row r="55" spans="1:9" ht="15.75" hidden="1" customHeight="1">
      <c r="A55" s="22"/>
      <c r="B55" s="107" t="s">
        <v>44</v>
      </c>
      <c r="C55" s="85"/>
      <c r="D55" s="84"/>
      <c r="E55" s="86"/>
      <c r="F55" s="87"/>
      <c r="G55" s="87"/>
      <c r="H55" s="88"/>
      <c r="I55" s="10"/>
    </row>
    <row r="56" spans="1:9" ht="31.5" hidden="1" customHeight="1">
      <c r="A56" s="22">
        <v>18</v>
      </c>
      <c r="B56" s="84" t="s">
        <v>158</v>
      </c>
      <c r="C56" s="85" t="s">
        <v>93</v>
      </c>
      <c r="D56" s="84" t="s">
        <v>126</v>
      </c>
      <c r="E56" s="86">
        <v>176.93</v>
      </c>
      <c r="F56" s="87">
        <f>SUM(E56*6/100)</f>
        <v>10.6158</v>
      </c>
      <c r="G56" s="10">
        <v>1547.28</v>
      </c>
      <c r="H56" s="88">
        <f>SUM(F56*G56/1000)</f>
        <v>16.425615023999999</v>
      </c>
      <c r="I56" s="10">
        <f>F56/6*G56</f>
        <v>2737.602504</v>
      </c>
    </row>
    <row r="57" spans="1:9" ht="15.75" customHeight="1">
      <c r="A57" s="22"/>
      <c r="B57" s="107" t="s">
        <v>45</v>
      </c>
      <c r="C57" s="85"/>
      <c r="D57" s="84"/>
      <c r="E57" s="86"/>
      <c r="F57" s="87"/>
      <c r="G57" s="109"/>
      <c r="H57" s="88"/>
      <c r="I57" s="10"/>
    </row>
    <row r="58" spans="1:9" ht="15.75" hidden="1" customHeight="1">
      <c r="A58" s="22"/>
      <c r="B58" s="84" t="s">
        <v>46</v>
      </c>
      <c r="C58" s="85" t="s">
        <v>93</v>
      </c>
      <c r="D58" s="84" t="s">
        <v>55</v>
      </c>
      <c r="E58" s="86">
        <v>2026.8</v>
      </c>
      <c r="F58" s="88">
        <v>20.268000000000001</v>
      </c>
      <c r="G58" s="10">
        <v>793.61</v>
      </c>
      <c r="H58" s="94">
        <v>16.085000000000001</v>
      </c>
      <c r="I58" s="10">
        <v>0</v>
      </c>
    </row>
    <row r="59" spans="1:9" ht="15.75" customHeight="1">
      <c r="A59" s="22">
        <v>16</v>
      </c>
      <c r="B59" s="84" t="s">
        <v>138</v>
      </c>
      <c r="C59" s="85" t="s">
        <v>25</v>
      </c>
      <c r="D59" s="84" t="s">
        <v>139</v>
      </c>
      <c r="E59" s="86">
        <v>325</v>
      </c>
      <c r="F59" s="87">
        <f>E59*12</f>
        <v>3900</v>
      </c>
      <c r="G59" s="110">
        <v>2.59</v>
      </c>
      <c r="H59" s="88">
        <f>F59*G59/1000</f>
        <v>10.101000000000001</v>
      </c>
      <c r="I59" s="10">
        <f>F59/12*G59</f>
        <v>841.75</v>
      </c>
    </row>
    <row r="60" spans="1:9" ht="15.75" hidden="1" customHeight="1">
      <c r="A60" s="22"/>
      <c r="B60" s="107" t="s">
        <v>159</v>
      </c>
      <c r="C60" s="85"/>
      <c r="D60" s="84"/>
      <c r="E60" s="86"/>
      <c r="F60" s="87"/>
      <c r="G60" s="87"/>
      <c r="H60" s="88" t="s">
        <v>156</v>
      </c>
      <c r="I60" s="10"/>
    </row>
    <row r="61" spans="1:9" ht="15.75" hidden="1" customHeight="1">
      <c r="A61" s="22"/>
      <c r="B61" s="84" t="s">
        <v>171</v>
      </c>
      <c r="C61" s="85" t="s">
        <v>102</v>
      </c>
      <c r="D61" s="84" t="s">
        <v>55</v>
      </c>
      <c r="E61" s="86">
        <v>4</v>
      </c>
      <c r="F61" s="87">
        <f>SUM(E61)</f>
        <v>4</v>
      </c>
      <c r="G61" s="95">
        <v>237.75</v>
      </c>
      <c r="H61" s="88">
        <f t="shared" ref="H61:H79" si="7">SUM(F61*G61/1000)</f>
        <v>0.95099999999999996</v>
      </c>
      <c r="I61" s="10">
        <v>0</v>
      </c>
    </row>
    <row r="62" spans="1:9" ht="15.75" hidden="1" customHeight="1">
      <c r="A62" s="22"/>
      <c r="B62" s="108" t="s">
        <v>47</v>
      </c>
      <c r="C62" s="96"/>
      <c r="D62" s="97"/>
      <c r="E62" s="98"/>
      <c r="F62" s="99"/>
      <c r="G62" s="99"/>
      <c r="H62" s="100" t="s">
        <v>156</v>
      </c>
      <c r="I62" s="10"/>
    </row>
    <row r="63" spans="1:9" ht="15.75" hidden="1" customHeight="1">
      <c r="A63" s="22">
        <v>20</v>
      </c>
      <c r="B63" s="11" t="s">
        <v>48</v>
      </c>
      <c r="C63" s="13" t="s">
        <v>102</v>
      </c>
      <c r="D63" s="11" t="s">
        <v>69</v>
      </c>
      <c r="E63" s="16">
        <v>30</v>
      </c>
      <c r="F63" s="87">
        <v>30</v>
      </c>
      <c r="G63" s="10">
        <v>222.4</v>
      </c>
      <c r="H63" s="82">
        <f t="shared" si="7"/>
        <v>6.6719999999999997</v>
      </c>
      <c r="I63" s="10">
        <f>G63</f>
        <v>222.4</v>
      </c>
    </row>
    <row r="64" spans="1:9" ht="15.75" hidden="1" customHeight="1">
      <c r="A64" s="22">
        <v>21</v>
      </c>
      <c r="B64" s="11" t="s">
        <v>49</v>
      </c>
      <c r="C64" s="13" t="s">
        <v>102</v>
      </c>
      <c r="D64" s="11" t="s">
        <v>69</v>
      </c>
      <c r="E64" s="16">
        <v>5</v>
      </c>
      <c r="F64" s="87">
        <v>5</v>
      </c>
      <c r="G64" s="10">
        <v>76.25</v>
      </c>
      <c r="H64" s="82">
        <f t="shared" si="7"/>
        <v>0.38124999999999998</v>
      </c>
      <c r="I64" s="10">
        <f>G64</f>
        <v>76.25</v>
      </c>
    </row>
    <row r="65" spans="1:9" ht="15.75" hidden="1" customHeight="1">
      <c r="A65" s="22"/>
      <c r="B65" s="11" t="s">
        <v>50</v>
      </c>
      <c r="C65" s="13" t="s">
        <v>103</v>
      </c>
      <c r="D65" s="11" t="s">
        <v>55</v>
      </c>
      <c r="E65" s="86">
        <v>24063</v>
      </c>
      <c r="F65" s="10">
        <f>SUM(E65/100)</f>
        <v>240.63</v>
      </c>
      <c r="G65" s="10">
        <v>212.15</v>
      </c>
      <c r="H65" s="82">
        <f t="shared" si="7"/>
        <v>51.049654499999995</v>
      </c>
      <c r="I65" s="10">
        <v>0</v>
      </c>
    </row>
    <row r="66" spans="1:9" ht="15.75" hidden="1" customHeight="1">
      <c r="A66" s="22"/>
      <c r="B66" s="11" t="s">
        <v>51</v>
      </c>
      <c r="C66" s="13" t="s">
        <v>104</v>
      </c>
      <c r="D66" s="11"/>
      <c r="E66" s="86">
        <v>24063</v>
      </c>
      <c r="F66" s="10">
        <f>SUM(E66/1000)</f>
        <v>24.062999999999999</v>
      </c>
      <c r="G66" s="10">
        <v>165.21</v>
      </c>
      <c r="H66" s="82">
        <f t="shared" si="7"/>
        <v>3.97544823</v>
      </c>
      <c r="I66" s="10">
        <v>0</v>
      </c>
    </row>
    <row r="67" spans="1:9" ht="15.75" hidden="1" customHeight="1">
      <c r="A67" s="22"/>
      <c r="B67" s="11" t="s">
        <v>52</v>
      </c>
      <c r="C67" s="13" t="s">
        <v>81</v>
      </c>
      <c r="D67" s="11" t="s">
        <v>55</v>
      </c>
      <c r="E67" s="86">
        <v>2730</v>
      </c>
      <c r="F67" s="10">
        <f>SUM(E67/100)</f>
        <v>27.3</v>
      </c>
      <c r="G67" s="10">
        <v>2074.63</v>
      </c>
      <c r="H67" s="82">
        <f t="shared" si="7"/>
        <v>56.637399000000002</v>
      </c>
      <c r="I67" s="10">
        <v>0</v>
      </c>
    </row>
    <row r="68" spans="1:9" ht="15.75" hidden="1" customHeight="1">
      <c r="A68" s="22"/>
      <c r="B68" s="101" t="s">
        <v>75</v>
      </c>
      <c r="C68" s="13" t="s">
        <v>33</v>
      </c>
      <c r="D68" s="11"/>
      <c r="E68" s="86">
        <v>21.4</v>
      </c>
      <c r="F68" s="10">
        <f>SUM(E68)</f>
        <v>21.4</v>
      </c>
      <c r="G68" s="10">
        <v>45.32</v>
      </c>
      <c r="H68" s="82">
        <f t="shared" si="7"/>
        <v>0.96984799999999993</v>
      </c>
      <c r="I68" s="10">
        <v>0</v>
      </c>
    </row>
    <row r="69" spans="1:9" ht="15.75" hidden="1" customHeight="1">
      <c r="A69" s="22"/>
      <c r="B69" s="101" t="s">
        <v>76</v>
      </c>
      <c r="C69" s="13" t="s">
        <v>33</v>
      </c>
      <c r="D69" s="11"/>
      <c r="E69" s="86">
        <v>21.4</v>
      </c>
      <c r="F69" s="10">
        <f>SUM(E69)</f>
        <v>21.4</v>
      </c>
      <c r="G69" s="10">
        <v>42.28</v>
      </c>
      <c r="H69" s="82">
        <f t="shared" si="7"/>
        <v>0.90479199999999993</v>
      </c>
      <c r="I69" s="10">
        <v>0</v>
      </c>
    </row>
    <row r="70" spans="1:9" ht="15.75" hidden="1" customHeight="1">
      <c r="A70" s="22">
        <v>22</v>
      </c>
      <c r="B70" s="101" t="s">
        <v>133</v>
      </c>
      <c r="C70" s="13"/>
      <c r="D70" s="11"/>
      <c r="E70" s="102"/>
      <c r="F70" s="76">
        <v>1</v>
      </c>
      <c r="G70" s="10">
        <v>5600</v>
      </c>
      <c r="H70" s="82">
        <f t="shared" si="7"/>
        <v>5.6</v>
      </c>
      <c r="I70" s="10">
        <f>F70*G70</f>
        <v>5600</v>
      </c>
    </row>
    <row r="71" spans="1:9" ht="15.75" hidden="1" customHeight="1">
      <c r="A71" s="22"/>
      <c r="B71" s="11" t="s">
        <v>59</v>
      </c>
      <c r="C71" s="13" t="s">
        <v>60</v>
      </c>
      <c r="D71" s="11" t="s">
        <v>55</v>
      </c>
      <c r="E71" s="16">
        <v>10</v>
      </c>
      <c r="F71" s="87">
        <f>SUM(E71)</f>
        <v>10</v>
      </c>
      <c r="G71" s="10">
        <v>49.88</v>
      </c>
      <c r="H71" s="82">
        <f t="shared" si="7"/>
        <v>0.49880000000000002</v>
      </c>
      <c r="I71" s="10">
        <v>0</v>
      </c>
    </row>
    <row r="72" spans="1:9" ht="15.75" customHeight="1">
      <c r="A72" s="22"/>
      <c r="B72" s="70" t="s">
        <v>77</v>
      </c>
      <c r="C72" s="13"/>
      <c r="D72" s="11"/>
      <c r="E72" s="16"/>
      <c r="F72" s="10"/>
      <c r="G72" s="10"/>
      <c r="H72" s="82" t="s">
        <v>156</v>
      </c>
      <c r="I72" s="10"/>
    </row>
    <row r="73" spans="1:9" ht="15.75" customHeight="1">
      <c r="A73" s="22">
        <v>17</v>
      </c>
      <c r="B73" s="11" t="s">
        <v>78</v>
      </c>
      <c r="C73" s="13" t="s">
        <v>79</v>
      </c>
      <c r="D73" s="11"/>
      <c r="E73" s="16">
        <v>160</v>
      </c>
      <c r="F73" s="10">
        <v>16</v>
      </c>
      <c r="G73" s="10">
        <v>501.62</v>
      </c>
      <c r="H73" s="82">
        <f t="shared" si="7"/>
        <v>8.0259199999999993</v>
      </c>
      <c r="I73" s="10">
        <f>G73*0.5</f>
        <v>250.81</v>
      </c>
    </row>
    <row r="74" spans="1:9" ht="15.75" hidden="1" customHeight="1">
      <c r="A74" s="22"/>
      <c r="B74" s="11" t="s">
        <v>128</v>
      </c>
      <c r="C74" s="13" t="s">
        <v>102</v>
      </c>
      <c r="D74" s="11"/>
      <c r="E74" s="16">
        <v>1</v>
      </c>
      <c r="F74" s="87">
        <f>SUM(E74)</f>
        <v>1</v>
      </c>
      <c r="G74" s="10">
        <v>358.51</v>
      </c>
      <c r="H74" s="82">
        <f t="shared" si="7"/>
        <v>0.35851</v>
      </c>
      <c r="I74" s="10">
        <v>0</v>
      </c>
    </row>
    <row r="75" spans="1:9" ht="15.75" customHeight="1">
      <c r="A75" s="22">
        <v>18</v>
      </c>
      <c r="B75" s="11" t="s">
        <v>134</v>
      </c>
      <c r="C75" s="13" t="s">
        <v>31</v>
      </c>
      <c r="D75" s="11"/>
      <c r="E75" s="16">
        <v>3</v>
      </c>
      <c r="F75" s="10">
        <v>3</v>
      </c>
      <c r="G75" s="10">
        <v>99.85</v>
      </c>
      <c r="H75" s="82">
        <f>F75*G75/1000</f>
        <v>0.29954999999999993</v>
      </c>
      <c r="I75" s="10">
        <f>G75</f>
        <v>99.85</v>
      </c>
    </row>
    <row r="76" spans="1:9" ht="15.75" hidden="1" customHeight="1">
      <c r="A76" s="22"/>
      <c r="B76" s="11" t="s">
        <v>135</v>
      </c>
      <c r="C76" s="13" t="s">
        <v>31</v>
      </c>
      <c r="D76" s="11"/>
      <c r="E76" s="16">
        <v>2</v>
      </c>
      <c r="F76" s="10">
        <v>2</v>
      </c>
      <c r="G76" s="10">
        <v>120.26</v>
      </c>
      <c r="H76" s="82">
        <f>F76*G76/1000</f>
        <v>0.24052000000000001</v>
      </c>
      <c r="I76" s="10">
        <v>0</v>
      </c>
    </row>
    <row r="77" spans="1:9" ht="15.75" hidden="1" customHeight="1">
      <c r="A77" s="22"/>
      <c r="B77" s="11" t="s">
        <v>127</v>
      </c>
      <c r="C77" s="13" t="s">
        <v>102</v>
      </c>
      <c r="D77" s="11"/>
      <c r="E77" s="16">
        <v>1</v>
      </c>
      <c r="F77" s="87">
        <f>SUM(E77)</f>
        <v>1</v>
      </c>
      <c r="G77" s="10">
        <v>911.85</v>
      </c>
      <c r="H77" s="82">
        <f t="shared" ref="H77" si="8">SUM(F77*G77/1000)</f>
        <v>0.91185000000000005</v>
      </c>
      <c r="I77" s="10">
        <v>0</v>
      </c>
    </row>
    <row r="78" spans="1:9" ht="15.75" hidden="1" customHeight="1">
      <c r="A78" s="22"/>
      <c r="B78" s="104" t="s">
        <v>80</v>
      </c>
      <c r="C78" s="13"/>
      <c r="D78" s="11"/>
      <c r="E78" s="16"/>
      <c r="F78" s="10"/>
      <c r="G78" s="10" t="s">
        <v>156</v>
      </c>
      <c r="H78" s="82" t="s">
        <v>156</v>
      </c>
      <c r="I78" s="10"/>
    </row>
    <row r="79" spans="1:9" ht="15.75" hidden="1" customHeight="1">
      <c r="A79" s="22"/>
      <c r="B79" s="49" t="s">
        <v>107</v>
      </c>
      <c r="C79" s="13" t="s">
        <v>81</v>
      </c>
      <c r="D79" s="11"/>
      <c r="E79" s="16"/>
      <c r="F79" s="10">
        <v>0.6</v>
      </c>
      <c r="G79" s="10">
        <v>2759.44</v>
      </c>
      <c r="H79" s="82">
        <f t="shared" si="7"/>
        <v>1.655664</v>
      </c>
      <c r="I79" s="10">
        <v>0</v>
      </c>
    </row>
    <row r="80" spans="1:9" ht="15.75" hidden="1" customHeight="1">
      <c r="A80" s="22"/>
      <c r="B80" s="70" t="s">
        <v>99</v>
      </c>
      <c r="C80" s="104"/>
      <c r="D80" s="24"/>
      <c r="E80" s="25"/>
      <c r="F80" s="90"/>
      <c r="G80" s="90"/>
      <c r="H80" s="105">
        <f>SUM(H56:H79)</f>
        <v>181.74382075399996</v>
      </c>
      <c r="I80" s="90"/>
    </row>
    <row r="81" spans="1:9" ht="15.75" hidden="1" customHeight="1">
      <c r="A81" s="22"/>
      <c r="B81" s="84" t="s">
        <v>105</v>
      </c>
      <c r="C81" s="13"/>
      <c r="D81" s="11"/>
      <c r="E81" s="77"/>
      <c r="F81" s="10">
        <v>1</v>
      </c>
      <c r="G81" s="10">
        <v>17508</v>
      </c>
      <c r="H81" s="82">
        <f>G81*F81/1000</f>
        <v>17.507999999999999</v>
      </c>
      <c r="I81" s="10">
        <v>0</v>
      </c>
    </row>
    <row r="82" spans="1:9" ht="15.75" customHeight="1">
      <c r="A82" s="153" t="s">
        <v>151</v>
      </c>
      <c r="B82" s="154"/>
      <c r="C82" s="154"/>
      <c r="D82" s="154"/>
      <c r="E82" s="154"/>
      <c r="F82" s="154"/>
      <c r="G82" s="154"/>
      <c r="H82" s="154"/>
      <c r="I82" s="155"/>
    </row>
    <row r="83" spans="1:9" ht="15.75" customHeight="1">
      <c r="A83" s="22">
        <v>19</v>
      </c>
      <c r="B83" s="84" t="s">
        <v>106</v>
      </c>
      <c r="C83" s="13" t="s">
        <v>56</v>
      </c>
      <c r="D83" s="106" t="s">
        <v>57</v>
      </c>
      <c r="E83" s="10">
        <v>4394.8999999999996</v>
      </c>
      <c r="F83" s="10">
        <f>SUM(E83*12)</f>
        <v>52738.799999999996</v>
      </c>
      <c r="G83" s="10">
        <v>2.1</v>
      </c>
      <c r="H83" s="82">
        <f>SUM(F83*G83/1000)</f>
        <v>110.75148</v>
      </c>
      <c r="I83" s="10">
        <f>F83/12*G83</f>
        <v>9229.2899999999991</v>
      </c>
    </row>
    <row r="84" spans="1:9" ht="31.5" customHeight="1">
      <c r="A84" s="22">
        <v>20</v>
      </c>
      <c r="B84" s="11" t="s">
        <v>82</v>
      </c>
      <c r="C84" s="13"/>
      <c r="D84" s="106" t="s">
        <v>57</v>
      </c>
      <c r="E84" s="86">
        <f>E83</f>
        <v>4394.8999999999996</v>
      </c>
      <c r="F84" s="10">
        <f>E84*12</f>
        <v>52738.799999999996</v>
      </c>
      <c r="G84" s="10">
        <v>1.63</v>
      </c>
      <c r="H84" s="82">
        <f>F84*G84/1000</f>
        <v>85.964243999999994</v>
      </c>
      <c r="I84" s="10">
        <f>F84/12*G84</f>
        <v>7163.686999999999</v>
      </c>
    </row>
    <row r="85" spans="1:9" ht="15.75" customHeight="1">
      <c r="A85" s="22"/>
      <c r="B85" s="38" t="s">
        <v>85</v>
      </c>
      <c r="C85" s="104"/>
      <c r="D85" s="103"/>
      <c r="E85" s="90"/>
      <c r="F85" s="90"/>
      <c r="G85" s="90"/>
      <c r="H85" s="105">
        <f>SUM(H84)</f>
        <v>85.964243999999994</v>
      </c>
      <c r="I85" s="90">
        <f>I16+I17+I18+I20+I21+I24+I25+I26+I27+I30+I31+I33+I50+I51+I52+I59+I73+I75+I83+I84</f>
        <v>63345.46583088889</v>
      </c>
    </row>
    <row r="86" spans="1:9" ht="15.75" customHeight="1">
      <c r="A86" s="167" t="s">
        <v>62</v>
      </c>
      <c r="B86" s="168"/>
      <c r="C86" s="168"/>
      <c r="D86" s="168"/>
      <c r="E86" s="168"/>
      <c r="F86" s="168"/>
      <c r="G86" s="168"/>
      <c r="H86" s="168"/>
      <c r="I86" s="169"/>
    </row>
    <row r="87" spans="1:9" ht="15.75" customHeight="1">
      <c r="A87" s="22">
        <v>21</v>
      </c>
      <c r="B87" s="68" t="s">
        <v>182</v>
      </c>
      <c r="C87" s="69" t="s">
        <v>144</v>
      </c>
      <c r="D87" s="112"/>
      <c r="E87" s="31"/>
      <c r="F87" s="31">
        <f>((3+3+3+10+5+10+15+3+10+10+3+15+3+3+10)/3)</f>
        <v>35.333333333333336</v>
      </c>
      <c r="G87" s="31">
        <v>1120.8900000000001</v>
      </c>
      <c r="H87" s="111">
        <f>G87*F87/1000</f>
        <v>39.604780000000005</v>
      </c>
      <c r="I87" s="10">
        <f>G87*((10+30)/3)</f>
        <v>14945.200000000003</v>
      </c>
    </row>
    <row r="88" spans="1:9" ht="15.75" customHeight="1">
      <c r="A88" s="22">
        <v>22</v>
      </c>
      <c r="B88" s="56" t="s">
        <v>137</v>
      </c>
      <c r="C88" s="57" t="s">
        <v>102</v>
      </c>
      <c r="D88" s="49"/>
      <c r="E88" s="10"/>
      <c r="F88" s="10">
        <v>790</v>
      </c>
      <c r="G88" s="10">
        <v>53.42</v>
      </c>
      <c r="H88" s="111">
        <f t="shared" ref="H88:H114" si="9">G88*F88/1000</f>
        <v>42.201800000000006</v>
      </c>
      <c r="I88" s="10">
        <f>G88*79</f>
        <v>4220.18</v>
      </c>
    </row>
    <row r="89" spans="1:9" ht="15.75" customHeight="1">
      <c r="A89" s="22">
        <v>23</v>
      </c>
      <c r="B89" s="56" t="s">
        <v>198</v>
      </c>
      <c r="C89" s="57" t="s">
        <v>163</v>
      </c>
      <c r="D89" s="49"/>
      <c r="E89" s="31"/>
      <c r="F89" s="31">
        <v>0.03</v>
      </c>
      <c r="G89" s="31">
        <v>7412.92</v>
      </c>
      <c r="H89" s="111">
        <f t="shared" si="9"/>
        <v>0.22238759999999999</v>
      </c>
      <c r="I89" s="10">
        <f>G89*0.01</f>
        <v>74.129199999999997</v>
      </c>
    </row>
    <row r="90" spans="1:9" ht="31.5" customHeight="1">
      <c r="A90" s="22">
        <v>24</v>
      </c>
      <c r="B90" s="56" t="s">
        <v>88</v>
      </c>
      <c r="C90" s="57" t="s">
        <v>39</v>
      </c>
      <c r="D90" s="112"/>
      <c r="E90" s="31"/>
      <c r="F90" s="31">
        <v>0.09</v>
      </c>
      <c r="G90" s="31">
        <v>3581.13</v>
      </c>
      <c r="H90" s="111">
        <f t="shared" ref="H90" si="10">G90*F90/1000</f>
        <v>0.32230169999999997</v>
      </c>
      <c r="I90" s="10">
        <f>G90*0.01</f>
        <v>35.811300000000003</v>
      </c>
    </row>
    <row r="91" spans="1:9" ht="15.75" customHeight="1">
      <c r="A91" s="22">
        <v>25</v>
      </c>
      <c r="B91" s="56" t="s">
        <v>186</v>
      </c>
      <c r="C91" s="57" t="s">
        <v>29</v>
      </c>
      <c r="D91" s="49"/>
      <c r="E91" s="10"/>
      <c r="F91" s="10">
        <v>8.9999999999999993E-3</v>
      </c>
      <c r="G91" s="10">
        <v>1591.6</v>
      </c>
      <c r="H91" s="82">
        <f t="shared" si="9"/>
        <v>1.4324399999999999E-2</v>
      </c>
      <c r="I91" s="10">
        <f>G91*0.008</f>
        <v>12.732799999999999</v>
      </c>
    </row>
    <row r="92" spans="1:9" ht="15.75" customHeight="1">
      <c r="A92" s="22">
        <v>26</v>
      </c>
      <c r="B92" s="56" t="s">
        <v>87</v>
      </c>
      <c r="C92" s="57" t="s">
        <v>102</v>
      </c>
      <c r="D92" s="22"/>
      <c r="E92" s="16"/>
      <c r="F92" s="16">
        <v>13</v>
      </c>
      <c r="G92" s="16">
        <v>189.88</v>
      </c>
      <c r="H92" s="82">
        <f t="shared" si="9"/>
        <v>2.4684400000000002</v>
      </c>
      <c r="I92" s="10">
        <f>G92*8</f>
        <v>1519.04</v>
      </c>
    </row>
    <row r="93" spans="1:9" ht="15.75" customHeight="1">
      <c r="A93" s="22">
        <v>27</v>
      </c>
      <c r="B93" s="83" t="s">
        <v>184</v>
      </c>
      <c r="C93" s="60" t="s">
        <v>185</v>
      </c>
      <c r="D93" s="22"/>
      <c r="E93" s="16"/>
      <c r="F93" s="16">
        <v>3</v>
      </c>
      <c r="G93" s="16">
        <v>195.85</v>
      </c>
      <c r="H93" s="82">
        <f t="shared" si="9"/>
        <v>0.58754999999999991</v>
      </c>
      <c r="I93" s="10">
        <f>G93</f>
        <v>195.85</v>
      </c>
    </row>
    <row r="94" spans="1:9" ht="31.5" customHeight="1">
      <c r="A94" s="22">
        <v>28</v>
      </c>
      <c r="B94" s="56" t="s">
        <v>225</v>
      </c>
      <c r="C94" s="57" t="s">
        <v>226</v>
      </c>
      <c r="D94" s="49"/>
      <c r="E94" s="10"/>
      <c r="F94" s="10">
        <v>4</v>
      </c>
      <c r="G94" s="10">
        <v>663.38</v>
      </c>
      <c r="H94" s="82">
        <f t="shared" si="9"/>
        <v>2.6535199999999999</v>
      </c>
      <c r="I94" s="10">
        <f>G94</f>
        <v>663.38</v>
      </c>
    </row>
    <row r="95" spans="1:9" ht="15.75" customHeight="1">
      <c r="A95" s="22">
        <v>29</v>
      </c>
      <c r="B95" s="56" t="s">
        <v>231</v>
      </c>
      <c r="C95" s="57" t="s">
        <v>136</v>
      </c>
      <c r="D95" s="49"/>
      <c r="E95" s="10"/>
      <c r="F95" s="10">
        <v>6</v>
      </c>
      <c r="G95" s="10">
        <v>727.73</v>
      </c>
      <c r="H95" s="82">
        <f t="shared" si="9"/>
        <v>4.3663800000000004</v>
      </c>
      <c r="I95" s="10">
        <f>G95*3</f>
        <v>2183.19</v>
      </c>
    </row>
    <row r="96" spans="1:9" ht="15.75" customHeight="1">
      <c r="A96" s="22">
        <v>30</v>
      </c>
      <c r="B96" s="56" t="s">
        <v>164</v>
      </c>
      <c r="C96" s="57" t="s">
        <v>102</v>
      </c>
      <c r="D96" s="49"/>
      <c r="E96" s="10"/>
      <c r="F96" s="10">
        <v>10</v>
      </c>
      <c r="G96" s="10">
        <v>62</v>
      </c>
      <c r="H96" s="82">
        <f t="shared" si="9"/>
        <v>0.62</v>
      </c>
      <c r="I96" s="10">
        <f>G96*4</f>
        <v>248</v>
      </c>
    </row>
    <row r="97" spans="1:9" ht="15.75" customHeight="1">
      <c r="A97" s="22">
        <v>31</v>
      </c>
      <c r="B97" s="81" t="s">
        <v>228</v>
      </c>
      <c r="C97" s="22" t="s">
        <v>102</v>
      </c>
      <c r="D97" s="34"/>
      <c r="E97" s="15"/>
      <c r="F97" s="31">
        <v>5</v>
      </c>
      <c r="G97" s="10">
        <v>45</v>
      </c>
      <c r="H97" s="111">
        <f t="shared" si="9"/>
        <v>0.22500000000000001</v>
      </c>
      <c r="I97" s="10">
        <f>G97*2</f>
        <v>90</v>
      </c>
    </row>
    <row r="98" spans="1:9" ht="15.75" customHeight="1">
      <c r="A98" s="22">
        <v>32</v>
      </c>
      <c r="B98" s="56" t="s">
        <v>233</v>
      </c>
      <c r="C98" s="57" t="s">
        <v>102</v>
      </c>
      <c r="D98" s="112"/>
      <c r="E98" s="31"/>
      <c r="F98" s="31">
        <v>3</v>
      </c>
      <c r="G98" s="31">
        <v>30</v>
      </c>
      <c r="H98" s="111">
        <f t="shared" si="9"/>
        <v>0.09</v>
      </c>
      <c r="I98" s="10">
        <f t="shared" ref="I98:I99" si="11">G98*2</f>
        <v>60</v>
      </c>
    </row>
    <row r="99" spans="1:9" ht="15.75" customHeight="1">
      <c r="A99" s="22">
        <v>33</v>
      </c>
      <c r="B99" s="56" t="s">
        <v>229</v>
      </c>
      <c r="C99" s="57" t="s">
        <v>102</v>
      </c>
      <c r="D99" s="112"/>
      <c r="E99" s="31"/>
      <c r="F99" s="31">
        <v>5</v>
      </c>
      <c r="G99" s="31">
        <v>42</v>
      </c>
      <c r="H99" s="111">
        <f t="shared" si="9"/>
        <v>0.21</v>
      </c>
      <c r="I99" s="10">
        <f t="shared" si="11"/>
        <v>84</v>
      </c>
    </row>
    <row r="100" spans="1:9" ht="31.5" customHeight="1">
      <c r="A100" s="22">
        <v>34</v>
      </c>
      <c r="B100" s="113" t="s">
        <v>237</v>
      </c>
      <c r="C100" s="59" t="s">
        <v>136</v>
      </c>
      <c r="D100" s="112"/>
      <c r="E100" s="31"/>
      <c r="F100" s="31">
        <v>4</v>
      </c>
      <c r="G100" s="31">
        <v>1046.06</v>
      </c>
      <c r="H100" s="111">
        <f t="shared" si="9"/>
        <v>4.18424</v>
      </c>
      <c r="I100" s="10">
        <f>G100*(2+2)</f>
        <v>4184.24</v>
      </c>
    </row>
    <row r="101" spans="1:9" ht="15.75" customHeight="1">
      <c r="A101" s="22">
        <v>35</v>
      </c>
      <c r="B101" s="113" t="s">
        <v>238</v>
      </c>
      <c r="C101" s="59" t="s">
        <v>102</v>
      </c>
      <c r="D101" s="112"/>
      <c r="E101" s="31"/>
      <c r="F101" s="31">
        <v>1</v>
      </c>
      <c r="G101" s="31">
        <v>120</v>
      </c>
      <c r="H101" s="111">
        <f t="shared" si="9"/>
        <v>0.12</v>
      </c>
      <c r="I101" s="10">
        <f>G101</f>
        <v>120</v>
      </c>
    </row>
    <row r="102" spans="1:9" ht="15.75" customHeight="1">
      <c r="A102" s="22">
        <v>36</v>
      </c>
      <c r="B102" s="56" t="s">
        <v>248</v>
      </c>
      <c r="C102" s="57" t="s">
        <v>102</v>
      </c>
      <c r="D102" s="112"/>
      <c r="E102" s="31"/>
      <c r="F102" s="31">
        <v>1</v>
      </c>
      <c r="G102" s="31">
        <v>63</v>
      </c>
      <c r="H102" s="111">
        <f t="shared" si="9"/>
        <v>6.3E-2</v>
      </c>
      <c r="I102" s="10">
        <f>G102</f>
        <v>63</v>
      </c>
    </row>
    <row r="103" spans="1:9" ht="15.75" customHeight="1">
      <c r="A103" s="22">
        <v>37</v>
      </c>
      <c r="B103" s="81" t="s">
        <v>166</v>
      </c>
      <c r="C103" s="22" t="s">
        <v>102</v>
      </c>
      <c r="D103" s="49"/>
      <c r="E103" s="10"/>
      <c r="F103" s="10">
        <v>6</v>
      </c>
      <c r="G103" s="10">
        <v>470</v>
      </c>
      <c r="H103" s="111">
        <f t="shared" si="9"/>
        <v>2.82</v>
      </c>
      <c r="I103" s="10">
        <f>G103*6</f>
        <v>2820</v>
      </c>
    </row>
    <row r="104" spans="1:9" ht="15.75" customHeight="1">
      <c r="A104" s="22">
        <v>38</v>
      </c>
      <c r="B104" s="56" t="s">
        <v>239</v>
      </c>
      <c r="C104" s="57" t="s">
        <v>102</v>
      </c>
      <c r="D104" s="34"/>
      <c r="E104" s="15"/>
      <c r="F104" s="31">
        <v>1</v>
      </c>
      <c r="G104" s="31">
        <v>40</v>
      </c>
      <c r="H104" s="111">
        <f t="shared" si="9"/>
        <v>0.04</v>
      </c>
      <c r="I104" s="10">
        <f>G104</f>
        <v>40</v>
      </c>
    </row>
    <row r="105" spans="1:9" ht="15.75" customHeight="1">
      <c r="A105" s="22">
        <v>39</v>
      </c>
      <c r="B105" s="114" t="s">
        <v>240</v>
      </c>
      <c r="C105" s="57" t="s">
        <v>102</v>
      </c>
      <c r="D105" s="34"/>
      <c r="E105" s="15"/>
      <c r="F105" s="31">
        <v>1</v>
      </c>
      <c r="G105" s="31">
        <v>108</v>
      </c>
      <c r="H105" s="111">
        <f t="shared" si="9"/>
        <v>0.108</v>
      </c>
      <c r="I105" s="10">
        <f t="shared" ref="I105:I108" si="12">G105</f>
        <v>108</v>
      </c>
    </row>
    <row r="106" spans="1:9" ht="15.75" customHeight="1">
      <c r="A106" s="22">
        <v>40</v>
      </c>
      <c r="B106" s="113" t="s">
        <v>241</v>
      </c>
      <c r="C106" s="59" t="s">
        <v>102</v>
      </c>
      <c r="D106" s="112"/>
      <c r="E106" s="31"/>
      <c r="F106" s="31">
        <v>1</v>
      </c>
      <c r="G106" s="31">
        <v>112</v>
      </c>
      <c r="H106" s="111">
        <f t="shared" si="9"/>
        <v>0.112</v>
      </c>
      <c r="I106" s="10">
        <f t="shared" si="12"/>
        <v>112</v>
      </c>
    </row>
    <row r="107" spans="1:9" ht="15.75" customHeight="1">
      <c r="A107" s="22">
        <v>41</v>
      </c>
      <c r="B107" s="56" t="s">
        <v>242</v>
      </c>
      <c r="C107" s="57" t="s">
        <v>102</v>
      </c>
      <c r="D107" s="112"/>
      <c r="E107" s="31"/>
      <c r="F107" s="31">
        <v>1</v>
      </c>
      <c r="G107" s="31">
        <v>118</v>
      </c>
      <c r="H107" s="111">
        <f t="shared" si="9"/>
        <v>0.11799999999999999</v>
      </c>
      <c r="I107" s="10">
        <f t="shared" si="12"/>
        <v>118</v>
      </c>
    </row>
    <row r="108" spans="1:9" ht="15.75" customHeight="1">
      <c r="A108" s="22">
        <v>42</v>
      </c>
      <c r="B108" s="56" t="s">
        <v>243</v>
      </c>
      <c r="C108" s="57" t="s">
        <v>102</v>
      </c>
      <c r="D108" s="34"/>
      <c r="E108" s="15"/>
      <c r="F108" s="31">
        <v>1</v>
      </c>
      <c r="G108" s="31">
        <v>140</v>
      </c>
      <c r="H108" s="111">
        <f t="shared" si="9"/>
        <v>0.14000000000000001</v>
      </c>
      <c r="I108" s="10">
        <f t="shared" si="12"/>
        <v>140</v>
      </c>
    </row>
    <row r="109" spans="1:9" ht="31.5" customHeight="1">
      <c r="A109" s="22">
        <v>43</v>
      </c>
      <c r="B109" s="115" t="s">
        <v>244</v>
      </c>
      <c r="C109" s="116" t="s">
        <v>81</v>
      </c>
      <c r="D109" s="11"/>
      <c r="E109" s="117"/>
      <c r="F109" s="10">
        <f>5/100</f>
        <v>0.05</v>
      </c>
      <c r="G109" s="118">
        <v>13554.37</v>
      </c>
      <c r="H109" s="111">
        <f t="shared" si="9"/>
        <v>0.67771850000000011</v>
      </c>
      <c r="I109" s="10">
        <f>G109*0.05</f>
        <v>677.71850000000006</v>
      </c>
    </row>
    <row r="110" spans="1:9" ht="15.75" customHeight="1">
      <c r="A110" s="22">
        <v>44</v>
      </c>
      <c r="B110" s="56" t="s">
        <v>249</v>
      </c>
      <c r="C110" s="57" t="s">
        <v>102</v>
      </c>
      <c r="D110" s="34"/>
      <c r="E110" s="15"/>
      <c r="F110" s="31">
        <v>1</v>
      </c>
      <c r="G110" s="31">
        <v>50</v>
      </c>
      <c r="H110" s="111">
        <f t="shared" si="9"/>
        <v>0.05</v>
      </c>
      <c r="I110" s="10">
        <f>G110</f>
        <v>50</v>
      </c>
    </row>
    <row r="111" spans="1:9" ht="15.75" customHeight="1">
      <c r="A111" s="22">
        <v>45</v>
      </c>
      <c r="B111" s="56" t="s">
        <v>198</v>
      </c>
      <c r="C111" s="57" t="s">
        <v>163</v>
      </c>
      <c r="D111" s="34"/>
      <c r="E111" s="15"/>
      <c r="F111" s="31">
        <v>0.01</v>
      </c>
      <c r="G111" s="31">
        <v>7412.92</v>
      </c>
      <c r="H111" s="111">
        <f t="shared" si="9"/>
        <v>7.4129199999999992E-2</v>
      </c>
      <c r="I111" s="10">
        <f>G111*0.01</f>
        <v>74.129199999999997</v>
      </c>
    </row>
    <row r="112" spans="1:9" ht="15.75" customHeight="1">
      <c r="A112" s="22">
        <v>46</v>
      </c>
      <c r="B112" s="119" t="s">
        <v>245</v>
      </c>
      <c r="C112" s="120" t="s">
        <v>79</v>
      </c>
      <c r="D112" s="34"/>
      <c r="E112" s="15"/>
      <c r="F112" s="31">
        <f>3/10</f>
        <v>0.3</v>
      </c>
      <c r="G112" s="31">
        <v>4005.2</v>
      </c>
      <c r="H112" s="111">
        <f t="shared" si="9"/>
        <v>1.20156</v>
      </c>
      <c r="I112" s="10">
        <f>G112*0.3</f>
        <v>1201.56</v>
      </c>
    </row>
    <row r="113" spans="1:9" ht="15.75" customHeight="1">
      <c r="A113" s="22">
        <v>47</v>
      </c>
      <c r="B113" s="113" t="s">
        <v>246</v>
      </c>
      <c r="C113" s="59" t="s">
        <v>102</v>
      </c>
      <c r="D113" s="34"/>
      <c r="E113" s="15"/>
      <c r="F113" s="31">
        <v>1</v>
      </c>
      <c r="G113" s="31">
        <v>453.95</v>
      </c>
      <c r="H113" s="111">
        <f t="shared" si="9"/>
        <v>0.45394999999999996</v>
      </c>
      <c r="I113" s="10">
        <f>G113</f>
        <v>453.95</v>
      </c>
    </row>
    <row r="114" spans="1:9" ht="15.75" customHeight="1">
      <c r="A114" s="22">
        <v>48</v>
      </c>
      <c r="B114" s="113" t="s">
        <v>247</v>
      </c>
      <c r="C114" s="59" t="s">
        <v>102</v>
      </c>
      <c r="D114" s="34"/>
      <c r="E114" s="15"/>
      <c r="F114" s="31">
        <v>1</v>
      </c>
      <c r="G114" s="31">
        <v>1543.72</v>
      </c>
      <c r="H114" s="111">
        <f t="shared" si="9"/>
        <v>1.54372</v>
      </c>
      <c r="I114" s="10">
        <f>G114</f>
        <v>1543.72</v>
      </c>
    </row>
    <row r="115" spans="1:9">
      <c r="A115" s="22"/>
      <c r="B115" s="45" t="s">
        <v>53</v>
      </c>
      <c r="C115" s="41"/>
      <c r="D115" s="51"/>
      <c r="E115" s="41">
        <v>1</v>
      </c>
      <c r="F115" s="41"/>
      <c r="G115" s="41"/>
      <c r="H115" s="41"/>
      <c r="I115" s="25">
        <f>SUM(I87:I114)</f>
        <v>36037.830999999998</v>
      </c>
    </row>
    <row r="116" spans="1:9" ht="15.75" customHeight="1">
      <c r="A116" s="22"/>
      <c r="B116" s="49" t="s">
        <v>83</v>
      </c>
      <c r="C116" s="12"/>
      <c r="D116" s="12"/>
      <c r="E116" s="42"/>
      <c r="F116" s="42"/>
      <c r="G116" s="43"/>
      <c r="H116" s="43"/>
      <c r="I116" s="15">
        <v>0</v>
      </c>
    </row>
    <row r="117" spans="1:9" ht="15.75" customHeight="1">
      <c r="A117" s="52"/>
      <c r="B117" s="46" t="s">
        <v>192</v>
      </c>
      <c r="C117" s="30"/>
      <c r="D117" s="30"/>
      <c r="E117" s="30"/>
      <c r="F117" s="30"/>
      <c r="G117" s="30"/>
      <c r="H117" s="30"/>
      <c r="I117" s="44">
        <f>I85+I115</f>
        <v>99383.296830888896</v>
      </c>
    </row>
    <row r="118" spans="1:9" ht="15.75">
      <c r="A118" s="166" t="s">
        <v>250</v>
      </c>
      <c r="B118" s="166"/>
      <c r="C118" s="166"/>
      <c r="D118" s="166"/>
      <c r="E118" s="166"/>
      <c r="F118" s="166"/>
      <c r="G118" s="166"/>
      <c r="H118" s="166"/>
      <c r="I118" s="166"/>
    </row>
    <row r="119" spans="1:9" ht="15.75" customHeight="1">
      <c r="A119" s="67"/>
      <c r="B119" s="161" t="s">
        <v>251</v>
      </c>
      <c r="C119" s="161"/>
      <c r="D119" s="161"/>
      <c r="E119" s="161"/>
      <c r="F119" s="161"/>
      <c r="G119" s="161"/>
      <c r="H119" s="80"/>
      <c r="I119" s="2"/>
    </row>
    <row r="120" spans="1:9" ht="15.75" customHeight="1">
      <c r="A120" s="71"/>
      <c r="B120" s="157" t="s">
        <v>6</v>
      </c>
      <c r="C120" s="157"/>
      <c r="D120" s="157"/>
      <c r="E120" s="157"/>
      <c r="F120" s="157"/>
      <c r="G120" s="157"/>
      <c r="H120" s="17"/>
      <c r="I120" s="4"/>
    </row>
    <row r="121" spans="1:9" ht="15.75" customHeight="1">
      <c r="A121" s="7"/>
      <c r="B121" s="7"/>
      <c r="C121" s="7"/>
      <c r="D121" s="7"/>
      <c r="E121" s="7"/>
      <c r="F121" s="7"/>
      <c r="G121" s="7"/>
      <c r="H121" s="7"/>
      <c r="I121" s="7"/>
    </row>
    <row r="122" spans="1:9" ht="15.75" customHeight="1">
      <c r="A122" s="162" t="s">
        <v>7</v>
      </c>
      <c r="B122" s="162"/>
      <c r="C122" s="162"/>
      <c r="D122" s="162"/>
      <c r="E122" s="162"/>
      <c r="F122" s="162"/>
      <c r="G122" s="162"/>
      <c r="H122" s="162"/>
      <c r="I122" s="162"/>
    </row>
    <row r="123" spans="1:9" ht="15.75" customHeight="1">
      <c r="A123" s="162" t="s">
        <v>8</v>
      </c>
      <c r="B123" s="162"/>
      <c r="C123" s="162"/>
      <c r="D123" s="162"/>
      <c r="E123" s="162"/>
      <c r="F123" s="162"/>
      <c r="G123" s="162"/>
      <c r="H123" s="162"/>
      <c r="I123" s="162"/>
    </row>
    <row r="124" spans="1:9" ht="15.75">
      <c r="A124" s="163" t="s">
        <v>63</v>
      </c>
      <c r="B124" s="163"/>
      <c r="C124" s="163"/>
      <c r="D124" s="163"/>
      <c r="E124" s="163"/>
      <c r="F124" s="163"/>
      <c r="G124" s="163"/>
      <c r="H124" s="163"/>
      <c r="I124" s="163"/>
    </row>
    <row r="125" spans="1:9" ht="15.75" customHeight="1">
      <c r="A125" s="8"/>
    </row>
    <row r="126" spans="1:9" ht="15.75">
      <c r="A126" s="164" t="s">
        <v>9</v>
      </c>
      <c r="B126" s="164"/>
      <c r="C126" s="164"/>
      <c r="D126" s="164"/>
      <c r="E126" s="164"/>
      <c r="F126" s="164"/>
      <c r="G126" s="164"/>
      <c r="H126" s="164"/>
      <c r="I126" s="164"/>
    </row>
    <row r="127" spans="1:9" ht="15.75" customHeight="1">
      <c r="A127" s="3"/>
    </row>
    <row r="128" spans="1:9" ht="15.75">
      <c r="B128" s="74" t="s">
        <v>10</v>
      </c>
      <c r="C128" s="156" t="s">
        <v>150</v>
      </c>
      <c r="D128" s="156"/>
      <c r="E128" s="156"/>
      <c r="F128" s="78"/>
      <c r="I128" s="75"/>
    </row>
    <row r="129" spans="1:9">
      <c r="A129" s="71"/>
      <c r="C129" s="157" t="s">
        <v>11</v>
      </c>
      <c r="D129" s="157"/>
      <c r="E129" s="157"/>
      <c r="F129" s="17"/>
      <c r="I129" s="73" t="s">
        <v>12</v>
      </c>
    </row>
    <row r="130" spans="1:9" ht="15.75">
      <c r="A130" s="18"/>
      <c r="C130" s="9"/>
      <c r="D130" s="9"/>
      <c r="G130" s="9"/>
      <c r="H130" s="9"/>
    </row>
    <row r="131" spans="1:9" ht="15.75" customHeight="1">
      <c r="B131" s="74" t="s">
        <v>13</v>
      </c>
      <c r="C131" s="158"/>
      <c r="D131" s="158"/>
      <c r="E131" s="158"/>
      <c r="F131" s="79"/>
      <c r="I131" s="75"/>
    </row>
    <row r="132" spans="1:9" ht="15.75" customHeight="1">
      <c r="A132" s="71"/>
      <c r="C132" s="159" t="s">
        <v>11</v>
      </c>
      <c r="D132" s="159"/>
      <c r="E132" s="159"/>
      <c r="F132" s="71"/>
      <c r="I132" s="73" t="s">
        <v>12</v>
      </c>
    </row>
    <row r="133" spans="1:9" ht="15.75" customHeight="1">
      <c r="A133" s="3" t="s">
        <v>14</v>
      </c>
    </row>
    <row r="134" spans="1:9">
      <c r="A134" s="160" t="s">
        <v>15</v>
      </c>
      <c r="B134" s="160"/>
      <c r="C134" s="160"/>
      <c r="D134" s="160"/>
      <c r="E134" s="160"/>
      <c r="F134" s="160"/>
      <c r="G134" s="160"/>
      <c r="H134" s="160"/>
      <c r="I134" s="160"/>
    </row>
    <row r="135" spans="1:9" ht="45" customHeight="1">
      <c r="A135" s="152" t="s">
        <v>16</v>
      </c>
      <c r="B135" s="152"/>
      <c r="C135" s="152"/>
      <c r="D135" s="152"/>
      <c r="E135" s="152"/>
      <c r="F135" s="152"/>
      <c r="G135" s="152"/>
      <c r="H135" s="152"/>
      <c r="I135" s="152"/>
    </row>
    <row r="136" spans="1:9" ht="30" customHeight="1">
      <c r="A136" s="152" t="s">
        <v>17</v>
      </c>
      <c r="B136" s="152"/>
      <c r="C136" s="152"/>
      <c r="D136" s="152"/>
      <c r="E136" s="152"/>
      <c r="F136" s="152"/>
      <c r="G136" s="152"/>
      <c r="H136" s="152"/>
      <c r="I136" s="152"/>
    </row>
    <row r="137" spans="1:9" ht="30" customHeight="1">
      <c r="A137" s="152" t="s">
        <v>21</v>
      </c>
      <c r="B137" s="152"/>
      <c r="C137" s="152"/>
      <c r="D137" s="152"/>
      <c r="E137" s="152"/>
      <c r="F137" s="152"/>
      <c r="G137" s="152"/>
      <c r="H137" s="152"/>
      <c r="I137" s="152"/>
    </row>
    <row r="138" spans="1:9" ht="15" customHeight="1">
      <c r="A138" s="152" t="s">
        <v>20</v>
      </c>
      <c r="B138" s="152"/>
      <c r="C138" s="152"/>
      <c r="D138" s="152"/>
      <c r="E138" s="152"/>
      <c r="F138" s="152"/>
      <c r="G138" s="152"/>
      <c r="H138" s="152"/>
      <c r="I138" s="152"/>
    </row>
  </sheetData>
  <mergeCells count="28">
    <mergeCell ref="A136:I136"/>
    <mergeCell ref="A137:I137"/>
    <mergeCell ref="A138:I138"/>
    <mergeCell ref="C128:E128"/>
    <mergeCell ref="C129:E129"/>
    <mergeCell ref="C131:E131"/>
    <mergeCell ref="C132:E132"/>
    <mergeCell ref="A134:I134"/>
    <mergeCell ref="A135:I135"/>
    <mergeCell ref="A126:I126"/>
    <mergeCell ref="A15:I15"/>
    <mergeCell ref="A28:I28"/>
    <mergeCell ref="A43:I43"/>
    <mergeCell ref="A54:I54"/>
    <mergeCell ref="A82:I82"/>
    <mergeCell ref="A118:I118"/>
    <mergeCell ref="B119:G119"/>
    <mergeCell ref="B120:G120"/>
    <mergeCell ref="A122:I122"/>
    <mergeCell ref="A123:I123"/>
    <mergeCell ref="A124:I124"/>
    <mergeCell ref="A86:I86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4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91</v>
      </c>
      <c r="I1" s="19"/>
    </row>
    <row r="2" spans="1:9" ht="15.75">
      <c r="A2" s="21" t="s">
        <v>64</v>
      </c>
    </row>
    <row r="3" spans="1:9" ht="15.75">
      <c r="A3" s="171" t="s">
        <v>92</v>
      </c>
      <c r="B3" s="171"/>
      <c r="C3" s="171"/>
      <c r="D3" s="171"/>
      <c r="E3" s="171"/>
      <c r="F3" s="171"/>
      <c r="G3" s="171"/>
      <c r="H3" s="171"/>
      <c r="I3" s="171"/>
    </row>
    <row r="4" spans="1:9" ht="31.5" customHeight="1">
      <c r="A4" s="172" t="s">
        <v>143</v>
      </c>
      <c r="B4" s="172"/>
      <c r="C4" s="172"/>
      <c r="D4" s="172"/>
      <c r="E4" s="172"/>
      <c r="F4" s="172"/>
      <c r="G4" s="172"/>
      <c r="H4" s="172"/>
      <c r="I4" s="172"/>
    </row>
    <row r="5" spans="1:9" ht="15.75">
      <c r="A5" s="171" t="s">
        <v>252</v>
      </c>
      <c r="B5" s="173"/>
      <c r="C5" s="173"/>
      <c r="D5" s="173"/>
      <c r="E5" s="173"/>
      <c r="F5" s="173"/>
      <c r="G5" s="173"/>
      <c r="H5" s="173"/>
      <c r="I5" s="173"/>
    </row>
    <row r="6" spans="1:9" ht="15.75">
      <c r="A6" s="1"/>
      <c r="B6" s="122"/>
      <c r="C6" s="122"/>
      <c r="D6" s="122"/>
      <c r="E6" s="122"/>
      <c r="F6" s="122"/>
      <c r="G6" s="122"/>
      <c r="H6" s="122"/>
      <c r="I6" s="23">
        <v>43069</v>
      </c>
    </row>
    <row r="7" spans="1:9" ht="15.75">
      <c r="B7" s="123"/>
      <c r="C7" s="123"/>
      <c r="D7" s="123"/>
      <c r="E7" s="2"/>
      <c r="F7" s="2"/>
      <c r="G7" s="2"/>
      <c r="H7" s="2"/>
    </row>
    <row r="8" spans="1:9" ht="78.75" customHeight="1">
      <c r="A8" s="174" t="s">
        <v>253</v>
      </c>
      <c r="B8" s="174"/>
      <c r="C8" s="174"/>
      <c r="D8" s="174"/>
      <c r="E8" s="174"/>
      <c r="F8" s="174"/>
      <c r="G8" s="174"/>
      <c r="H8" s="174"/>
      <c r="I8" s="174"/>
    </row>
    <row r="9" spans="1:9" ht="15.75">
      <c r="A9" s="3"/>
    </row>
    <row r="10" spans="1:9" ht="47.25" customHeight="1">
      <c r="A10" s="175" t="s">
        <v>299</v>
      </c>
      <c r="B10" s="175"/>
      <c r="C10" s="175"/>
      <c r="D10" s="175"/>
      <c r="E10" s="175"/>
      <c r="F10" s="175"/>
      <c r="G10" s="175"/>
      <c r="H10" s="175"/>
      <c r="I10" s="17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70" t="s">
        <v>61</v>
      </c>
      <c r="B14" s="170"/>
      <c r="C14" s="170"/>
      <c r="D14" s="170"/>
      <c r="E14" s="170"/>
      <c r="F14" s="170"/>
      <c r="G14" s="170"/>
      <c r="H14" s="170"/>
      <c r="I14" s="170"/>
    </row>
    <row r="15" spans="1:9" ht="15.75" customHeight="1">
      <c r="A15" s="165" t="s">
        <v>4</v>
      </c>
      <c r="B15" s="165"/>
      <c r="C15" s="165"/>
      <c r="D15" s="165"/>
      <c r="E15" s="165"/>
      <c r="F15" s="165"/>
      <c r="G15" s="165"/>
      <c r="H15" s="165"/>
      <c r="I15" s="165"/>
    </row>
    <row r="16" spans="1:9" ht="15.75" customHeight="1">
      <c r="A16" s="22">
        <v>1</v>
      </c>
      <c r="B16" s="27" t="s">
        <v>109</v>
      </c>
      <c r="C16" s="39" t="s">
        <v>93</v>
      </c>
      <c r="D16" s="27" t="s">
        <v>254</v>
      </c>
      <c r="E16" s="127">
        <v>121.14</v>
      </c>
      <c r="F16" s="26">
        <f>SUM(E16*156/100)</f>
        <v>188.97839999999999</v>
      </c>
      <c r="G16" s="26">
        <v>230</v>
      </c>
      <c r="H16" s="128">
        <f t="shared" ref="H16:H25" si="0">SUM(F16*G16/1000)</f>
        <v>43.465032000000001</v>
      </c>
      <c r="I16" s="10">
        <f>F16/12*G16</f>
        <v>3622.0859999999998</v>
      </c>
    </row>
    <row r="17" spans="1:9" ht="15.75" customHeight="1">
      <c r="A17" s="22">
        <v>2</v>
      </c>
      <c r="B17" s="27" t="s">
        <v>111</v>
      </c>
      <c r="C17" s="39" t="s">
        <v>93</v>
      </c>
      <c r="D17" s="27" t="s">
        <v>255</v>
      </c>
      <c r="E17" s="127">
        <v>484.56</v>
      </c>
      <c r="F17" s="26">
        <f>SUM(E17*104/100)</f>
        <v>503.94239999999996</v>
      </c>
      <c r="G17" s="26">
        <v>230</v>
      </c>
      <c r="H17" s="128">
        <f t="shared" si="0"/>
        <v>115.906752</v>
      </c>
      <c r="I17" s="10">
        <f>F17/12*G17</f>
        <v>9658.8959999999988</v>
      </c>
    </row>
    <row r="18" spans="1:9" ht="15.75" customHeight="1">
      <c r="A18" s="22">
        <v>3</v>
      </c>
      <c r="B18" s="27" t="s">
        <v>113</v>
      </c>
      <c r="C18" s="39" t="s">
        <v>93</v>
      </c>
      <c r="D18" s="27" t="s">
        <v>256</v>
      </c>
      <c r="E18" s="127">
        <f>SUM(E16+E17)</f>
        <v>605.70000000000005</v>
      </c>
      <c r="F18" s="26">
        <f>SUM(E18*24/100)</f>
        <v>145.36800000000002</v>
      </c>
      <c r="G18" s="26">
        <v>661.67</v>
      </c>
      <c r="H18" s="128">
        <f t="shared" si="0"/>
        <v>96.185644560000014</v>
      </c>
      <c r="I18" s="10">
        <f>F18/12*G18</f>
        <v>8015.4703800000016</v>
      </c>
    </row>
    <row r="19" spans="1:9" ht="15.75" hidden="1" customHeight="1">
      <c r="A19" s="22"/>
      <c r="B19" s="27" t="s">
        <v>114</v>
      </c>
      <c r="C19" s="39" t="s">
        <v>115</v>
      </c>
      <c r="D19" s="27" t="s">
        <v>116</v>
      </c>
      <c r="E19" s="127">
        <v>38.4</v>
      </c>
      <c r="F19" s="26">
        <f>SUM(E19/10)</f>
        <v>3.84</v>
      </c>
      <c r="G19" s="26">
        <v>223.17</v>
      </c>
      <c r="H19" s="128">
        <f t="shared" si="0"/>
        <v>0.85697279999999987</v>
      </c>
      <c r="I19" s="10">
        <f>F19/2*G19</f>
        <v>428.48639999999995</v>
      </c>
    </row>
    <row r="20" spans="1:9" ht="15.75" hidden="1" customHeight="1">
      <c r="A20" s="22"/>
      <c r="B20" s="27" t="s">
        <v>117</v>
      </c>
      <c r="C20" s="39" t="s">
        <v>93</v>
      </c>
      <c r="D20" s="27" t="s">
        <v>43</v>
      </c>
      <c r="E20" s="127">
        <v>58.4</v>
      </c>
      <c r="F20" s="26">
        <f>SUM(E20*2/100)</f>
        <v>1.1679999999999999</v>
      </c>
      <c r="G20" s="26">
        <v>285.76</v>
      </c>
      <c r="H20" s="128">
        <f t="shared" si="0"/>
        <v>0.33376768000000001</v>
      </c>
      <c r="I20" s="10">
        <f>F20/2*G20</f>
        <v>166.88383999999999</v>
      </c>
    </row>
    <row r="21" spans="1:9" ht="15.75" customHeight="1">
      <c r="A21" s="22">
        <v>4</v>
      </c>
      <c r="B21" s="27" t="s">
        <v>118</v>
      </c>
      <c r="C21" s="39" t="s">
        <v>93</v>
      </c>
      <c r="D21" s="27" t="s">
        <v>119</v>
      </c>
      <c r="E21" s="127">
        <v>9.08</v>
      </c>
      <c r="F21" s="26">
        <f>SUM(E21*6/100)</f>
        <v>0.54480000000000006</v>
      </c>
      <c r="G21" s="26">
        <v>283.44</v>
      </c>
      <c r="H21" s="128">
        <f t="shared" si="0"/>
        <v>0.154418112</v>
      </c>
      <c r="I21" s="10">
        <f>F21/6*G21</f>
        <v>25.736352</v>
      </c>
    </row>
    <row r="22" spans="1:9" ht="15.75" hidden="1" customHeight="1">
      <c r="A22" s="22"/>
      <c r="B22" s="27" t="s">
        <v>120</v>
      </c>
      <c r="C22" s="39" t="s">
        <v>54</v>
      </c>
      <c r="D22" s="27" t="s">
        <v>116</v>
      </c>
      <c r="E22" s="127">
        <v>714</v>
      </c>
      <c r="F22" s="26">
        <f>SUM(E22/100)</f>
        <v>7.14</v>
      </c>
      <c r="G22" s="26">
        <v>353.14</v>
      </c>
      <c r="H22" s="128">
        <f t="shared" si="0"/>
        <v>2.5214195999999998</v>
      </c>
      <c r="I22" s="10">
        <f>F22*G22</f>
        <v>2521.4195999999997</v>
      </c>
    </row>
    <row r="23" spans="1:9" ht="15.75" hidden="1" customHeight="1">
      <c r="A23" s="22"/>
      <c r="B23" s="27" t="s">
        <v>121</v>
      </c>
      <c r="C23" s="39" t="s">
        <v>54</v>
      </c>
      <c r="D23" s="27" t="s">
        <v>116</v>
      </c>
      <c r="E23" s="129">
        <v>96.6</v>
      </c>
      <c r="F23" s="26">
        <f>SUM(E23/100)</f>
        <v>0.96599999999999997</v>
      </c>
      <c r="G23" s="26">
        <v>58.08</v>
      </c>
      <c r="H23" s="128">
        <f t="shared" si="0"/>
        <v>5.6105279999999993E-2</v>
      </c>
      <c r="I23" s="10">
        <f t="shared" ref="I23:I24" si="1">F23*G23</f>
        <v>56.105279999999993</v>
      </c>
    </row>
    <row r="24" spans="1:9" ht="15.75" hidden="1" customHeight="1">
      <c r="A24" s="22"/>
      <c r="B24" s="27" t="s">
        <v>122</v>
      </c>
      <c r="C24" s="39" t="s">
        <v>54</v>
      </c>
      <c r="D24" s="27" t="s">
        <v>123</v>
      </c>
      <c r="E24" s="127">
        <v>32</v>
      </c>
      <c r="F24" s="26">
        <f>E24*12/100</f>
        <v>3.84</v>
      </c>
      <c r="G24" s="26">
        <v>511.12</v>
      </c>
      <c r="H24" s="128">
        <f t="shared" si="0"/>
        <v>1.9627007999999999</v>
      </c>
      <c r="I24" s="10">
        <f t="shared" si="1"/>
        <v>1962.7007999999998</v>
      </c>
    </row>
    <row r="25" spans="1:9" ht="15.75" customHeight="1">
      <c r="A25" s="22">
        <v>5</v>
      </c>
      <c r="B25" s="27" t="s">
        <v>124</v>
      </c>
      <c r="C25" s="39" t="s">
        <v>54</v>
      </c>
      <c r="D25" s="27" t="s">
        <v>142</v>
      </c>
      <c r="E25" s="127">
        <v>17</v>
      </c>
      <c r="F25" s="26">
        <f>SUM(E25*12/100)</f>
        <v>2.04</v>
      </c>
      <c r="G25" s="26">
        <v>683.05</v>
      </c>
      <c r="H25" s="128">
        <f t="shared" si="0"/>
        <v>1.3934219999999999</v>
      </c>
      <c r="I25" s="10">
        <f>F25/12*G25</f>
        <v>116.1185</v>
      </c>
    </row>
    <row r="26" spans="1:9" ht="15.75" customHeight="1">
      <c r="A26" s="22">
        <v>6</v>
      </c>
      <c r="B26" s="27" t="s">
        <v>66</v>
      </c>
      <c r="C26" s="39" t="s">
        <v>33</v>
      </c>
      <c r="D26" s="27" t="s">
        <v>65</v>
      </c>
      <c r="E26" s="131">
        <v>0.1</v>
      </c>
      <c r="F26" s="26">
        <f>SUM(E26*155)</f>
        <v>15.5</v>
      </c>
      <c r="G26" s="26">
        <v>264.85000000000002</v>
      </c>
      <c r="H26" s="128">
        <f>SUM(F26*G26/1000)</f>
        <v>4.105175</v>
      </c>
      <c r="I26" s="10">
        <f>F26/12*G26</f>
        <v>342.09791666666672</v>
      </c>
    </row>
    <row r="27" spans="1:9" ht="15.75" customHeight="1">
      <c r="A27" s="22">
        <v>7</v>
      </c>
      <c r="B27" s="132" t="s">
        <v>23</v>
      </c>
      <c r="C27" s="39" t="s">
        <v>24</v>
      </c>
      <c r="D27" s="132" t="s">
        <v>156</v>
      </c>
      <c r="E27" s="127">
        <v>4394.8999999999996</v>
      </c>
      <c r="F27" s="26">
        <f>SUM(E27*12)</f>
        <v>52738.799999999996</v>
      </c>
      <c r="G27" s="26">
        <v>3.34</v>
      </c>
      <c r="H27" s="128">
        <f>SUM(F27*G27/1000)</f>
        <v>176.14759199999997</v>
      </c>
      <c r="I27" s="10">
        <f>F27/12*G27</f>
        <v>14678.965999999999</v>
      </c>
    </row>
    <row r="28" spans="1:9" ht="15.75" customHeight="1">
      <c r="A28" s="153" t="s">
        <v>90</v>
      </c>
      <c r="B28" s="154"/>
      <c r="C28" s="154"/>
      <c r="D28" s="154"/>
      <c r="E28" s="154"/>
      <c r="F28" s="154"/>
      <c r="G28" s="154"/>
      <c r="H28" s="154"/>
      <c r="I28" s="155"/>
    </row>
    <row r="29" spans="1:9" ht="15.75" hidden="1" customHeight="1">
      <c r="A29" s="22"/>
      <c r="B29" s="145" t="s">
        <v>28</v>
      </c>
      <c r="C29" s="39"/>
      <c r="D29" s="27"/>
      <c r="E29" s="127"/>
      <c r="F29" s="26"/>
      <c r="G29" s="26"/>
      <c r="H29" s="128"/>
      <c r="I29" s="10"/>
    </row>
    <row r="30" spans="1:9" ht="15.75" hidden="1" customHeight="1">
      <c r="A30" s="22"/>
      <c r="B30" s="27" t="s">
        <v>101</v>
      </c>
      <c r="C30" s="39" t="s">
        <v>95</v>
      </c>
      <c r="D30" s="27" t="s">
        <v>257</v>
      </c>
      <c r="E30" s="26">
        <v>637</v>
      </c>
      <c r="F30" s="26">
        <f>SUM(E30*48/1000)</f>
        <v>30.576000000000001</v>
      </c>
      <c r="G30" s="26">
        <v>204.44</v>
      </c>
      <c r="H30" s="128">
        <f t="shared" ref="H30:H36" si="2">SUM(F30*G30/1000)</f>
        <v>6.2509574400000005</v>
      </c>
      <c r="I30" s="10">
        <f t="shared" ref="I30:I34" si="3">F30/6*G30</f>
        <v>1041.8262400000001</v>
      </c>
    </row>
    <row r="31" spans="1:9" ht="31.5" hidden="1" customHeight="1">
      <c r="A31" s="22"/>
      <c r="B31" s="27" t="s">
        <v>169</v>
      </c>
      <c r="C31" s="39" t="s">
        <v>95</v>
      </c>
      <c r="D31" s="27" t="s">
        <v>258</v>
      </c>
      <c r="E31" s="26">
        <v>188</v>
      </c>
      <c r="F31" s="26">
        <f>SUM(E31*48/1000)</f>
        <v>9.0239999999999991</v>
      </c>
      <c r="G31" s="26">
        <v>339.21</v>
      </c>
      <c r="H31" s="128">
        <f t="shared" si="2"/>
        <v>3.0610310399999996</v>
      </c>
      <c r="I31" s="10">
        <f t="shared" si="3"/>
        <v>510.17183999999992</v>
      </c>
    </row>
    <row r="32" spans="1:9" ht="15.75" hidden="1" customHeight="1">
      <c r="A32" s="22"/>
      <c r="B32" s="27" t="s">
        <v>27</v>
      </c>
      <c r="C32" s="39" t="s">
        <v>95</v>
      </c>
      <c r="D32" s="27" t="s">
        <v>55</v>
      </c>
      <c r="E32" s="26">
        <v>637</v>
      </c>
      <c r="F32" s="26">
        <f>SUM(E32/1000)</f>
        <v>0.63700000000000001</v>
      </c>
      <c r="G32" s="26">
        <v>3961.23</v>
      </c>
      <c r="H32" s="128">
        <f t="shared" si="2"/>
        <v>2.5233035100000003</v>
      </c>
      <c r="I32" s="10">
        <f>F32*G32</f>
        <v>2523.3035100000002</v>
      </c>
    </row>
    <row r="33" spans="1:9" ht="15.75" hidden="1" customHeight="1">
      <c r="A33" s="22"/>
      <c r="B33" s="27" t="s">
        <v>259</v>
      </c>
      <c r="C33" s="39" t="s">
        <v>41</v>
      </c>
      <c r="D33" s="27" t="s">
        <v>260</v>
      </c>
      <c r="E33" s="26">
        <v>8</v>
      </c>
      <c r="F33" s="26">
        <f>SUM(E33*48/100)</f>
        <v>3.84</v>
      </c>
      <c r="G33" s="26">
        <v>1707.63</v>
      </c>
      <c r="H33" s="128">
        <f t="shared" si="2"/>
        <v>6.5572992000000001</v>
      </c>
      <c r="I33" s="10">
        <f t="shared" si="3"/>
        <v>1092.8832</v>
      </c>
    </row>
    <row r="34" spans="1:9" ht="15.75" hidden="1" customHeight="1">
      <c r="A34" s="22"/>
      <c r="B34" s="27" t="s">
        <v>100</v>
      </c>
      <c r="C34" s="39" t="s">
        <v>31</v>
      </c>
      <c r="D34" s="27" t="s">
        <v>65</v>
      </c>
      <c r="E34" s="130">
        <f>1/3</f>
        <v>0.33333333333333331</v>
      </c>
      <c r="F34" s="26">
        <f>155/3</f>
        <v>51.666666666666664</v>
      </c>
      <c r="G34" s="26">
        <v>74.349999999999994</v>
      </c>
      <c r="H34" s="128">
        <f t="shared" si="2"/>
        <v>3.841416666666666</v>
      </c>
      <c r="I34" s="10">
        <f t="shared" si="3"/>
        <v>640.23611111111109</v>
      </c>
    </row>
    <row r="35" spans="1:9" ht="15.75" hidden="1" customHeight="1">
      <c r="A35" s="22"/>
      <c r="B35" s="27" t="s">
        <v>67</v>
      </c>
      <c r="C35" s="39" t="s">
        <v>33</v>
      </c>
      <c r="D35" s="27" t="s">
        <v>69</v>
      </c>
      <c r="E35" s="127"/>
      <c r="F35" s="26">
        <v>2</v>
      </c>
      <c r="G35" s="26">
        <v>250.92</v>
      </c>
      <c r="H35" s="128">
        <f t="shared" si="2"/>
        <v>0.50183999999999995</v>
      </c>
      <c r="I35" s="10">
        <v>0</v>
      </c>
    </row>
    <row r="36" spans="1:9" ht="15.75" hidden="1" customHeight="1">
      <c r="A36" s="22"/>
      <c r="B36" s="27" t="s">
        <v>68</v>
      </c>
      <c r="C36" s="39" t="s">
        <v>32</v>
      </c>
      <c r="D36" s="27" t="s">
        <v>69</v>
      </c>
      <c r="E36" s="127"/>
      <c r="F36" s="26">
        <v>3</v>
      </c>
      <c r="G36" s="26">
        <v>1490.31</v>
      </c>
      <c r="H36" s="128">
        <f t="shared" si="2"/>
        <v>4.4709300000000001</v>
      </c>
      <c r="I36" s="10">
        <v>0</v>
      </c>
    </row>
    <row r="37" spans="1:9" ht="15.75" customHeight="1">
      <c r="A37" s="22"/>
      <c r="B37" s="145" t="s">
        <v>5</v>
      </c>
      <c r="C37" s="39"/>
      <c r="D37" s="27"/>
      <c r="E37" s="127"/>
      <c r="F37" s="26"/>
      <c r="G37" s="26"/>
      <c r="H37" s="128" t="s">
        <v>156</v>
      </c>
      <c r="I37" s="10"/>
    </row>
    <row r="38" spans="1:9" ht="15.75" customHeight="1">
      <c r="A38" s="22">
        <v>8</v>
      </c>
      <c r="B38" s="28" t="s">
        <v>26</v>
      </c>
      <c r="C38" s="39" t="s">
        <v>32</v>
      </c>
      <c r="D38" s="27"/>
      <c r="E38" s="127"/>
      <c r="F38" s="26">
        <v>8</v>
      </c>
      <c r="G38" s="26">
        <v>2003</v>
      </c>
      <c r="H38" s="128">
        <f t="shared" ref="H38:H45" si="4">SUM(F38*G38/1000)</f>
        <v>16.024000000000001</v>
      </c>
      <c r="I38" s="10">
        <f t="shared" ref="I38:I45" si="5">F38/6*G38</f>
        <v>2670.6666666666665</v>
      </c>
    </row>
    <row r="39" spans="1:9" ht="15.75" customHeight="1">
      <c r="A39" s="22">
        <v>9</v>
      </c>
      <c r="B39" s="28" t="s">
        <v>70</v>
      </c>
      <c r="C39" s="53" t="s">
        <v>29</v>
      </c>
      <c r="D39" s="28" t="s">
        <v>261</v>
      </c>
      <c r="E39" s="29">
        <v>188</v>
      </c>
      <c r="F39" s="29">
        <f>SUM(E39*26/1000)</f>
        <v>4.8879999999999999</v>
      </c>
      <c r="G39" s="29">
        <v>2757.78</v>
      </c>
      <c r="H39" s="128">
        <f t="shared" si="4"/>
        <v>13.48002864</v>
      </c>
      <c r="I39" s="10">
        <f t="shared" si="5"/>
        <v>2246.6714400000001</v>
      </c>
    </row>
    <row r="40" spans="1:9" ht="15.75" customHeight="1">
      <c r="A40" s="22">
        <v>10</v>
      </c>
      <c r="B40" s="27" t="s">
        <v>71</v>
      </c>
      <c r="C40" s="39" t="s">
        <v>29</v>
      </c>
      <c r="D40" s="27" t="s">
        <v>94</v>
      </c>
      <c r="E40" s="26">
        <v>188</v>
      </c>
      <c r="F40" s="29">
        <f>SUM(E40*155/1000)</f>
        <v>29.14</v>
      </c>
      <c r="G40" s="26">
        <v>460.02</v>
      </c>
      <c r="H40" s="128">
        <f t="shared" si="4"/>
        <v>13.404982799999999</v>
      </c>
      <c r="I40" s="10">
        <f t="shared" si="5"/>
        <v>2234.1637999999998</v>
      </c>
    </row>
    <row r="41" spans="1:9" ht="15.75" hidden="1" customHeight="1">
      <c r="A41" s="22"/>
      <c r="B41" s="27" t="s">
        <v>262</v>
      </c>
      <c r="C41" s="39" t="s">
        <v>263</v>
      </c>
      <c r="D41" s="27"/>
      <c r="E41" s="127"/>
      <c r="F41" s="29">
        <v>50</v>
      </c>
      <c r="G41" s="26">
        <v>213.2</v>
      </c>
      <c r="H41" s="128">
        <f t="shared" si="4"/>
        <v>10.66</v>
      </c>
      <c r="I41" s="10">
        <v>0</v>
      </c>
    </row>
    <row r="42" spans="1:9" ht="47.25" customHeight="1">
      <c r="A42" s="22">
        <v>11</v>
      </c>
      <c r="B42" s="27" t="s">
        <v>89</v>
      </c>
      <c r="C42" s="39" t="s">
        <v>95</v>
      </c>
      <c r="D42" s="27" t="s">
        <v>261</v>
      </c>
      <c r="E42" s="26">
        <v>188</v>
      </c>
      <c r="F42" s="29">
        <f>SUM(E42*26/1000)</f>
        <v>4.8879999999999999</v>
      </c>
      <c r="G42" s="26">
        <v>7611.16</v>
      </c>
      <c r="H42" s="128">
        <f t="shared" si="4"/>
        <v>37.20335008</v>
      </c>
      <c r="I42" s="10">
        <f t="shared" si="5"/>
        <v>6200.5583466666667</v>
      </c>
    </row>
    <row r="43" spans="1:9" ht="15.75" hidden="1" customHeight="1">
      <c r="A43" s="22">
        <v>12</v>
      </c>
      <c r="B43" s="27" t="s">
        <v>96</v>
      </c>
      <c r="C43" s="39" t="s">
        <v>95</v>
      </c>
      <c r="D43" s="27" t="s">
        <v>264</v>
      </c>
      <c r="E43" s="26">
        <v>188</v>
      </c>
      <c r="F43" s="29">
        <f>SUM(E43*24/1000)</f>
        <v>4.5119999999999996</v>
      </c>
      <c r="G43" s="26">
        <v>562.25</v>
      </c>
      <c r="H43" s="128">
        <f t="shared" si="4"/>
        <v>2.5368719999999998</v>
      </c>
      <c r="I43" s="10">
        <f t="shared" si="5"/>
        <v>422.81199999999995</v>
      </c>
    </row>
    <row r="44" spans="1:9" ht="15.75" customHeight="1">
      <c r="A44" s="22">
        <v>12</v>
      </c>
      <c r="B44" s="28" t="s">
        <v>73</v>
      </c>
      <c r="C44" s="53" t="s">
        <v>33</v>
      </c>
      <c r="D44" s="28"/>
      <c r="E44" s="131"/>
      <c r="F44" s="29">
        <v>0.9</v>
      </c>
      <c r="G44" s="29">
        <v>974.83</v>
      </c>
      <c r="H44" s="128">
        <f t="shared" si="4"/>
        <v>0.8773470000000001</v>
      </c>
      <c r="I44" s="10">
        <f t="shared" si="5"/>
        <v>146.22450000000001</v>
      </c>
    </row>
    <row r="45" spans="1:9" ht="15.75" customHeight="1">
      <c r="A45" s="22">
        <v>13</v>
      </c>
      <c r="B45" s="113" t="s">
        <v>265</v>
      </c>
      <c r="C45" s="59" t="s">
        <v>29</v>
      </c>
      <c r="D45" s="28" t="s">
        <v>266</v>
      </c>
      <c r="E45" s="131">
        <v>2.4</v>
      </c>
      <c r="F45" s="29">
        <f>SUM(E45*12/1000)</f>
        <v>2.8799999999999996E-2</v>
      </c>
      <c r="G45" s="29">
        <v>260.2</v>
      </c>
      <c r="H45" s="128">
        <f t="shared" si="4"/>
        <v>7.4937599999999986E-3</v>
      </c>
      <c r="I45" s="10">
        <f t="shared" si="5"/>
        <v>1.2489599999999998</v>
      </c>
    </row>
    <row r="46" spans="1:9" ht="15.75" hidden="1" customHeight="1">
      <c r="A46" s="153" t="s">
        <v>148</v>
      </c>
      <c r="B46" s="154"/>
      <c r="C46" s="154"/>
      <c r="D46" s="154"/>
      <c r="E46" s="154"/>
      <c r="F46" s="154"/>
      <c r="G46" s="154"/>
      <c r="H46" s="154"/>
      <c r="I46" s="155"/>
    </row>
    <row r="47" spans="1:9" ht="15.75" hidden="1" customHeight="1">
      <c r="A47" s="22"/>
      <c r="B47" s="27" t="s">
        <v>157</v>
      </c>
      <c r="C47" s="39" t="s">
        <v>95</v>
      </c>
      <c r="D47" s="27" t="s">
        <v>43</v>
      </c>
      <c r="E47" s="127">
        <v>1609.3</v>
      </c>
      <c r="F47" s="26">
        <f>SUM(E47*2/1000)</f>
        <v>3.2185999999999999</v>
      </c>
      <c r="G47" s="31">
        <v>1193.71</v>
      </c>
      <c r="H47" s="128">
        <f t="shared" ref="H47:H56" si="6">SUM(F47*G47/1000)</f>
        <v>3.842075006</v>
      </c>
      <c r="I47" s="10">
        <f t="shared" ref="I47:I55" si="7">F47/2*G47</f>
        <v>1921.037503</v>
      </c>
    </row>
    <row r="48" spans="1:9" ht="15.75" hidden="1" customHeight="1">
      <c r="A48" s="22"/>
      <c r="B48" s="27" t="s">
        <v>36</v>
      </c>
      <c r="C48" s="39" t="s">
        <v>95</v>
      </c>
      <c r="D48" s="27" t="s">
        <v>43</v>
      </c>
      <c r="E48" s="127">
        <v>104</v>
      </c>
      <c r="F48" s="26">
        <f>SUM(E48*2/1000)</f>
        <v>0.20799999999999999</v>
      </c>
      <c r="G48" s="31">
        <v>4419.05</v>
      </c>
      <c r="H48" s="128">
        <f t="shared" si="6"/>
        <v>0.91916240000000005</v>
      </c>
      <c r="I48" s="10">
        <f t="shared" si="7"/>
        <v>459.58120000000002</v>
      </c>
    </row>
    <row r="49" spans="1:9" ht="15.75" hidden="1" customHeight="1">
      <c r="A49" s="22"/>
      <c r="B49" s="27" t="s">
        <v>37</v>
      </c>
      <c r="C49" s="39" t="s">
        <v>95</v>
      </c>
      <c r="D49" s="27" t="s">
        <v>43</v>
      </c>
      <c r="E49" s="127">
        <v>1996.87</v>
      </c>
      <c r="F49" s="26">
        <f>SUM(E49*2/1000)</f>
        <v>3.9937399999999998</v>
      </c>
      <c r="G49" s="31">
        <v>1803.69</v>
      </c>
      <c r="H49" s="128">
        <f t="shared" si="6"/>
        <v>7.2034689005999999</v>
      </c>
      <c r="I49" s="10">
        <f t="shared" si="7"/>
        <v>3601.7344502999999</v>
      </c>
    </row>
    <row r="50" spans="1:9" ht="15.75" hidden="1" customHeight="1">
      <c r="A50" s="22"/>
      <c r="B50" s="27" t="s">
        <v>38</v>
      </c>
      <c r="C50" s="39" t="s">
        <v>95</v>
      </c>
      <c r="D50" s="27" t="s">
        <v>43</v>
      </c>
      <c r="E50" s="127">
        <v>2654.21</v>
      </c>
      <c r="F50" s="26">
        <f>SUM(E50*2/1000)</f>
        <v>5.3084199999999999</v>
      </c>
      <c r="G50" s="31">
        <v>1243.43</v>
      </c>
      <c r="H50" s="128">
        <f t="shared" si="6"/>
        <v>6.6006486806</v>
      </c>
      <c r="I50" s="10">
        <f t="shared" si="7"/>
        <v>3300.3243403000001</v>
      </c>
    </row>
    <row r="51" spans="1:9" ht="15.75" hidden="1" customHeight="1">
      <c r="A51" s="22"/>
      <c r="B51" s="27" t="s">
        <v>34</v>
      </c>
      <c r="C51" s="39" t="s">
        <v>35</v>
      </c>
      <c r="D51" s="27" t="s">
        <v>43</v>
      </c>
      <c r="E51" s="127">
        <v>128.53</v>
      </c>
      <c r="F51" s="26">
        <f>SUM(E51*2/100)</f>
        <v>2.5706000000000002</v>
      </c>
      <c r="G51" s="31">
        <v>1352.76</v>
      </c>
      <c r="H51" s="128">
        <f t="shared" si="6"/>
        <v>3.4774048560000002</v>
      </c>
      <c r="I51" s="10">
        <f t="shared" si="7"/>
        <v>1738.7024280000001</v>
      </c>
    </row>
    <row r="52" spans="1:9" ht="15.75" hidden="1" customHeight="1">
      <c r="A52" s="22"/>
      <c r="B52" s="27" t="s">
        <v>58</v>
      </c>
      <c r="C52" s="39" t="s">
        <v>95</v>
      </c>
      <c r="D52" s="27" t="s">
        <v>170</v>
      </c>
      <c r="E52" s="127">
        <v>4394.8999999999996</v>
      </c>
      <c r="F52" s="26">
        <f>SUM(E52*5/1000)</f>
        <v>21.974499999999999</v>
      </c>
      <c r="G52" s="31">
        <v>1803.69</v>
      </c>
      <c r="H52" s="128">
        <f t="shared" si="6"/>
        <v>39.635185905</v>
      </c>
      <c r="I52" s="10">
        <f>F52/5*G52</f>
        <v>7927.0371809999997</v>
      </c>
    </row>
    <row r="53" spans="1:9" ht="31.5" hidden="1" customHeight="1">
      <c r="A53" s="22"/>
      <c r="B53" s="27" t="s">
        <v>97</v>
      </c>
      <c r="C53" s="39" t="s">
        <v>95</v>
      </c>
      <c r="D53" s="27" t="s">
        <v>43</v>
      </c>
      <c r="E53" s="127">
        <v>4394.8999999999996</v>
      </c>
      <c r="F53" s="26">
        <f>SUM(E53*2/1000)</f>
        <v>8.7897999999999996</v>
      </c>
      <c r="G53" s="31">
        <v>1591.6</v>
      </c>
      <c r="H53" s="128">
        <f t="shared" si="6"/>
        <v>13.989845679999998</v>
      </c>
      <c r="I53" s="10">
        <f t="shared" si="7"/>
        <v>6994.9228399999993</v>
      </c>
    </row>
    <row r="54" spans="1:9" ht="31.5" hidden="1" customHeight="1">
      <c r="A54" s="22"/>
      <c r="B54" s="27" t="s">
        <v>98</v>
      </c>
      <c r="C54" s="39" t="s">
        <v>39</v>
      </c>
      <c r="D54" s="27" t="s">
        <v>43</v>
      </c>
      <c r="E54" s="127">
        <v>40</v>
      </c>
      <c r="F54" s="26">
        <f>SUM(E54*2/100)</f>
        <v>0.8</v>
      </c>
      <c r="G54" s="31">
        <v>4058.32</v>
      </c>
      <c r="H54" s="128">
        <f t="shared" si="6"/>
        <v>3.2466560000000002</v>
      </c>
      <c r="I54" s="10">
        <f t="shared" si="7"/>
        <v>1623.3280000000002</v>
      </c>
    </row>
    <row r="55" spans="1:9" ht="15.75" hidden="1" customHeight="1">
      <c r="A55" s="22"/>
      <c r="B55" s="27" t="s">
        <v>40</v>
      </c>
      <c r="C55" s="39" t="s">
        <v>41</v>
      </c>
      <c r="D55" s="27" t="s">
        <v>43</v>
      </c>
      <c r="E55" s="127">
        <v>1</v>
      </c>
      <c r="F55" s="26">
        <v>0.02</v>
      </c>
      <c r="G55" s="31">
        <v>7412.92</v>
      </c>
      <c r="H55" s="128">
        <f t="shared" si="6"/>
        <v>0.14825839999999998</v>
      </c>
      <c r="I55" s="10">
        <f t="shared" si="7"/>
        <v>74.129199999999997</v>
      </c>
    </row>
    <row r="56" spans="1:9" ht="15.75" hidden="1" customHeight="1">
      <c r="A56" s="22"/>
      <c r="B56" s="27" t="s">
        <v>42</v>
      </c>
      <c r="C56" s="39" t="s">
        <v>102</v>
      </c>
      <c r="D56" s="27" t="s">
        <v>74</v>
      </c>
      <c r="E56" s="127">
        <v>160</v>
      </c>
      <c r="F56" s="26">
        <f>SUM(E56)*3</f>
        <v>480</v>
      </c>
      <c r="G56" s="32">
        <v>86.15</v>
      </c>
      <c r="H56" s="128">
        <f t="shared" si="6"/>
        <v>41.351999999999997</v>
      </c>
      <c r="I56" s="10">
        <f>F56/3*G56</f>
        <v>13784</v>
      </c>
    </row>
    <row r="57" spans="1:9" ht="15.75" customHeight="1">
      <c r="A57" s="153" t="s">
        <v>152</v>
      </c>
      <c r="B57" s="154"/>
      <c r="C57" s="154"/>
      <c r="D57" s="154"/>
      <c r="E57" s="154"/>
      <c r="F57" s="154"/>
      <c r="G57" s="154"/>
      <c r="H57" s="154"/>
      <c r="I57" s="155"/>
    </row>
    <row r="58" spans="1:9" ht="15.75" customHeight="1">
      <c r="A58" s="22"/>
      <c r="B58" s="145" t="s">
        <v>44</v>
      </c>
      <c r="C58" s="39"/>
      <c r="D58" s="27"/>
      <c r="E58" s="127"/>
      <c r="F58" s="26"/>
      <c r="G58" s="26"/>
      <c r="H58" s="128"/>
      <c r="I58" s="10"/>
    </row>
    <row r="59" spans="1:9" ht="31.5" customHeight="1">
      <c r="A59" s="22">
        <v>14</v>
      </c>
      <c r="B59" s="27" t="s">
        <v>158</v>
      </c>
      <c r="C59" s="39" t="s">
        <v>93</v>
      </c>
      <c r="D59" s="27" t="s">
        <v>126</v>
      </c>
      <c r="E59" s="127">
        <v>160</v>
      </c>
      <c r="F59" s="26">
        <f>SUM(E59*6/100)</f>
        <v>9.6</v>
      </c>
      <c r="G59" s="31">
        <v>2029.3</v>
      </c>
      <c r="H59" s="128">
        <f>SUM(F59*G59/1000)</f>
        <v>19.481279999999998</v>
      </c>
      <c r="I59" s="10">
        <f t="shared" ref="I59" si="8">F59/6*G59</f>
        <v>3246.8799999999997</v>
      </c>
    </row>
    <row r="60" spans="1:9" ht="15.75" customHeight="1">
      <c r="A60" s="22">
        <v>15</v>
      </c>
      <c r="B60" s="27" t="s">
        <v>267</v>
      </c>
      <c r="C60" s="39" t="s">
        <v>268</v>
      </c>
      <c r="D60" s="27" t="s">
        <v>69</v>
      </c>
      <c r="E60" s="127"/>
      <c r="F60" s="26">
        <v>3</v>
      </c>
      <c r="G60" s="31">
        <v>1582.05</v>
      </c>
      <c r="H60" s="128">
        <f>SUM(F60*G60/1000)</f>
        <v>4.7461499999999992</v>
      </c>
      <c r="I60" s="10">
        <f>G60*2.5</f>
        <v>3955.125</v>
      </c>
    </row>
    <row r="61" spans="1:9" ht="15.75" customHeight="1">
      <c r="A61" s="22"/>
      <c r="B61" s="145" t="s">
        <v>45</v>
      </c>
      <c r="C61" s="39"/>
      <c r="D61" s="27"/>
      <c r="E61" s="127"/>
      <c r="F61" s="26"/>
      <c r="G61" s="147"/>
      <c r="H61" s="128"/>
      <c r="I61" s="10"/>
    </row>
    <row r="62" spans="1:9" ht="15.75" hidden="1" customHeight="1">
      <c r="A62" s="22"/>
      <c r="B62" s="27" t="s">
        <v>46</v>
      </c>
      <c r="C62" s="39" t="s">
        <v>93</v>
      </c>
      <c r="D62" s="27" t="s">
        <v>55</v>
      </c>
      <c r="E62" s="127">
        <v>206</v>
      </c>
      <c r="F62" s="26">
        <f>SUM(E62/100)</f>
        <v>2.06</v>
      </c>
      <c r="G62" s="26">
        <v>1040.8399999999999</v>
      </c>
      <c r="H62" s="128">
        <f>F62*G62/1000</f>
        <v>2.1441303999999999</v>
      </c>
      <c r="I62" s="10">
        <v>0</v>
      </c>
    </row>
    <row r="63" spans="1:9" ht="15.75" customHeight="1">
      <c r="A63" s="22">
        <v>16</v>
      </c>
      <c r="B63" s="27" t="s">
        <v>138</v>
      </c>
      <c r="C63" s="39" t="s">
        <v>25</v>
      </c>
      <c r="D63" s="27" t="s">
        <v>139</v>
      </c>
      <c r="E63" s="127">
        <v>325</v>
      </c>
      <c r="F63" s="26">
        <f>E63*12</f>
        <v>3900</v>
      </c>
      <c r="G63" s="26">
        <v>2.8</v>
      </c>
      <c r="H63" s="128">
        <f>F63*G63/1000</f>
        <v>10.92</v>
      </c>
      <c r="I63" s="10">
        <f>F63/12*G63</f>
        <v>909.99999999999989</v>
      </c>
    </row>
    <row r="64" spans="1:9" ht="15.75" customHeight="1">
      <c r="A64" s="22"/>
      <c r="B64" s="146" t="s">
        <v>47</v>
      </c>
      <c r="C64" s="133"/>
      <c r="D64" s="134"/>
      <c r="E64" s="135"/>
      <c r="F64" s="136"/>
      <c r="G64" s="136"/>
      <c r="H64" s="137" t="s">
        <v>156</v>
      </c>
      <c r="I64" s="10"/>
    </row>
    <row r="65" spans="1:9" ht="15.75" customHeight="1">
      <c r="A65" s="22">
        <v>17</v>
      </c>
      <c r="B65" s="54" t="s">
        <v>48</v>
      </c>
      <c r="C65" s="35" t="s">
        <v>102</v>
      </c>
      <c r="D65" s="27" t="s">
        <v>69</v>
      </c>
      <c r="E65" s="15">
        <v>10</v>
      </c>
      <c r="F65" s="26">
        <f>SUM(E65)</f>
        <v>10</v>
      </c>
      <c r="G65" s="31">
        <v>291.68</v>
      </c>
      <c r="H65" s="111">
        <f t="shared" ref="H65:H84" si="9">SUM(F65*G65/1000)</f>
        <v>2.9168000000000003</v>
      </c>
      <c r="I65" s="10">
        <f>G65*3</f>
        <v>875.04</v>
      </c>
    </row>
    <row r="66" spans="1:9" ht="15.75" hidden="1" customHeight="1">
      <c r="A66" s="22"/>
      <c r="B66" s="54" t="s">
        <v>49</v>
      </c>
      <c r="C66" s="35" t="s">
        <v>102</v>
      </c>
      <c r="D66" s="27" t="s">
        <v>69</v>
      </c>
      <c r="E66" s="15">
        <v>5</v>
      </c>
      <c r="F66" s="26">
        <f>SUM(E66)</f>
        <v>5</v>
      </c>
      <c r="G66" s="31">
        <v>100.01</v>
      </c>
      <c r="H66" s="111">
        <f t="shared" si="9"/>
        <v>0.50004999999999999</v>
      </c>
      <c r="I66" s="10">
        <v>0</v>
      </c>
    </row>
    <row r="67" spans="1:9" ht="15.75" hidden="1" customHeight="1">
      <c r="A67" s="22"/>
      <c r="B67" s="54" t="s">
        <v>50</v>
      </c>
      <c r="C67" s="37" t="s">
        <v>103</v>
      </c>
      <c r="D67" s="34" t="s">
        <v>55</v>
      </c>
      <c r="E67" s="127">
        <v>24063</v>
      </c>
      <c r="F67" s="32">
        <f>SUM(E67/100)</f>
        <v>240.63</v>
      </c>
      <c r="G67" s="31">
        <v>278.24</v>
      </c>
      <c r="H67" s="111">
        <f t="shared" si="9"/>
        <v>66.952891199999996</v>
      </c>
      <c r="I67" s="10">
        <f>F67*G67</f>
        <v>66952.891199999998</v>
      </c>
    </row>
    <row r="68" spans="1:9" ht="15.75" hidden="1" customHeight="1">
      <c r="A68" s="22"/>
      <c r="B68" s="54" t="s">
        <v>51</v>
      </c>
      <c r="C68" s="35" t="s">
        <v>104</v>
      </c>
      <c r="D68" s="34" t="s">
        <v>55</v>
      </c>
      <c r="E68" s="127">
        <v>24063</v>
      </c>
      <c r="F68" s="31">
        <f>SUM(E68/1000)</f>
        <v>24.062999999999999</v>
      </c>
      <c r="G68" s="31">
        <v>216.68</v>
      </c>
      <c r="H68" s="111">
        <f t="shared" si="9"/>
        <v>5.21397084</v>
      </c>
      <c r="I68" s="10">
        <f t="shared" ref="I68:I72" si="10">F68*G68</f>
        <v>5213.97084</v>
      </c>
    </row>
    <row r="69" spans="1:9" ht="15.75" hidden="1" customHeight="1">
      <c r="A69" s="22"/>
      <c r="B69" s="54" t="s">
        <v>52</v>
      </c>
      <c r="C69" s="35" t="s">
        <v>81</v>
      </c>
      <c r="D69" s="34" t="s">
        <v>55</v>
      </c>
      <c r="E69" s="127">
        <v>1300</v>
      </c>
      <c r="F69" s="31">
        <f>SUM(E69/100)</f>
        <v>13</v>
      </c>
      <c r="G69" s="31">
        <v>2720.94</v>
      </c>
      <c r="H69" s="111">
        <f t="shared" si="9"/>
        <v>35.372219999999999</v>
      </c>
      <c r="I69" s="10">
        <f t="shared" si="10"/>
        <v>35372.22</v>
      </c>
    </row>
    <row r="70" spans="1:9" ht="15.75" hidden="1" customHeight="1">
      <c r="A70" s="22"/>
      <c r="B70" s="50" t="s">
        <v>75</v>
      </c>
      <c r="C70" s="35" t="s">
        <v>33</v>
      </c>
      <c r="D70" s="34"/>
      <c r="E70" s="127">
        <v>10.4</v>
      </c>
      <c r="F70" s="31">
        <f>SUM(E70)</f>
        <v>10.4</v>
      </c>
      <c r="G70" s="31">
        <v>42.61</v>
      </c>
      <c r="H70" s="111">
        <f t="shared" si="9"/>
        <v>0.44314399999999998</v>
      </c>
      <c r="I70" s="10">
        <f t="shared" si="10"/>
        <v>443.14400000000001</v>
      </c>
    </row>
    <row r="71" spans="1:9" ht="31.5" hidden="1" customHeight="1">
      <c r="A71" s="22"/>
      <c r="B71" s="50" t="s">
        <v>76</v>
      </c>
      <c r="C71" s="35" t="s">
        <v>33</v>
      </c>
      <c r="D71" s="34"/>
      <c r="E71" s="127">
        <v>10.4</v>
      </c>
      <c r="F71" s="31">
        <f>SUM(E71)</f>
        <v>10.4</v>
      </c>
      <c r="G71" s="31">
        <v>46.04</v>
      </c>
      <c r="H71" s="111">
        <f t="shared" si="9"/>
        <v>0.47881600000000002</v>
      </c>
      <c r="I71" s="10">
        <f t="shared" si="10"/>
        <v>478.81600000000003</v>
      </c>
    </row>
    <row r="72" spans="1:9" ht="15.75" hidden="1" customHeight="1">
      <c r="A72" s="22"/>
      <c r="B72" s="34" t="s">
        <v>59</v>
      </c>
      <c r="C72" s="35" t="s">
        <v>60</v>
      </c>
      <c r="D72" s="34" t="s">
        <v>55</v>
      </c>
      <c r="E72" s="15">
        <v>5</v>
      </c>
      <c r="F72" s="26">
        <f>SUM(E72)</f>
        <v>5</v>
      </c>
      <c r="G72" s="31">
        <v>65.42</v>
      </c>
      <c r="H72" s="111">
        <f t="shared" si="9"/>
        <v>0.3271</v>
      </c>
      <c r="I72" s="10">
        <f t="shared" si="10"/>
        <v>327.10000000000002</v>
      </c>
    </row>
    <row r="73" spans="1:9" ht="15.75" customHeight="1">
      <c r="A73" s="22"/>
      <c r="B73" s="47" t="s">
        <v>77</v>
      </c>
      <c r="C73" s="35"/>
      <c r="D73" s="34"/>
      <c r="E73" s="15"/>
      <c r="F73" s="31"/>
      <c r="G73" s="31"/>
      <c r="H73" s="111" t="s">
        <v>156</v>
      </c>
      <c r="I73" s="10"/>
    </row>
    <row r="74" spans="1:9" ht="15.75" hidden="1" customHeight="1">
      <c r="A74" s="22"/>
      <c r="B74" s="34" t="s">
        <v>269</v>
      </c>
      <c r="C74" s="35" t="s">
        <v>102</v>
      </c>
      <c r="D74" s="27" t="s">
        <v>69</v>
      </c>
      <c r="E74" s="15">
        <v>1</v>
      </c>
      <c r="F74" s="31">
        <v>1</v>
      </c>
      <c r="G74" s="31">
        <v>1029.1199999999999</v>
      </c>
      <c r="H74" s="111">
        <f t="shared" ref="H74:H77" si="11">SUM(F74*G74/1000)</f>
        <v>1.0291199999999998</v>
      </c>
      <c r="I74" s="10">
        <v>0</v>
      </c>
    </row>
    <row r="75" spans="1:9" ht="15.75" hidden="1" customHeight="1">
      <c r="A75" s="22"/>
      <c r="B75" s="34" t="s">
        <v>270</v>
      </c>
      <c r="C75" s="35" t="s">
        <v>271</v>
      </c>
      <c r="D75" s="34"/>
      <c r="E75" s="15">
        <v>1</v>
      </c>
      <c r="F75" s="31">
        <f>E75</f>
        <v>1</v>
      </c>
      <c r="G75" s="31">
        <v>735</v>
      </c>
      <c r="H75" s="111">
        <f t="shared" si="11"/>
        <v>0.73499999999999999</v>
      </c>
      <c r="I75" s="10">
        <v>0</v>
      </c>
    </row>
    <row r="76" spans="1:9" ht="15.75" customHeight="1">
      <c r="A76" s="22">
        <v>18</v>
      </c>
      <c r="B76" s="34" t="s">
        <v>78</v>
      </c>
      <c r="C76" s="35" t="s">
        <v>79</v>
      </c>
      <c r="D76" s="27" t="s">
        <v>69</v>
      </c>
      <c r="E76" s="15">
        <v>7</v>
      </c>
      <c r="F76" s="31">
        <f>E76/10</f>
        <v>0.7</v>
      </c>
      <c r="G76" s="31">
        <v>657.87</v>
      </c>
      <c r="H76" s="111">
        <f t="shared" si="11"/>
        <v>0.46050899999999995</v>
      </c>
      <c r="I76" s="10">
        <f>G76*0.9</f>
        <v>592.08299999999997</v>
      </c>
    </row>
    <row r="77" spans="1:9" ht="15.75" hidden="1" customHeight="1">
      <c r="A77" s="22"/>
      <c r="B77" s="34" t="s">
        <v>127</v>
      </c>
      <c r="C77" s="35" t="s">
        <v>102</v>
      </c>
      <c r="D77" s="27" t="s">
        <v>69</v>
      </c>
      <c r="E77" s="15">
        <v>1</v>
      </c>
      <c r="F77" s="26">
        <f>SUM(E77)</f>
        <v>1</v>
      </c>
      <c r="G77" s="31">
        <v>1118.72</v>
      </c>
      <c r="H77" s="111">
        <f t="shared" si="11"/>
        <v>1.1187199999999999</v>
      </c>
      <c r="I77" s="10">
        <v>0</v>
      </c>
    </row>
    <row r="78" spans="1:9" ht="15.75" hidden="1" customHeight="1">
      <c r="A78" s="22"/>
      <c r="B78" s="113" t="s">
        <v>272</v>
      </c>
      <c r="C78" s="59" t="s">
        <v>102</v>
      </c>
      <c r="D78" s="27" t="s">
        <v>69</v>
      </c>
      <c r="E78" s="15">
        <v>1</v>
      </c>
      <c r="F78" s="58">
        <v>1</v>
      </c>
      <c r="G78" s="31">
        <v>1605.83</v>
      </c>
      <c r="H78" s="111">
        <f>SUM(F78*G78/1000)</f>
        <v>1.6058299999999999</v>
      </c>
      <c r="I78" s="10">
        <v>0</v>
      </c>
    </row>
    <row r="79" spans="1:9" ht="15.75" customHeight="1">
      <c r="A79" s="22">
        <v>19</v>
      </c>
      <c r="B79" s="113" t="s">
        <v>273</v>
      </c>
      <c r="C79" s="59" t="s">
        <v>102</v>
      </c>
      <c r="D79" s="34" t="s">
        <v>30</v>
      </c>
      <c r="E79" s="138">
        <v>2</v>
      </c>
      <c r="F79" s="136">
        <f>E79*12</f>
        <v>24</v>
      </c>
      <c r="G79" s="139">
        <v>53.42</v>
      </c>
      <c r="H79" s="111">
        <f t="shared" ref="H79:H80" si="12">SUM(F79*G79/1000)</f>
        <v>1.2820799999999999</v>
      </c>
      <c r="I79" s="10">
        <f>F79/12*G79</f>
        <v>106.84</v>
      </c>
    </row>
    <row r="80" spans="1:9" ht="15.75" customHeight="1">
      <c r="A80" s="22">
        <v>20</v>
      </c>
      <c r="B80" s="101" t="s">
        <v>133</v>
      </c>
      <c r="C80" s="35"/>
      <c r="D80" s="34" t="s">
        <v>30</v>
      </c>
      <c r="E80" s="15">
        <v>1</v>
      </c>
      <c r="F80" s="31">
        <v>12</v>
      </c>
      <c r="G80" s="31">
        <v>1194</v>
      </c>
      <c r="H80" s="111">
        <f t="shared" si="12"/>
        <v>14.327999999999999</v>
      </c>
      <c r="I80" s="10">
        <f>F80/12*G80</f>
        <v>1194</v>
      </c>
    </row>
    <row r="81" spans="1:9" ht="15.75" customHeight="1">
      <c r="A81" s="22"/>
      <c r="B81" s="148" t="s">
        <v>274</v>
      </c>
      <c r="C81" s="59"/>
      <c r="D81" s="34"/>
      <c r="E81" s="15"/>
      <c r="F81" s="31"/>
      <c r="G81" s="31"/>
      <c r="H81" s="111"/>
      <c r="I81" s="10"/>
    </row>
    <row r="82" spans="1:9" ht="15.75" customHeight="1">
      <c r="A82" s="22">
        <v>21</v>
      </c>
      <c r="B82" s="34" t="s">
        <v>275</v>
      </c>
      <c r="C82" s="40" t="s">
        <v>276</v>
      </c>
      <c r="D82" s="27" t="s">
        <v>69</v>
      </c>
      <c r="E82" s="15">
        <v>4394.8999999999996</v>
      </c>
      <c r="F82" s="31">
        <f>SUM(E82*12)</f>
        <v>52738.799999999996</v>
      </c>
      <c r="G82" s="31">
        <v>2.2799999999999998</v>
      </c>
      <c r="H82" s="111">
        <f t="shared" ref="H82" si="13">SUM(F82*G82/1000)</f>
        <v>120.24446399999998</v>
      </c>
      <c r="I82" s="10">
        <f>F82/12*G82</f>
        <v>10020.371999999998</v>
      </c>
    </row>
    <row r="83" spans="1:9" ht="15.75" hidden="1" customHeight="1">
      <c r="A83" s="22"/>
      <c r="B83" s="48" t="s">
        <v>80</v>
      </c>
      <c r="C83" s="35"/>
      <c r="D83" s="34"/>
      <c r="E83" s="15"/>
      <c r="F83" s="31"/>
      <c r="G83" s="31" t="s">
        <v>156</v>
      </c>
      <c r="H83" s="111" t="s">
        <v>156</v>
      </c>
      <c r="I83" s="10"/>
    </row>
    <row r="84" spans="1:9" ht="15.75" hidden="1" customHeight="1">
      <c r="A84" s="22"/>
      <c r="B84" s="36" t="s">
        <v>107</v>
      </c>
      <c r="C84" s="37" t="s">
        <v>81</v>
      </c>
      <c r="D84" s="54"/>
      <c r="E84" s="140"/>
      <c r="F84" s="32">
        <v>0.6</v>
      </c>
      <c r="G84" s="32">
        <v>3619.09</v>
      </c>
      <c r="H84" s="111">
        <f t="shared" si="9"/>
        <v>2.1714540000000002</v>
      </c>
      <c r="I84" s="10">
        <v>0</v>
      </c>
    </row>
    <row r="85" spans="1:9" ht="15.75" hidden="1" customHeight="1">
      <c r="A85" s="22"/>
      <c r="B85" s="121" t="s">
        <v>99</v>
      </c>
      <c r="C85" s="104"/>
      <c r="D85" s="24"/>
      <c r="E85" s="25"/>
      <c r="F85" s="90"/>
      <c r="G85" s="90"/>
      <c r="H85" s="141">
        <f>SUM(H59:H84)</f>
        <v>292.47172943999999</v>
      </c>
      <c r="I85" s="10"/>
    </row>
    <row r="86" spans="1:9" ht="15.75" hidden="1" customHeight="1">
      <c r="A86" s="22"/>
      <c r="B86" s="27" t="s">
        <v>105</v>
      </c>
      <c r="C86" s="142"/>
      <c r="D86" s="143"/>
      <c r="E86" s="144"/>
      <c r="F86" s="33">
        <v>1</v>
      </c>
      <c r="G86" s="33">
        <v>18792</v>
      </c>
      <c r="H86" s="111">
        <f>G86*F86/1000</f>
        <v>18.792000000000002</v>
      </c>
      <c r="I86" s="10">
        <v>0</v>
      </c>
    </row>
    <row r="87" spans="1:9" ht="15.75" customHeight="1">
      <c r="A87" s="153" t="s">
        <v>153</v>
      </c>
      <c r="B87" s="154"/>
      <c r="C87" s="154"/>
      <c r="D87" s="154"/>
      <c r="E87" s="154"/>
      <c r="F87" s="154"/>
      <c r="G87" s="154"/>
      <c r="H87" s="154"/>
      <c r="I87" s="155"/>
    </row>
    <row r="88" spans="1:9" ht="15.75" customHeight="1">
      <c r="A88" s="22">
        <v>22</v>
      </c>
      <c r="B88" s="27" t="s">
        <v>106</v>
      </c>
      <c r="C88" s="35" t="s">
        <v>56</v>
      </c>
      <c r="D88" s="55" t="s">
        <v>57</v>
      </c>
      <c r="E88" s="31">
        <v>4394.8999999999996</v>
      </c>
      <c r="F88" s="31">
        <f>SUM(E88*12)</f>
        <v>52738.799999999996</v>
      </c>
      <c r="G88" s="31">
        <v>3.1</v>
      </c>
      <c r="H88" s="111">
        <f>SUM(F88*G88/1000)</f>
        <v>163.49028000000001</v>
      </c>
      <c r="I88" s="10">
        <f>F88/12*G88</f>
        <v>13624.189999999999</v>
      </c>
    </row>
    <row r="89" spans="1:9" ht="30.75" customHeight="1">
      <c r="A89" s="22">
        <v>23</v>
      </c>
      <c r="B89" s="34" t="s">
        <v>82</v>
      </c>
      <c r="C89" s="35"/>
      <c r="D89" s="55" t="s">
        <v>57</v>
      </c>
      <c r="E89" s="127">
        <f>E88</f>
        <v>4394.8999999999996</v>
      </c>
      <c r="F89" s="31">
        <f>E89*12</f>
        <v>52738.799999999996</v>
      </c>
      <c r="G89" s="31">
        <v>3.5</v>
      </c>
      <c r="H89" s="111">
        <f>F89*G89/1000</f>
        <v>184.58579999999998</v>
      </c>
      <c r="I89" s="10">
        <f>F89/12*G89</f>
        <v>15382.149999999998</v>
      </c>
    </row>
    <row r="90" spans="1:9" ht="15.75" customHeight="1">
      <c r="A90" s="22"/>
      <c r="B90" s="38" t="s">
        <v>85</v>
      </c>
      <c r="C90" s="104"/>
      <c r="D90" s="103"/>
      <c r="E90" s="90"/>
      <c r="F90" s="90"/>
      <c r="G90" s="90"/>
      <c r="H90" s="105">
        <f>SUM(H77)</f>
        <v>1.1187199999999999</v>
      </c>
      <c r="I90" s="90">
        <f>I16+I17+I18+I21+I25+I26+I27+I38+I39+I40+I42+I44+I45+I59+I60+I63+I65+I76+I79+I80+I82+I88+I89</f>
        <v>99865.584861999974</v>
      </c>
    </row>
    <row r="91" spans="1:9" ht="15.75" customHeight="1">
      <c r="A91" s="167" t="s">
        <v>62</v>
      </c>
      <c r="B91" s="168"/>
      <c r="C91" s="168"/>
      <c r="D91" s="168"/>
      <c r="E91" s="168"/>
      <c r="F91" s="168"/>
      <c r="G91" s="168"/>
      <c r="H91" s="168"/>
      <c r="I91" s="169"/>
    </row>
    <row r="92" spans="1:9" ht="15.75" customHeight="1">
      <c r="A92" s="22">
        <v>24</v>
      </c>
      <c r="B92" s="68" t="s">
        <v>182</v>
      </c>
      <c r="C92" s="69" t="s">
        <v>144</v>
      </c>
      <c r="D92" s="112"/>
      <c r="E92" s="31"/>
      <c r="F92" s="31">
        <f>(3)/3</f>
        <v>1</v>
      </c>
      <c r="G92" s="31">
        <v>1120.8900000000001</v>
      </c>
      <c r="H92" s="111">
        <f t="shared" ref="H92:H101" si="14">G92*F92/1000</f>
        <v>1.1208900000000002</v>
      </c>
      <c r="I92" s="10">
        <f>G92</f>
        <v>1120.8900000000001</v>
      </c>
    </row>
    <row r="93" spans="1:9" ht="31.5" customHeight="1">
      <c r="A93" s="22">
        <v>25</v>
      </c>
      <c r="B93" s="113" t="s">
        <v>237</v>
      </c>
      <c r="C93" s="59" t="s">
        <v>136</v>
      </c>
      <c r="D93" s="112"/>
      <c r="E93" s="31"/>
      <c r="F93" s="31">
        <v>14</v>
      </c>
      <c r="G93" s="31">
        <v>1046.06</v>
      </c>
      <c r="H93" s="111">
        <f t="shared" si="14"/>
        <v>14.64484</v>
      </c>
      <c r="I93" s="10">
        <f>G93*(2+12)</f>
        <v>14644.84</v>
      </c>
    </row>
    <row r="94" spans="1:9" ht="15.75" customHeight="1">
      <c r="A94" s="22">
        <v>26</v>
      </c>
      <c r="B94" s="56" t="s">
        <v>243</v>
      </c>
      <c r="C94" s="57" t="s">
        <v>102</v>
      </c>
      <c r="D94" s="34"/>
      <c r="E94" s="15"/>
      <c r="F94" s="31">
        <v>7</v>
      </c>
      <c r="G94" s="31">
        <v>140</v>
      </c>
      <c r="H94" s="111">
        <f t="shared" si="14"/>
        <v>0.98</v>
      </c>
      <c r="I94" s="10">
        <f>G94*(1+6)</f>
        <v>980</v>
      </c>
    </row>
    <row r="95" spans="1:9" ht="15.75" customHeight="1">
      <c r="A95" s="22">
        <v>27</v>
      </c>
      <c r="B95" s="56" t="s">
        <v>242</v>
      </c>
      <c r="C95" s="57" t="s">
        <v>102</v>
      </c>
      <c r="D95" s="112"/>
      <c r="E95" s="31"/>
      <c r="F95" s="31">
        <v>5</v>
      </c>
      <c r="G95" s="31">
        <v>118</v>
      </c>
      <c r="H95" s="111">
        <f t="shared" si="14"/>
        <v>0.59</v>
      </c>
      <c r="I95" s="10">
        <f>G95*(1+4)</f>
        <v>590</v>
      </c>
    </row>
    <row r="96" spans="1:9" ht="15.75" customHeight="1">
      <c r="A96" s="22">
        <v>28</v>
      </c>
      <c r="B96" s="114" t="s">
        <v>240</v>
      </c>
      <c r="C96" s="57" t="s">
        <v>102</v>
      </c>
      <c r="D96" s="34"/>
      <c r="E96" s="15"/>
      <c r="F96" s="31">
        <v>7</v>
      </c>
      <c r="G96" s="31">
        <v>108</v>
      </c>
      <c r="H96" s="111">
        <f t="shared" si="14"/>
        <v>0.75600000000000001</v>
      </c>
      <c r="I96" s="10">
        <f>G96*(1+6)</f>
        <v>756</v>
      </c>
    </row>
    <row r="97" spans="1:9" ht="15.75" customHeight="1">
      <c r="A97" s="22">
        <v>29</v>
      </c>
      <c r="B97" s="56" t="s">
        <v>239</v>
      </c>
      <c r="C97" s="57" t="s">
        <v>102</v>
      </c>
      <c r="D97" s="34"/>
      <c r="E97" s="15"/>
      <c r="F97" s="31">
        <v>1</v>
      </c>
      <c r="G97" s="31">
        <v>40</v>
      </c>
      <c r="H97" s="111">
        <f t="shared" si="14"/>
        <v>0.04</v>
      </c>
      <c r="I97" s="10">
        <f>G97</f>
        <v>40</v>
      </c>
    </row>
    <row r="98" spans="1:9" ht="15.75" customHeight="1">
      <c r="A98" s="22">
        <v>30</v>
      </c>
      <c r="B98" s="56" t="s">
        <v>164</v>
      </c>
      <c r="C98" s="57" t="s">
        <v>102</v>
      </c>
      <c r="D98" s="112"/>
      <c r="E98" s="31"/>
      <c r="F98" s="31">
        <v>6</v>
      </c>
      <c r="G98" s="31">
        <v>62</v>
      </c>
      <c r="H98" s="111">
        <f t="shared" si="14"/>
        <v>0.372</v>
      </c>
      <c r="I98" s="10">
        <f>G98*(1+5)</f>
        <v>372</v>
      </c>
    </row>
    <row r="99" spans="1:9" ht="15.75" customHeight="1">
      <c r="A99" s="22">
        <v>31</v>
      </c>
      <c r="B99" s="83" t="s">
        <v>184</v>
      </c>
      <c r="C99" s="60" t="s">
        <v>185</v>
      </c>
      <c r="D99" s="40"/>
      <c r="E99" s="15"/>
      <c r="F99" s="149">
        <v>1</v>
      </c>
      <c r="G99" s="15">
        <v>195.85</v>
      </c>
      <c r="H99" s="111">
        <f t="shared" si="14"/>
        <v>0.19585</v>
      </c>
      <c r="I99" s="10">
        <f t="shared" ref="I99:I101" si="15">G99</f>
        <v>195.85</v>
      </c>
    </row>
    <row r="100" spans="1:9" ht="31.5" customHeight="1">
      <c r="A100" s="22">
        <v>32</v>
      </c>
      <c r="B100" s="56" t="s">
        <v>161</v>
      </c>
      <c r="C100" s="57" t="s">
        <v>162</v>
      </c>
      <c r="D100" s="112"/>
      <c r="E100" s="31"/>
      <c r="F100" s="31">
        <v>1</v>
      </c>
      <c r="G100" s="31">
        <v>54.17</v>
      </c>
      <c r="H100" s="111">
        <f t="shared" si="14"/>
        <v>5.4170000000000003E-2</v>
      </c>
      <c r="I100" s="10">
        <f t="shared" si="15"/>
        <v>54.17</v>
      </c>
    </row>
    <row r="101" spans="1:9" ht="31.5" customHeight="1">
      <c r="A101" s="22">
        <v>33</v>
      </c>
      <c r="B101" s="81" t="s">
        <v>160</v>
      </c>
      <c r="C101" s="13" t="s">
        <v>31</v>
      </c>
      <c r="D101" s="49"/>
      <c r="E101" s="10"/>
      <c r="F101" s="10">
        <v>1</v>
      </c>
      <c r="G101" s="10">
        <v>1934.94</v>
      </c>
      <c r="H101" s="111">
        <f t="shared" si="14"/>
        <v>1.9349400000000001</v>
      </c>
      <c r="I101" s="10">
        <f t="shared" si="15"/>
        <v>1934.94</v>
      </c>
    </row>
    <row r="102" spans="1:9" ht="15.75" customHeight="1">
      <c r="A102" s="22">
        <v>34</v>
      </c>
      <c r="B102" s="56" t="s">
        <v>231</v>
      </c>
      <c r="C102" s="57" t="s">
        <v>136</v>
      </c>
      <c r="D102" s="112"/>
      <c r="E102" s="31"/>
      <c r="F102" s="31">
        <v>7</v>
      </c>
      <c r="G102" s="10">
        <v>727.73</v>
      </c>
      <c r="H102" s="111">
        <f>G102*F102/1000</f>
        <v>5.0941100000000006</v>
      </c>
      <c r="I102" s="10">
        <f>G102*7</f>
        <v>5094.1100000000006</v>
      </c>
    </row>
    <row r="103" spans="1:9" ht="15.75" customHeight="1">
      <c r="A103" s="22">
        <v>35</v>
      </c>
      <c r="B103" s="113" t="s">
        <v>286</v>
      </c>
      <c r="C103" s="59" t="s">
        <v>102</v>
      </c>
      <c r="D103" s="112"/>
      <c r="E103" s="31"/>
      <c r="F103" s="31">
        <v>4</v>
      </c>
      <c r="G103" s="31">
        <v>82</v>
      </c>
      <c r="H103" s="111">
        <f t="shared" ref="H103" si="16">G103*F103/1000</f>
        <v>0.32800000000000001</v>
      </c>
      <c r="I103" s="10">
        <f>G103*4</f>
        <v>328</v>
      </c>
    </row>
    <row r="104" spans="1:9" ht="15.75" customHeight="1">
      <c r="A104" s="22">
        <v>36</v>
      </c>
      <c r="B104" s="56" t="s">
        <v>232</v>
      </c>
      <c r="C104" s="57" t="s">
        <v>102</v>
      </c>
      <c r="D104" s="112"/>
      <c r="E104" s="31"/>
      <c r="F104" s="31">
        <v>4</v>
      </c>
      <c r="G104" s="31">
        <v>22</v>
      </c>
      <c r="H104" s="111">
        <f>G104*F104/1000</f>
        <v>8.7999999999999995E-2</v>
      </c>
      <c r="I104" s="10">
        <f t="shared" ref="I104" si="17">G104*4</f>
        <v>88</v>
      </c>
    </row>
    <row r="105" spans="1:9" ht="15.75" customHeight="1">
      <c r="A105" s="22">
        <v>37</v>
      </c>
      <c r="B105" s="56" t="s">
        <v>277</v>
      </c>
      <c r="C105" s="57" t="s">
        <v>102</v>
      </c>
      <c r="D105" s="112"/>
      <c r="E105" s="31"/>
      <c r="F105" s="31">
        <v>6</v>
      </c>
      <c r="G105" s="31">
        <v>46</v>
      </c>
      <c r="H105" s="111">
        <f>G105*F105/1000</f>
        <v>0.27600000000000002</v>
      </c>
      <c r="I105" s="10">
        <f>G105*6</f>
        <v>276</v>
      </c>
    </row>
    <row r="106" spans="1:9" ht="15.75" customHeight="1">
      <c r="A106" s="22">
        <v>38</v>
      </c>
      <c r="B106" s="68" t="s">
        <v>278</v>
      </c>
      <c r="C106" s="57" t="s">
        <v>102</v>
      </c>
      <c r="D106" s="112"/>
      <c r="E106" s="31"/>
      <c r="F106" s="31">
        <v>6</v>
      </c>
      <c r="G106" s="31">
        <v>42</v>
      </c>
      <c r="H106" s="111">
        <f>G106*F106/1000</f>
        <v>0.252</v>
      </c>
      <c r="I106" s="10">
        <f t="shared" ref="I106:I107" si="18">G106*6</f>
        <v>252</v>
      </c>
    </row>
    <row r="107" spans="1:9" ht="15.75" customHeight="1">
      <c r="A107" s="22">
        <v>39</v>
      </c>
      <c r="B107" s="81" t="s">
        <v>228</v>
      </c>
      <c r="C107" s="22" t="s">
        <v>102</v>
      </c>
      <c r="D107" s="34"/>
      <c r="E107" s="15"/>
      <c r="F107" s="31">
        <v>6</v>
      </c>
      <c r="G107" s="10">
        <v>45</v>
      </c>
      <c r="H107" s="111">
        <f>G107*F107/1000</f>
        <v>0.27</v>
      </c>
      <c r="I107" s="10">
        <f t="shared" si="18"/>
        <v>270</v>
      </c>
    </row>
    <row r="108" spans="1:9" ht="15.75" customHeight="1">
      <c r="A108" s="22">
        <v>40</v>
      </c>
      <c r="B108" s="56" t="s">
        <v>287</v>
      </c>
      <c r="C108" s="57" t="s">
        <v>102</v>
      </c>
      <c r="D108" s="112"/>
      <c r="E108" s="31"/>
      <c r="F108" s="31">
        <v>3</v>
      </c>
      <c r="G108" s="31">
        <v>61</v>
      </c>
      <c r="H108" s="111">
        <f t="shared" ref="H108:H119" si="19">G108*F108/1000</f>
        <v>0.183</v>
      </c>
      <c r="I108" s="10">
        <f>G108*3</f>
        <v>183</v>
      </c>
    </row>
    <row r="109" spans="1:9" ht="15.75" customHeight="1">
      <c r="A109" s="22">
        <v>41</v>
      </c>
      <c r="B109" s="68" t="s">
        <v>279</v>
      </c>
      <c r="C109" s="57" t="s">
        <v>102</v>
      </c>
      <c r="D109" s="112"/>
      <c r="E109" s="31"/>
      <c r="F109" s="31">
        <v>3</v>
      </c>
      <c r="G109" s="31">
        <v>70</v>
      </c>
      <c r="H109" s="111">
        <f t="shared" si="19"/>
        <v>0.21</v>
      </c>
      <c r="I109" s="10">
        <f>G109*3</f>
        <v>210</v>
      </c>
    </row>
    <row r="110" spans="1:9" ht="31.5" customHeight="1">
      <c r="A110" s="22">
        <v>42</v>
      </c>
      <c r="B110" s="113" t="s">
        <v>186</v>
      </c>
      <c r="C110" s="59" t="s">
        <v>29</v>
      </c>
      <c r="D110" s="49"/>
      <c r="E110" s="10"/>
      <c r="F110" s="14">
        <v>1E-3</v>
      </c>
      <c r="G110" s="10">
        <v>1591.6</v>
      </c>
      <c r="H110" s="150">
        <f t="shared" si="19"/>
        <v>1.5915999999999999E-3</v>
      </c>
      <c r="I110" s="10">
        <f>G110*0.001</f>
        <v>1.5915999999999999</v>
      </c>
    </row>
    <row r="111" spans="1:9" ht="15.75" customHeight="1">
      <c r="A111" s="22">
        <v>43</v>
      </c>
      <c r="B111" s="56" t="s">
        <v>198</v>
      </c>
      <c r="C111" s="57" t="s">
        <v>163</v>
      </c>
      <c r="D111" s="49"/>
      <c r="E111" s="31"/>
      <c r="F111" s="31">
        <v>0.02</v>
      </c>
      <c r="G111" s="31">
        <v>7412.92</v>
      </c>
      <c r="H111" s="111">
        <f t="shared" si="19"/>
        <v>0.14825839999999998</v>
      </c>
      <c r="I111" s="10">
        <f>G111*0.02</f>
        <v>148.25839999999999</v>
      </c>
    </row>
    <row r="112" spans="1:9" ht="15.75" customHeight="1">
      <c r="A112" s="22">
        <v>44</v>
      </c>
      <c r="B112" s="113" t="s">
        <v>280</v>
      </c>
      <c r="C112" s="59" t="s">
        <v>102</v>
      </c>
      <c r="D112" s="112"/>
      <c r="E112" s="31"/>
      <c r="F112" s="31">
        <v>1</v>
      </c>
      <c r="G112" s="31">
        <v>190.86</v>
      </c>
      <c r="H112" s="111">
        <f t="shared" si="19"/>
        <v>0.19086</v>
      </c>
      <c r="I112" s="10">
        <f t="shared" ref="I112" si="20">G112</f>
        <v>190.86</v>
      </c>
    </row>
    <row r="113" spans="1:9" ht="31.5" customHeight="1">
      <c r="A113" s="22">
        <v>45</v>
      </c>
      <c r="B113" s="56" t="s">
        <v>88</v>
      </c>
      <c r="C113" s="57" t="s">
        <v>39</v>
      </c>
      <c r="D113" s="112"/>
      <c r="E113" s="31"/>
      <c r="F113" s="31">
        <v>0.03</v>
      </c>
      <c r="G113" s="31">
        <v>3581.13</v>
      </c>
      <c r="H113" s="111">
        <f t="shared" si="19"/>
        <v>0.1074339</v>
      </c>
      <c r="I113" s="10">
        <f>G113*0.02</f>
        <v>71.622600000000006</v>
      </c>
    </row>
    <row r="114" spans="1:9" ht="15.75" customHeight="1">
      <c r="A114" s="22">
        <v>46</v>
      </c>
      <c r="B114" s="56" t="s">
        <v>137</v>
      </c>
      <c r="C114" s="57" t="s">
        <v>102</v>
      </c>
      <c r="D114" s="49"/>
      <c r="E114" s="10"/>
      <c r="F114" s="10">
        <v>158</v>
      </c>
      <c r="G114" s="10">
        <v>53.42</v>
      </c>
      <c r="H114" s="111">
        <f t="shared" si="19"/>
        <v>8.4403600000000001</v>
      </c>
      <c r="I114" s="10">
        <f>G114*78</f>
        <v>4166.76</v>
      </c>
    </row>
    <row r="115" spans="1:9" ht="15.75" customHeight="1">
      <c r="A115" s="22">
        <v>47</v>
      </c>
      <c r="B115" s="56" t="s">
        <v>87</v>
      </c>
      <c r="C115" s="57" t="s">
        <v>102</v>
      </c>
      <c r="D115" s="22"/>
      <c r="E115" s="16"/>
      <c r="F115" s="16">
        <v>2</v>
      </c>
      <c r="G115" s="16">
        <v>189.88</v>
      </c>
      <c r="H115" s="111">
        <f t="shared" si="19"/>
        <v>0.37975999999999999</v>
      </c>
      <c r="I115" s="10">
        <f>G115*2</f>
        <v>379.76</v>
      </c>
    </row>
    <row r="116" spans="1:9" ht="15.75" customHeight="1">
      <c r="A116" s="22">
        <v>48</v>
      </c>
      <c r="B116" s="113" t="s">
        <v>281</v>
      </c>
      <c r="C116" s="59" t="s">
        <v>32</v>
      </c>
      <c r="D116" s="112"/>
      <c r="E116" s="31"/>
      <c r="F116" s="31">
        <v>2</v>
      </c>
      <c r="G116" s="31">
        <v>1725</v>
      </c>
      <c r="H116" s="151">
        <f t="shared" si="19"/>
        <v>3.45</v>
      </c>
      <c r="I116" s="10">
        <f>G116*2</f>
        <v>3450</v>
      </c>
    </row>
    <row r="117" spans="1:9" ht="15.75" customHeight="1">
      <c r="A117" s="22">
        <v>49</v>
      </c>
      <c r="B117" s="119" t="s">
        <v>282</v>
      </c>
      <c r="C117" s="59" t="s">
        <v>54</v>
      </c>
      <c r="D117" s="34"/>
      <c r="E117" s="15"/>
      <c r="F117" s="31">
        <f>4.1/100</f>
        <v>4.0999999999999995E-2</v>
      </c>
      <c r="G117" s="31">
        <v>72270.649999999994</v>
      </c>
      <c r="H117" s="111">
        <f t="shared" si="19"/>
        <v>2.9630966499999993</v>
      </c>
      <c r="I117" s="10">
        <f>G117*0.041</f>
        <v>2963.09665</v>
      </c>
    </row>
    <row r="118" spans="1:9" ht="31.5" customHeight="1">
      <c r="A118" s="22">
        <v>50</v>
      </c>
      <c r="B118" s="113" t="s">
        <v>283</v>
      </c>
      <c r="C118" s="59" t="s">
        <v>284</v>
      </c>
      <c r="D118" s="34"/>
      <c r="E118" s="15"/>
      <c r="F118" s="31">
        <f>(2.1+1.3+1.6+1.8+2.1+1.5+1+1.5)/100</f>
        <v>0.129</v>
      </c>
      <c r="G118" s="31">
        <v>63043.19</v>
      </c>
      <c r="H118" s="111">
        <f t="shared" si="19"/>
        <v>8.13257151</v>
      </c>
      <c r="I118" s="10">
        <f>G118*F118</f>
        <v>8132.5715100000007</v>
      </c>
    </row>
    <row r="119" spans="1:9" ht="15.75" customHeight="1">
      <c r="A119" s="22">
        <v>51</v>
      </c>
      <c r="B119" s="119" t="s">
        <v>285</v>
      </c>
      <c r="C119" s="59" t="s">
        <v>56</v>
      </c>
      <c r="D119" s="34"/>
      <c r="E119" s="15"/>
      <c r="F119" s="31">
        <f>(9.93+7.7+5.6+8.8+2.94)/100</f>
        <v>0.34970000000000001</v>
      </c>
      <c r="G119" s="31">
        <v>72270.649999999994</v>
      </c>
      <c r="H119" s="111">
        <f t="shared" si="19"/>
        <v>25.273046305000001</v>
      </c>
      <c r="I119" s="10">
        <f>G119*F119</f>
        <v>25273.046305</v>
      </c>
    </row>
    <row r="120" spans="1:9">
      <c r="A120" s="22"/>
      <c r="B120" s="45" t="s">
        <v>53</v>
      </c>
      <c r="C120" s="41"/>
      <c r="D120" s="51"/>
      <c r="E120" s="41">
        <v>1</v>
      </c>
      <c r="F120" s="41"/>
      <c r="G120" s="41"/>
      <c r="H120" s="41"/>
      <c r="I120" s="25">
        <f>SUM(I92:I119)</f>
        <v>72167.367064999984</v>
      </c>
    </row>
    <row r="121" spans="1:9" ht="15.75" customHeight="1">
      <c r="A121" s="22"/>
      <c r="B121" s="49" t="s">
        <v>83</v>
      </c>
      <c r="C121" s="12"/>
      <c r="D121" s="12"/>
      <c r="E121" s="42"/>
      <c r="F121" s="42"/>
      <c r="G121" s="43"/>
      <c r="H121" s="43"/>
      <c r="I121" s="15">
        <v>0</v>
      </c>
    </row>
    <row r="122" spans="1:9" ht="15.75" customHeight="1">
      <c r="A122" s="52"/>
      <c r="B122" s="46" t="s">
        <v>288</v>
      </c>
      <c r="C122" s="30"/>
      <c r="D122" s="30"/>
      <c r="E122" s="30"/>
      <c r="F122" s="30"/>
      <c r="G122" s="30"/>
      <c r="H122" s="30"/>
      <c r="I122" s="44">
        <f>I90+I120</f>
        <v>172032.95192699996</v>
      </c>
    </row>
    <row r="123" spans="1:9" ht="15.75">
      <c r="A123" s="166" t="s">
        <v>293</v>
      </c>
      <c r="B123" s="166"/>
      <c r="C123" s="166"/>
      <c r="D123" s="166"/>
      <c r="E123" s="166"/>
      <c r="F123" s="166"/>
      <c r="G123" s="166"/>
      <c r="H123" s="166"/>
      <c r="I123" s="166"/>
    </row>
    <row r="124" spans="1:9" ht="15.75" customHeight="1">
      <c r="A124" s="67"/>
      <c r="B124" s="161" t="s">
        <v>294</v>
      </c>
      <c r="C124" s="161"/>
      <c r="D124" s="161"/>
      <c r="E124" s="161"/>
      <c r="F124" s="161"/>
      <c r="G124" s="161"/>
      <c r="H124" s="80"/>
      <c r="I124" s="2"/>
    </row>
    <row r="125" spans="1:9" ht="15.75" customHeight="1">
      <c r="A125" s="126"/>
      <c r="B125" s="157" t="s">
        <v>6</v>
      </c>
      <c r="C125" s="157"/>
      <c r="D125" s="157"/>
      <c r="E125" s="157"/>
      <c r="F125" s="157"/>
      <c r="G125" s="157"/>
      <c r="H125" s="17"/>
      <c r="I125" s="4"/>
    </row>
    <row r="126" spans="1:9" ht="15.75" customHeight="1">
      <c r="A126" s="7"/>
      <c r="B126" s="7"/>
      <c r="C126" s="7"/>
      <c r="D126" s="7"/>
      <c r="E126" s="7"/>
      <c r="F126" s="7"/>
      <c r="G126" s="7"/>
      <c r="H126" s="7"/>
      <c r="I126" s="7"/>
    </row>
    <row r="127" spans="1:9" ht="15.75" customHeight="1">
      <c r="A127" s="162" t="s">
        <v>7</v>
      </c>
      <c r="B127" s="162"/>
      <c r="C127" s="162"/>
      <c r="D127" s="162"/>
      <c r="E127" s="162"/>
      <c r="F127" s="162"/>
      <c r="G127" s="162"/>
      <c r="H127" s="162"/>
      <c r="I127" s="162"/>
    </row>
    <row r="128" spans="1:9" ht="15.75" customHeight="1">
      <c r="A128" s="162" t="s">
        <v>8</v>
      </c>
      <c r="B128" s="162"/>
      <c r="C128" s="162"/>
      <c r="D128" s="162"/>
      <c r="E128" s="162"/>
      <c r="F128" s="162"/>
      <c r="G128" s="162"/>
      <c r="H128" s="162"/>
      <c r="I128" s="162"/>
    </row>
    <row r="129" spans="1:9" ht="15.75">
      <c r="A129" s="163" t="s">
        <v>63</v>
      </c>
      <c r="B129" s="163"/>
      <c r="C129" s="163"/>
      <c r="D129" s="163"/>
      <c r="E129" s="163"/>
      <c r="F129" s="163"/>
      <c r="G129" s="163"/>
      <c r="H129" s="163"/>
      <c r="I129" s="163"/>
    </row>
    <row r="130" spans="1:9" ht="15.75" customHeight="1">
      <c r="A130" s="8"/>
    </row>
    <row r="131" spans="1:9" ht="15.75">
      <c r="A131" s="164" t="s">
        <v>9</v>
      </c>
      <c r="B131" s="164"/>
      <c r="C131" s="164"/>
      <c r="D131" s="164"/>
      <c r="E131" s="164"/>
      <c r="F131" s="164"/>
      <c r="G131" s="164"/>
      <c r="H131" s="164"/>
      <c r="I131" s="164"/>
    </row>
    <row r="132" spans="1:9" ht="15.75" customHeight="1">
      <c r="A132" s="3"/>
    </row>
    <row r="133" spans="1:9" ht="15.75">
      <c r="B133" s="123" t="s">
        <v>10</v>
      </c>
      <c r="C133" s="156" t="s">
        <v>150</v>
      </c>
      <c r="D133" s="156"/>
      <c r="E133" s="156"/>
      <c r="F133" s="78"/>
      <c r="I133" s="125"/>
    </row>
    <row r="134" spans="1:9">
      <c r="A134" s="126"/>
      <c r="C134" s="157" t="s">
        <v>11</v>
      </c>
      <c r="D134" s="157"/>
      <c r="E134" s="157"/>
      <c r="F134" s="17"/>
      <c r="I134" s="124" t="s">
        <v>12</v>
      </c>
    </row>
    <row r="135" spans="1:9" ht="15.75">
      <c r="A135" s="18"/>
      <c r="C135" s="9"/>
      <c r="D135" s="9"/>
      <c r="G135" s="9"/>
      <c r="H135" s="9"/>
    </row>
    <row r="136" spans="1:9" ht="15.75" customHeight="1">
      <c r="B136" s="123" t="s">
        <v>13</v>
      </c>
      <c r="C136" s="158"/>
      <c r="D136" s="158"/>
      <c r="E136" s="158"/>
      <c r="F136" s="79"/>
      <c r="I136" s="125"/>
    </row>
    <row r="137" spans="1:9" ht="15.75" customHeight="1">
      <c r="A137" s="126"/>
      <c r="C137" s="159" t="s">
        <v>11</v>
      </c>
      <c r="D137" s="159"/>
      <c r="E137" s="159"/>
      <c r="F137" s="126"/>
      <c r="I137" s="124" t="s">
        <v>12</v>
      </c>
    </row>
    <row r="138" spans="1:9" ht="15.75" customHeight="1">
      <c r="A138" s="3" t="s">
        <v>14</v>
      </c>
    </row>
    <row r="139" spans="1:9">
      <c r="A139" s="160" t="s">
        <v>15</v>
      </c>
      <c r="B139" s="160"/>
      <c r="C139" s="160"/>
      <c r="D139" s="160"/>
      <c r="E139" s="160"/>
      <c r="F139" s="160"/>
      <c r="G139" s="160"/>
      <c r="H139" s="160"/>
      <c r="I139" s="160"/>
    </row>
    <row r="140" spans="1:9" ht="45" customHeight="1">
      <c r="A140" s="152" t="s">
        <v>16</v>
      </c>
      <c r="B140" s="152"/>
      <c r="C140" s="152"/>
      <c r="D140" s="152"/>
      <c r="E140" s="152"/>
      <c r="F140" s="152"/>
      <c r="G140" s="152"/>
      <c r="H140" s="152"/>
      <c r="I140" s="152"/>
    </row>
    <row r="141" spans="1:9" ht="30" customHeight="1">
      <c r="A141" s="152" t="s">
        <v>17</v>
      </c>
      <c r="B141" s="152"/>
      <c r="C141" s="152"/>
      <c r="D141" s="152"/>
      <c r="E141" s="152"/>
      <c r="F141" s="152"/>
      <c r="G141" s="152"/>
      <c r="H141" s="152"/>
      <c r="I141" s="152"/>
    </row>
    <row r="142" spans="1:9" ht="30" customHeight="1">
      <c r="A142" s="152" t="s">
        <v>21</v>
      </c>
      <c r="B142" s="152"/>
      <c r="C142" s="152"/>
      <c r="D142" s="152"/>
      <c r="E142" s="152"/>
      <c r="F142" s="152"/>
      <c r="G142" s="152"/>
      <c r="H142" s="152"/>
      <c r="I142" s="152"/>
    </row>
    <row r="143" spans="1:9" ht="15" customHeight="1">
      <c r="A143" s="152" t="s">
        <v>20</v>
      </c>
      <c r="B143" s="152"/>
      <c r="C143" s="152"/>
      <c r="D143" s="152"/>
      <c r="E143" s="152"/>
      <c r="F143" s="152"/>
      <c r="G143" s="152"/>
      <c r="H143" s="152"/>
      <c r="I143" s="152"/>
    </row>
  </sheetData>
  <mergeCells count="28">
    <mergeCell ref="A140:I140"/>
    <mergeCell ref="A141:I141"/>
    <mergeCell ref="A142:I142"/>
    <mergeCell ref="A143:I143"/>
    <mergeCell ref="A28:I28"/>
    <mergeCell ref="A46:I46"/>
    <mergeCell ref="A57:I57"/>
    <mergeCell ref="A87:I87"/>
    <mergeCell ref="A131:I131"/>
    <mergeCell ref="C133:E133"/>
    <mergeCell ref="C134:E134"/>
    <mergeCell ref="C136:E136"/>
    <mergeCell ref="C137:E137"/>
    <mergeCell ref="A139:I139"/>
    <mergeCell ref="A123:I123"/>
    <mergeCell ref="B124:G124"/>
    <mergeCell ref="B125:G125"/>
    <mergeCell ref="A127:I127"/>
    <mergeCell ref="A128:I128"/>
    <mergeCell ref="A129:I129"/>
    <mergeCell ref="A15:I15"/>
    <mergeCell ref="A91:I91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25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91</v>
      </c>
      <c r="I1" s="19"/>
    </row>
    <row r="2" spans="1:9" ht="15.75">
      <c r="A2" s="21" t="s">
        <v>64</v>
      </c>
    </row>
    <row r="3" spans="1:9" ht="15.75">
      <c r="A3" s="171" t="s">
        <v>108</v>
      </c>
      <c r="B3" s="171"/>
      <c r="C3" s="171"/>
      <c r="D3" s="171"/>
      <c r="E3" s="171"/>
      <c r="F3" s="171"/>
      <c r="G3" s="171"/>
      <c r="H3" s="171"/>
      <c r="I3" s="171"/>
    </row>
    <row r="4" spans="1:9" ht="31.5" customHeight="1">
      <c r="A4" s="172" t="s">
        <v>143</v>
      </c>
      <c r="B4" s="172"/>
      <c r="C4" s="172"/>
      <c r="D4" s="172"/>
      <c r="E4" s="172"/>
      <c r="F4" s="172"/>
      <c r="G4" s="172"/>
      <c r="H4" s="172"/>
      <c r="I4" s="172"/>
    </row>
    <row r="5" spans="1:9" ht="15.75">
      <c r="A5" s="171" t="s">
        <v>289</v>
      </c>
      <c r="B5" s="173"/>
      <c r="C5" s="173"/>
      <c r="D5" s="173"/>
      <c r="E5" s="173"/>
      <c r="F5" s="173"/>
      <c r="G5" s="173"/>
      <c r="H5" s="173"/>
      <c r="I5" s="173"/>
    </row>
    <row r="6" spans="1:9" ht="15.75">
      <c r="A6" s="1"/>
      <c r="B6" s="122"/>
      <c r="C6" s="122"/>
      <c r="D6" s="122"/>
      <c r="E6" s="122"/>
      <c r="F6" s="122"/>
      <c r="G6" s="122"/>
      <c r="H6" s="122"/>
      <c r="I6" s="23">
        <v>43100</v>
      </c>
    </row>
    <row r="7" spans="1:9" ht="15.75">
      <c r="B7" s="123"/>
      <c r="C7" s="123"/>
      <c r="D7" s="123"/>
      <c r="E7" s="2"/>
      <c r="F7" s="2"/>
      <c r="G7" s="2"/>
      <c r="H7" s="2"/>
    </row>
    <row r="8" spans="1:9" ht="78.75" customHeight="1">
      <c r="A8" s="174" t="s">
        <v>253</v>
      </c>
      <c r="B8" s="174"/>
      <c r="C8" s="174"/>
      <c r="D8" s="174"/>
      <c r="E8" s="174"/>
      <c r="F8" s="174"/>
      <c r="G8" s="174"/>
      <c r="H8" s="174"/>
      <c r="I8" s="174"/>
    </row>
    <row r="9" spans="1:9" ht="15.75">
      <c r="A9" s="3"/>
    </row>
    <row r="10" spans="1:9" ht="47.25" customHeight="1">
      <c r="A10" s="175" t="s">
        <v>299</v>
      </c>
      <c r="B10" s="175"/>
      <c r="C10" s="175"/>
      <c r="D10" s="175"/>
      <c r="E10" s="175"/>
      <c r="F10" s="175"/>
      <c r="G10" s="175"/>
      <c r="H10" s="175"/>
      <c r="I10" s="17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70" t="s">
        <v>61</v>
      </c>
      <c r="B14" s="170"/>
      <c r="C14" s="170"/>
      <c r="D14" s="170"/>
      <c r="E14" s="170"/>
      <c r="F14" s="170"/>
      <c r="G14" s="170"/>
      <c r="H14" s="170"/>
      <c r="I14" s="170"/>
    </row>
    <row r="15" spans="1:9" ht="15.75" customHeight="1">
      <c r="A15" s="165" t="s">
        <v>4</v>
      </c>
      <c r="B15" s="165"/>
      <c r="C15" s="165"/>
      <c r="D15" s="165"/>
      <c r="E15" s="165"/>
      <c r="F15" s="165"/>
      <c r="G15" s="165"/>
      <c r="H15" s="165"/>
      <c r="I15" s="165"/>
    </row>
    <row r="16" spans="1:9" ht="15.75" customHeight="1">
      <c r="A16" s="22">
        <v>1</v>
      </c>
      <c r="B16" s="27" t="s">
        <v>109</v>
      </c>
      <c r="C16" s="39" t="s">
        <v>93</v>
      </c>
      <c r="D16" s="27" t="s">
        <v>254</v>
      </c>
      <c r="E16" s="127">
        <v>121.14</v>
      </c>
      <c r="F16" s="26">
        <f>SUM(E16*156/100)</f>
        <v>188.97839999999999</v>
      </c>
      <c r="G16" s="26">
        <v>230</v>
      </c>
      <c r="H16" s="128">
        <f t="shared" ref="H16:H25" si="0">SUM(F16*G16/1000)</f>
        <v>43.465032000000001</v>
      </c>
      <c r="I16" s="10">
        <f>F16/12*G16</f>
        <v>3622.0859999999998</v>
      </c>
    </row>
    <row r="17" spans="1:9" ht="15.75" customHeight="1">
      <c r="A17" s="22">
        <v>2</v>
      </c>
      <c r="B17" s="27" t="s">
        <v>111</v>
      </c>
      <c r="C17" s="39" t="s">
        <v>93</v>
      </c>
      <c r="D17" s="27" t="s">
        <v>255</v>
      </c>
      <c r="E17" s="127">
        <v>484.56</v>
      </c>
      <c r="F17" s="26">
        <f>SUM(E17*104/100)</f>
        <v>503.94239999999996</v>
      </c>
      <c r="G17" s="26">
        <v>230</v>
      </c>
      <c r="H17" s="128">
        <f t="shared" si="0"/>
        <v>115.906752</v>
      </c>
      <c r="I17" s="10">
        <f>F17/12*G17</f>
        <v>9658.8959999999988</v>
      </c>
    </row>
    <row r="18" spans="1:9" ht="15.75" customHeight="1">
      <c r="A18" s="22">
        <v>3</v>
      </c>
      <c r="B18" s="27" t="s">
        <v>113</v>
      </c>
      <c r="C18" s="39" t="s">
        <v>93</v>
      </c>
      <c r="D18" s="27" t="s">
        <v>256</v>
      </c>
      <c r="E18" s="127">
        <f>SUM(E16+E17)</f>
        <v>605.70000000000005</v>
      </c>
      <c r="F18" s="26">
        <f>SUM(E18*24/100)</f>
        <v>145.36800000000002</v>
      </c>
      <c r="G18" s="26">
        <v>661.67</v>
      </c>
      <c r="H18" s="128">
        <f t="shared" si="0"/>
        <v>96.185644560000014</v>
      </c>
      <c r="I18" s="10">
        <f>F18/12*G18</f>
        <v>8015.4703800000016</v>
      </c>
    </row>
    <row r="19" spans="1:9" ht="15.75" hidden="1" customHeight="1">
      <c r="A19" s="22"/>
      <c r="B19" s="27" t="s">
        <v>114</v>
      </c>
      <c r="C19" s="39" t="s">
        <v>115</v>
      </c>
      <c r="D19" s="27" t="s">
        <v>116</v>
      </c>
      <c r="E19" s="127">
        <v>38.4</v>
      </c>
      <c r="F19" s="26">
        <f>SUM(E19/10)</f>
        <v>3.84</v>
      </c>
      <c r="G19" s="26">
        <v>223.17</v>
      </c>
      <c r="H19" s="128">
        <f t="shared" si="0"/>
        <v>0.85697279999999987</v>
      </c>
      <c r="I19" s="10">
        <f>F19/2*G19</f>
        <v>428.48639999999995</v>
      </c>
    </row>
    <row r="20" spans="1:9" ht="15.75" hidden="1" customHeight="1">
      <c r="A20" s="22"/>
      <c r="B20" s="27" t="s">
        <v>117</v>
      </c>
      <c r="C20" s="39" t="s">
        <v>93</v>
      </c>
      <c r="D20" s="27" t="s">
        <v>43</v>
      </c>
      <c r="E20" s="127">
        <v>58.4</v>
      </c>
      <c r="F20" s="26">
        <f>SUM(E20*2/100)</f>
        <v>1.1679999999999999</v>
      </c>
      <c r="G20" s="26">
        <v>285.76</v>
      </c>
      <c r="H20" s="128">
        <f t="shared" si="0"/>
        <v>0.33376768000000001</v>
      </c>
      <c r="I20" s="10">
        <f>F20/2*G20</f>
        <v>166.88383999999999</v>
      </c>
    </row>
    <row r="21" spans="1:9" ht="15.75" hidden="1" customHeight="1">
      <c r="A21" s="22">
        <v>4</v>
      </c>
      <c r="B21" s="27" t="s">
        <v>118</v>
      </c>
      <c r="C21" s="39" t="s">
        <v>93</v>
      </c>
      <c r="D21" s="27" t="s">
        <v>119</v>
      </c>
      <c r="E21" s="127">
        <v>9.08</v>
      </c>
      <c r="F21" s="26">
        <f>SUM(E21*6/100)</f>
        <v>0.54480000000000006</v>
      </c>
      <c r="G21" s="26">
        <v>283.44</v>
      </c>
      <c r="H21" s="128">
        <f t="shared" si="0"/>
        <v>0.154418112</v>
      </c>
      <c r="I21" s="10">
        <f>F21/6*G21</f>
        <v>25.736352</v>
      </c>
    </row>
    <row r="22" spans="1:9" ht="15.75" hidden="1" customHeight="1">
      <c r="A22" s="22"/>
      <c r="B22" s="27" t="s">
        <v>120</v>
      </c>
      <c r="C22" s="39" t="s">
        <v>54</v>
      </c>
      <c r="D22" s="27" t="s">
        <v>116</v>
      </c>
      <c r="E22" s="127">
        <v>714</v>
      </c>
      <c r="F22" s="26">
        <f>SUM(E22/100)</f>
        <v>7.14</v>
      </c>
      <c r="G22" s="26">
        <v>353.14</v>
      </c>
      <c r="H22" s="128">
        <f t="shared" si="0"/>
        <v>2.5214195999999998</v>
      </c>
      <c r="I22" s="10">
        <f>F22*G22</f>
        <v>2521.4195999999997</v>
      </c>
    </row>
    <row r="23" spans="1:9" ht="15.75" hidden="1" customHeight="1">
      <c r="A23" s="22"/>
      <c r="B23" s="27" t="s">
        <v>121</v>
      </c>
      <c r="C23" s="39" t="s">
        <v>54</v>
      </c>
      <c r="D23" s="27" t="s">
        <v>116</v>
      </c>
      <c r="E23" s="129">
        <v>96.6</v>
      </c>
      <c r="F23" s="26">
        <f>SUM(E23/100)</f>
        <v>0.96599999999999997</v>
      </c>
      <c r="G23" s="26">
        <v>58.08</v>
      </c>
      <c r="H23" s="128">
        <f t="shared" si="0"/>
        <v>5.6105279999999993E-2</v>
      </c>
      <c r="I23" s="10">
        <f t="shared" ref="I23:I24" si="1">F23*G23</f>
        <v>56.105279999999993</v>
      </c>
    </row>
    <row r="24" spans="1:9" ht="15.75" hidden="1" customHeight="1">
      <c r="A24" s="22"/>
      <c r="B24" s="27" t="s">
        <v>122</v>
      </c>
      <c r="C24" s="39" t="s">
        <v>54</v>
      </c>
      <c r="D24" s="27" t="s">
        <v>123</v>
      </c>
      <c r="E24" s="127">
        <v>32</v>
      </c>
      <c r="F24" s="26">
        <f>E24*12/100</f>
        <v>3.84</v>
      </c>
      <c r="G24" s="26">
        <v>511.12</v>
      </c>
      <c r="H24" s="128">
        <f t="shared" si="0"/>
        <v>1.9627007999999999</v>
      </c>
      <c r="I24" s="10">
        <f t="shared" si="1"/>
        <v>1962.7007999999998</v>
      </c>
    </row>
    <row r="25" spans="1:9" ht="15.75" customHeight="1">
      <c r="A25" s="22">
        <v>4</v>
      </c>
      <c r="B25" s="27" t="s">
        <v>124</v>
      </c>
      <c r="C25" s="39" t="s">
        <v>54</v>
      </c>
      <c r="D25" s="27" t="s">
        <v>142</v>
      </c>
      <c r="E25" s="127">
        <v>17</v>
      </c>
      <c r="F25" s="26">
        <f>SUM(E25*12/100)</f>
        <v>2.04</v>
      </c>
      <c r="G25" s="26">
        <v>683.05</v>
      </c>
      <c r="H25" s="128">
        <f t="shared" si="0"/>
        <v>1.3934219999999999</v>
      </c>
      <c r="I25" s="10">
        <f>F25/12*G25</f>
        <v>116.1185</v>
      </c>
    </row>
    <row r="26" spans="1:9" ht="15.75" customHeight="1">
      <c r="A26" s="22">
        <v>5</v>
      </c>
      <c r="B26" s="27" t="s">
        <v>66</v>
      </c>
      <c r="C26" s="39" t="s">
        <v>33</v>
      </c>
      <c r="D26" s="27" t="s">
        <v>65</v>
      </c>
      <c r="E26" s="131">
        <v>0.1</v>
      </c>
      <c r="F26" s="26">
        <f>SUM(E26*155)</f>
        <v>15.5</v>
      </c>
      <c r="G26" s="26">
        <v>264.85000000000002</v>
      </c>
      <c r="H26" s="128">
        <f>SUM(F26*G26/1000)</f>
        <v>4.105175</v>
      </c>
      <c r="I26" s="10">
        <f>F26/12*G26</f>
        <v>342.09791666666672</v>
      </c>
    </row>
    <row r="27" spans="1:9" ht="15.75" customHeight="1">
      <c r="A27" s="22">
        <v>6</v>
      </c>
      <c r="B27" s="132" t="s">
        <v>23</v>
      </c>
      <c r="C27" s="39" t="s">
        <v>24</v>
      </c>
      <c r="D27" s="132" t="s">
        <v>156</v>
      </c>
      <c r="E27" s="127">
        <v>4394.8999999999996</v>
      </c>
      <c r="F27" s="26">
        <f>SUM(E27*12)</f>
        <v>52738.799999999996</v>
      </c>
      <c r="G27" s="26">
        <v>3.34</v>
      </c>
      <c r="H27" s="128">
        <f>SUM(F27*G27/1000)</f>
        <v>176.14759199999997</v>
      </c>
      <c r="I27" s="10">
        <f>F27/12*G27</f>
        <v>14678.965999999999</v>
      </c>
    </row>
    <row r="28" spans="1:9" ht="15.75" customHeight="1">
      <c r="A28" s="153" t="s">
        <v>90</v>
      </c>
      <c r="B28" s="154"/>
      <c r="C28" s="154"/>
      <c r="D28" s="154"/>
      <c r="E28" s="154"/>
      <c r="F28" s="154"/>
      <c r="G28" s="154"/>
      <c r="H28" s="154"/>
      <c r="I28" s="155"/>
    </row>
    <row r="29" spans="1:9" ht="15.75" hidden="1" customHeight="1">
      <c r="A29" s="22"/>
      <c r="B29" s="145" t="s">
        <v>28</v>
      </c>
      <c r="C29" s="39"/>
      <c r="D29" s="27"/>
      <c r="E29" s="127"/>
      <c r="F29" s="26"/>
      <c r="G29" s="26"/>
      <c r="H29" s="128"/>
      <c r="I29" s="10"/>
    </row>
    <row r="30" spans="1:9" ht="15.75" hidden="1" customHeight="1">
      <c r="A30" s="22"/>
      <c r="B30" s="27" t="s">
        <v>101</v>
      </c>
      <c r="C30" s="39" t="s">
        <v>95</v>
      </c>
      <c r="D30" s="27" t="s">
        <v>257</v>
      </c>
      <c r="E30" s="26">
        <v>637</v>
      </c>
      <c r="F30" s="26">
        <f>SUM(E30*48/1000)</f>
        <v>30.576000000000001</v>
      </c>
      <c r="G30" s="26">
        <v>204.44</v>
      </c>
      <c r="H30" s="128">
        <f t="shared" ref="H30:H36" si="2">SUM(F30*G30/1000)</f>
        <v>6.2509574400000005</v>
      </c>
      <c r="I30" s="10">
        <f t="shared" ref="I30:I34" si="3">F30/6*G30</f>
        <v>1041.8262400000001</v>
      </c>
    </row>
    <row r="31" spans="1:9" ht="31.5" hidden="1" customHeight="1">
      <c r="A31" s="22"/>
      <c r="B31" s="27" t="s">
        <v>169</v>
      </c>
      <c r="C31" s="39" t="s">
        <v>95</v>
      </c>
      <c r="D31" s="27" t="s">
        <v>258</v>
      </c>
      <c r="E31" s="26">
        <v>188</v>
      </c>
      <c r="F31" s="26">
        <f>SUM(E31*48/1000)</f>
        <v>9.0239999999999991</v>
      </c>
      <c r="G31" s="26">
        <v>339.21</v>
      </c>
      <c r="H31" s="128">
        <f t="shared" si="2"/>
        <v>3.0610310399999996</v>
      </c>
      <c r="I31" s="10">
        <f t="shared" si="3"/>
        <v>510.17183999999992</v>
      </c>
    </row>
    <row r="32" spans="1:9" ht="15.75" hidden="1" customHeight="1">
      <c r="A32" s="22"/>
      <c r="B32" s="27" t="s">
        <v>27</v>
      </c>
      <c r="C32" s="39" t="s">
        <v>95</v>
      </c>
      <c r="D32" s="27" t="s">
        <v>55</v>
      </c>
      <c r="E32" s="26">
        <v>637</v>
      </c>
      <c r="F32" s="26">
        <f>SUM(E32/1000)</f>
        <v>0.63700000000000001</v>
      </c>
      <c r="G32" s="26">
        <v>3961.23</v>
      </c>
      <c r="H32" s="128">
        <f t="shared" si="2"/>
        <v>2.5233035100000003</v>
      </c>
      <c r="I32" s="10">
        <f>F32*G32</f>
        <v>2523.3035100000002</v>
      </c>
    </row>
    <row r="33" spans="1:9" ht="15.75" hidden="1" customHeight="1">
      <c r="A33" s="22"/>
      <c r="B33" s="27" t="s">
        <v>259</v>
      </c>
      <c r="C33" s="39" t="s">
        <v>41</v>
      </c>
      <c r="D33" s="27" t="s">
        <v>260</v>
      </c>
      <c r="E33" s="26">
        <v>8</v>
      </c>
      <c r="F33" s="26">
        <f>SUM(E33*48/100)</f>
        <v>3.84</v>
      </c>
      <c r="G33" s="26">
        <v>1707.63</v>
      </c>
      <c r="H33" s="128">
        <f t="shared" si="2"/>
        <v>6.5572992000000001</v>
      </c>
      <c r="I33" s="10">
        <f t="shared" si="3"/>
        <v>1092.8832</v>
      </c>
    </row>
    <row r="34" spans="1:9" ht="15.75" hidden="1" customHeight="1">
      <c r="A34" s="22"/>
      <c r="B34" s="27" t="s">
        <v>100</v>
      </c>
      <c r="C34" s="39" t="s">
        <v>31</v>
      </c>
      <c r="D34" s="27" t="s">
        <v>65</v>
      </c>
      <c r="E34" s="130">
        <f>1/3</f>
        <v>0.33333333333333331</v>
      </c>
      <c r="F34" s="26">
        <f>155/3</f>
        <v>51.666666666666664</v>
      </c>
      <c r="G34" s="26">
        <v>74.349999999999994</v>
      </c>
      <c r="H34" s="128">
        <f t="shared" si="2"/>
        <v>3.841416666666666</v>
      </c>
      <c r="I34" s="10">
        <f t="shared" si="3"/>
        <v>640.23611111111109</v>
      </c>
    </row>
    <row r="35" spans="1:9" ht="15.75" hidden="1" customHeight="1">
      <c r="A35" s="22"/>
      <c r="B35" s="27" t="s">
        <v>67</v>
      </c>
      <c r="C35" s="39" t="s">
        <v>33</v>
      </c>
      <c r="D35" s="27" t="s">
        <v>69</v>
      </c>
      <c r="E35" s="127"/>
      <c r="F35" s="26">
        <v>2</v>
      </c>
      <c r="G35" s="26">
        <v>250.92</v>
      </c>
      <c r="H35" s="128">
        <f t="shared" si="2"/>
        <v>0.50183999999999995</v>
      </c>
      <c r="I35" s="10">
        <v>0</v>
      </c>
    </row>
    <row r="36" spans="1:9" ht="15.75" hidden="1" customHeight="1">
      <c r="A36" s="22"/>
      <c r="B36" s="27" t="s">
        <v>68</v>
      </c>
      <c r="C36" s="39" t="s">
        <v>32</v>
      </c>
      <c r="D36" s="27" t="s">
        <v>69</v>
      </c>
      <c r="E36" s="127"/>
      <c r="F36" s="26">
        <v>3</v>
      </c>
      <c r="G36" s="26">
        <v>1490.31</v>
      </c>
      <c r="H36" s="128">
        <f t="shared" si="2"/>
        <v>4.4709300000000001</v>
      </c>
      <c r="I36" s="10">
        <v>0</v>
      </c>
    </row>
    <row r="37" spans="1:9" ht="15.75" customHeight="1">
      <c r="A37" s="22"/>
      <c r="B37" s="145" t="s">
        <v>5</v>
      </c>
      <c r="C37" s="39"/>
      <c r="D37" s="27"/>
      <c r="E37" s="127"/>
      <c r="F37" s="26"/>
      <c r="G37" s="26"/>
      <c r="H37" s="128" t="s">
        <v>156</v>
      </c>
      <c r="I37" s="10"/>
    </row>
    <row r="38" spans="1:9" ht="15.75" customHeight="1">
      <c r="A38" s="22">
        <v>7</v>
      </c>
      <c r="B38" s="28" t="s">
        <v>26</v>
      </c>
      <c r="C38" s="39" t="s">
        <v>32</v>
      </c>
      <c r="D38" s="27"/>
      <c r="E38" s="127"/>
      <c r="F38" s="26">
        <v>8</v>
      </c>
      <c r="G38" s="26">
        <v>2003</v>
      </c>
      <c r="H38" s="128">
        <f t="shared" ref="H38:H45" si="4">SUM(F38*G38/1000)</f>
        <v>16.024000000000001</v>
      </c>
      <c r="I38" s="10">
        <f t="shared" ref="I38:I45" si="5">F38/6*G38</f>
        <v>2670.6666666666665</v>
      </c>
    </row>
    <row r="39" spans="1:9" ht="15.75" customHeight="1">
      <c r="A39" s="22">
        <v>8</v>
      </c>
      <c r="B39" s="28" t="s">
        <v>70</v>
      </c>
      <c r="C39" s="53" t="s">
        <v>29</v>
      </c>
      <c r="D39" s="28" t="s">
        <v>261</v>
      </c>
      <c r="E39" s="29">
        <v>188</v>
      </c>
      <c r="F39" s="29">
        <f>SUM(E39*26/1000)</f>
        <v>4.8879999999999999</v>
      </c>
      <c r="G39" s="29">
        <v>2757.78</v>
      </c>
      <c r="H39" s="128">
        <f t="shared" si="4"/>
        <v>13.48002864</v>
      </c>
      <c r="I39" s="10">
        <f t="shared" si="5"/>
        <v>2246.6714400000001</v>
      </c>
    </row>
    <row r="40" spans="1:9" ht="15.75" customHeight="1">
      <c r="A40" s="22">
        <v>9</v>
      </c>
      <c r="B40" s="27" t="s">
        <v>71</v>
      </c>
      <c r="C40" s="39" t="s">
        <v>29</v>
      </c>
      <c r="D40" s="27" t="s">
        <v>94</v>
      </c>
      <c r="E40" s="26">
        <v>188</v>
      </c>
      <c r="F40" s="29">
        <f>SUM(E40*155/1000)</f>
        <v>29.14</v>
      </c>
      <c r="G40" s="26">
        <v>460.02</v>
      </c>
      <c r="H40" s="128">
        <f t="shared" si="4"/>
        <v>13.404982799999999</v>
      </c>
      <c r="I40" s="10">
        <f t="shared" si="5"/>
        <v>2234.1637999999998</v>
      </c>
    </row>
    <row r="41" spans="1:9" ht="15.75" hidden="1" customHeight="1">
      <c r="A41" s="22"/>
      <c r="B41" s="27" t="s">
        <v>262</v>
      </c>
      <c r="C41" s="39" t="s">
        <v>263</v>
      </c>
      <c r="D41" s="27"/>
      <c r="E41" s="127"/>
      <c r="F41" s="29">
        <v>50</v>
      </c>
      <c r="G41" s="26">
        <v>213.2</v>
      </c>
      <c r="H41" s="128">
        <f t="shared" si="4"/>
        <v>10.66</v>
      </c>
      <c r="I41" s="10">
        <v>0</v>
      </c>
    </row>
    <row r="42" spans="1:9" ht="47.25" customHeight="1">
      <c r="A42" s="22">
        <v>10</v>
      </c>
      <c r="B42" s="27" t="s">
        <v>89</v>
      </c>
      <c r="C42" s="39" t="s">
        <v>95</v>
      </c>
      <c r="D42" s="27" t="s">
        <v>261</v>
      </c>
      <c r="E42" s="26">
        <v>188</v>
      </c>
      <c r="F42" s="29">
        <f>SUM(E42*26/1000)</f>
        <v>4.8879999999999999</v>
      </c>
      <c r="G42" s="26">
        <v>7611.16</v>
      </c>
      <c r="H42" s="128">
        <f t="shared" si="4"/>
        <v>37.20335008</v>
      </c>
      <c r="I42" s="10">
        <f t="shared" si="5"/>
        <v>6200.5583466666667</v>
      </c>
    </row>
    <row r="43" spans="1:9" ht="15.75" hidden="1" customHeight="1">
      <c r="A43" s="22">
        <v>11</v>
      </c>
      <c r="B43" s="27" t="s">
        <v>96</v>
      </c>
      <c r="C43" s="39" t="s">
        <v>95</v>
      </c>
      <c r="D43" s="27" t="s">
        <v>264</v>
      </c>
      <c r="E43" s="26">
        <v>188</v>
      </c>
      <c r="F43" s="29">
        <f>SUM(E43*24/1000)</f>
        <v>4.5119999999999996</v>
      </c>
      <c r="G43" s="26">
        <v>562.25</v>
      </c>
      <c r="H43" s="128">
        <f t="shared" si="4"/>
        <v>2.5368719999999998</v>
      </c>
      <c r="I43" s="10">
        <f t="shared" si="5"/>
        <v>422.81199999999995</v>
      </c>
    </row>
    <row r="44" spans="1:9" ht="15.75" customHeight="1">
      <c r="A44" s="22">
        <v>11</v>
      </c>
      <c r="B44" s="28" t="s">
        <v>73</v>
      </c>
      <c r="C44" s="53" t="s">
        <v>33</v>
      </c>
      <c r="D44" s="28"/>
      <c r="E44" s="131"/>
      <c r="F44" s="29">
        <v>0.9</v>
      </c>
      <c r="G44" s="29">
        <v>974.83</v>
      </c>
      <c r="H44" s="128">
        <f t="shared" si="4"/>
        <v>0.8773470000000001</v>
      </c>
      <c r="I44" s="10">
        <f t="shared" si="5"/>
        <v>146.22450000000001</v>
      </c>
    </row>
    <row r="45" spans="1:9" ht="15.75" customHeight="1">
      <c r="A45" s="22">
        <v>12</v>
      </c>
      <c r="B45" s="113" t="s">
        <v>265</v>
      </c>
      <c r="C45" s="59" t="s">
        <v>29</v>
      </c>
      <c r="D45" s="28" t="s">
        <v>266</v>
      </c>
      <c r="E45" s="131">
        <v>2.4</v>
      </c>
      <c r="F45" s="29">
        <f>SUM(E45*12/1000)</f>
        <v>2.8799999999999996E-2</v>
      </c>
      <c r="G45" s="29">
        <v>260.2</v>
      </c>
      <c r="H45" s="128">
        <f t="shared" si="4"/>
        <v>7.4937599999999986E-3</v>
      </c>
      <c r="I45" s="10">
        <f t="shared" si="5"/>
        <v>1.2489599999999998</v>
      </c>
    </row>
    <row r="46" spans="1:9" ht="15.75" customHeight="1">
      <c r="A46" s="153" t="s">
        <v>148</v>
      </c>
      <c r="B46" s="154"/>
      <c r="C46" s="154"/>
      <c r="D46" s="154"/>
      <c r="E46" s="154"/>
      <c r="F46" s="154"/>
      <c r="G46" s="154"/>
      <c r="H46" s="154"/>
      <c r="I46" s="155"/>
    </row>
    <row r="47" spans="1:9" ht="15.75" hidden="1" customHeight="1">
      <c r="A47" s="22"/>
      <c r="B47" s="27" t="s">
        <v>157</v>
      </c>
      <c r="C47" s="39" t="s">
        <v>95</v>
      </c>
      <c r="D47" s="27" t="s">
        <v>43</v>
      </c>
      <c r="E47" s="127">
        <v>1609.3</v>
      </c>
      <c r="F47" s="26">
        <f>SUM(E47*2/1000)</f>
        <v>3.2185999999999999</v>
      </c>
      <c r="G47" s="31">
        <v>1193.71</v>
      </c>
      <c r="H47" s="128">
        <f t="shared" ref="H47:H56" si="6">SUM(F47*G47/1000)</f>
        <v>3.842075006</v>
      </c>
      <c r="I47" s="10">
        <f t="shared" ref="I47:I55" si="7">F47/2*G47</f>
        <v>1921.037503</v>
      </c>
    </row>
    <row r="48" spans="1:9" ht="15.75" hidden="1" customHeight="1">
      <c r="A48" s="22"/>
      <c r="B48" s="27" t="s">
        <v>36</v>
      </c>
      <c r="C48" s="39" t="s">
        <v>95</v>
      </c>
      <c r="D48" s="27" t="s">
        <v>43</v>
      </c>
      <c r="E48" s="127">
        <v>104</v>
      </c>
      <c r="F48" s="26">
        <f>SUM(E48*2/1000)</f>
        <v>0.20799999999999999</v>
      </c>
      <c r="G48" s="31">
        <v>4419.05</v>
      </c>
      <c r="H48" s="128">
        <f t="shared" si="6"/>
        <v>0.91916240000000005</v>
      </c>
      <c r="I48" s="10">
        <f t="shared" si="7"/>
        <v>459.58120000000002</v>
      </c>
    </row>
    <row r="49" spans="1:9" ht="15.75" hidden="1" customHeight="1">
      <c r="A49" s="22"/>
      <c r="B49" s="27" t="s">
        <v>37</v>
      </c>
      <c r="C49" s="39" t="s">
        <v>95</v>
      </c>
      <c r="D49" s="27" t="s">
        <v>43</v>
      </c>
      <c r="E49" s="127">
        <v>1996.87</v>
      </c>
      <c r="F49" s="26">
        <f>SUM(E49*2/1000)</f>
        <v>3.9937399999999998</v>
      </c>
      <c r="G49" s="31">
        <v>1803.69</v>
      </c>
      <c r="H49" s="128">
        <f t="shared" si="6"/>
        <v>7.2034689005999999</v>
      </c>
      <c r="I49" s="10">
        <f t="shared" si="7"/>
        <v>3601.7344502999999</v>
      </c>
    </row>
    <row r="50" spans="1:9" ht="15.75" hidden="1" customHeight="1">
      <c r="A50" s="22"/>
      <c r="B50" s="27" t="s">
        <v>38</v>
      </c>
      <c r="C50" s="39" t="s">
        <v>95</v>
      </c>
      <c r="D50" s="27" t="s">
        <v>43</v>
      </c>
      <c r="E50" s="127">
        <v>2654.21</v>
      </c>
      <c r="F50" s="26">
        <f>SUM(E50*2/1000)</f>
        <v>5.3084199999999999</v>
      </c>
      <c r="G50" s="31">
        <v>1243.43</v>
      </c>
      <c r="H50" s="128">
        <f t="shared" si="6"/>
        <v>6.6006486806</v>
      </c>
      <c r="I50" s="10">
        <f t="shared" si="7"/>
        <v>3300.3243403000001</v>
      </c>
    </row>
    <row r="51" spans="1:9" ht="15.75" hidden="1" customHeight="1">
      <c r="A51" s="22"/>
      <c r="B51" s="27" t="s">
        <v>34</v>
      </c>
      <c r="C51" s="39" t="s">
        <v>35</v>
      </c>
      <c r="D51" s="27" t="s">
        <v>43</v>
      </c>
      <c r="E51" s="127">
        <v>128.53</v>
      </c>
      <c r="F51" s="26">
        <f>SUM(E51*2/100)</f>
        <v>2.5706000000000002</v>
      </c>
      <c r="G51" s="31">
        <v>1352.76</v>
      </c>
      <c r="H51" s="128">
        <f t="shared" si="6"/>
        <v>3.4774048560000002</v>
      </c>
      <c r="I51" s="10">
        <f t="shared" si="7"/>
        <v>1738.7024280000001</v>
      </c>
    </row>
    <row r="52" spans="1:9" ht="15.75" customHeight="1">
      <c r="A52" s="22">
        <v>13</v>
      </c>
      <c r="B52" s="27" t="s">
        <v>58</v>
      </c>
      <c r="C52" s="39" t="s">
        <v>95</v>
      </c>
      <c r="D52" s="27" t="s">
        <v>170</v>
      </c>
      <c r="E52" s="127">
        <v>4394.8999999999996</v>
      </c>
      <c r="F52" s="26">
        <f>SUM(E52*5/1000)</f>
        <v>21.974499999999999</v>
      </c>
      <c r="G52" s="31">
        <v>1803.69</v>
      </c>
      <c r="H52" s="128">
        <f t="shared" si="6"/>
        <v>39.635185905</v>
      </c>
      <c r="I52" s="10">
        <f>F52/5*G52</f>
        <v>7927.0371809999997</v>
      </c>
    </row>
    <row r="53" spans="1:9" ht="31.5" hidden="1" customHeight="1">
      <c r="A53" s="22"/>
      <c r="B53" s="27" t="s">
        <v>97</v>
      </c>
      <c r="C53" s="39" t="s">
        <v>95</v>
      </c>
      <c r="D53" s="27" t="s">
        <v>43</v>
      </c>
      <c r="E53" s="127">
        <v>4394.8999999999996</v>
      </c>
      <c r="F53" s="26">
        <f>SUM(E53*2/1000)</f>
        <v>8.7897999999999996</v>
      </c>
      <c r="G53" s="31">
        <v>1591.6</v>
      </c>
      <c r="H53" s="128">
        <f t="shared" si="6"/>
        <v>13.989845679999998</v>
      </c>
      <c r="I53" s="10">
        <f t="shared" si="7"/>
        <v>6994.9228399999993</v>
      </c>
    </row>
    <row r="54" spans="1:9" ht="31.5" hidden="1" customHeight="1">
      <c r="A54" s="22"/>
      <c r="B54" s="27" t="s">
        <v>98</v>
      </c>
      <c r="C54" s="39" t="s">
        <v>39</v>
      </c>
      <c r="D54" s="27" t="s">
        <v>43</v>
      </c>
      <c r="E54" s="127">
        <v>40</v>
      </c>
      <c r="F54" s="26">
        <f>SUM(E54*2/100)</f>
        <v>0.8</v>
      </c>
      <c r="G54" s="31">
        <v>4058.32</v>
      </c>
      <c r="H54" s="128">
        <f t="shared" si="6"/>
        <v>3.2466560000000002</v>
      </c>
      <c r="I54" s="10">
        <f t="shared" si="7"/>
        <v>1623.3280000000002</v>
      </c>
    </row>
    <row r="55" spans="1:9" ht="15.75" hidden="1" customHeight="1">
      <c r="A55" s="22"/>
      <c r="B55" s="27" t="s">
        <v>40</v>
      </c>
      <c r="C55" s="39" t="s">
        <v>41</v>
      </c>
      <c r="D55" s="27" t="s">
        <v>43</v>
      </c>
      <c r="E55" s="127">
        <v>1</v>
      </c>
      <c r="F55" s="26">
        <v>0.02</v>
      </c>
      <c r="G55" s="31">
        <v>7412.92</v>
      </c>
      <c r="H55" s="128">
        <f t="shared" si="6"/>
        <v>0.14825839999999998</v>
      </c>
      <c r="I55" s="10">
        <f t="shared" si="7"/>
        <v>74.129199999999997</v>
      </c>
    </row>
    <row r="56" spans="1:9" ht="15.75" hidden="1" customHeight="1">
      <c r="A56" s="22"/>
      <c r="B56" s="27" t="s">
        <v>42</v>
      </c>
      <c r="C56" s="39" t="s">
        <v>102</v>
      </c>
      <c r="D56" s="27" t="s">
        <v>74</v>
      </c>
      <c r="E56" s="127">
        <v>160</v>
      </c>
      <c r="F56" s="26">
        <f>SUM(E56)*3</f>
        <v>480</v>
      </c>
      <c r="G56" s="32">
        <v>86.15</v>
      </c>
      <c r="H56" s="128">
        <f t="shared" si="6"/>
        <v>41.351999999999997</v>
      </c>
      <c r="I56" s="10">
        <f>F56/3*G56</f>
        <v>13784</v>
      </c>
    </row>
    <row r="57" spans="1:9" ht="15.75" customHeight="1">
      <c r="A57" s="153" t="s">
        <v>149</v>
      </c>
      <c r="B57" s="154"/>
      <c r="C57" s="154"/>
      <c r="D57" s="154"/>
      <c r="E57" s="154"/>
      <c r="F57" s="154"/>
      <c r="G57" s="154"/>
      <c r="H57" s="154"/>
      <c r="I57" s="155"/>
    </row>
    <row r="58" spans="1:9" ht="15.75" customHeight="1">
      <c r="A58" s="22"/>
      <c r="B58" s="145" t="s">
        <v>44</v>
      </c>
      <c r="C58" s="39"/>
      <c r="D58" s="27"/>
      <c r="E58" s="127"/>
      <c r="F58" s="26"/>
      <c r="G58" s="26"/>
      <c r="H58" s="128"/>
      <c r="I58" s="10"/>
    </row>
    <row r="59" spans="1:9" ht="31.5" customHeight="1">
      <c r="A59" s="22">
        <v>14</v>
      </c>
      <c r="B59" s="27" t="s">
        <v>158</v>
      </c>
      <c r="C59" s="39" t="s">
        <v>93</v>
      </c>
      <c r="D59" s="27" t="s">
        <v>126</v>
      </c>
      <c r="E59" s="127">
        <v>160</v>
      </c>
      <c r="F59" s="26">
        <f>SUM(E59*6/100)</f>
        <v>9.6</v>
      </c>
      <c r="G59" s="31">
        <v>2029.3</v>
      </c>
      <c r="H59" s="128">
        <f>SUM(F59*G59/1000)</f>
        <v>19.481279999999998</v>
      </c>
      <c r="I59" s="10">
        <f t="shared" ref="I59" si="8">F59/6*G59</f>
        <v>3246.8799999999997</v>
      </c>
    </row>
    <row r="60" spans="1:9" ht="15.75" hidden="1" customHeight="1">
      <c r="A60" s="22">
        <v>16</v>
      </c>
      <c r="B60" s="27" t="s">
        <v>267</v>
      </c>
      <c r="C60" s="39" t="s">
        <v>268</v>
      </c>
      <c r="D60" s="27" t="s">
        <v>69</v>
      </c>
      <c r="E60" s="127"/>
      <c r="F60" s="26">
        <v>3</v>
      </c>
      <c r="G60" s="31">
        <v>1582.05</v>
      </c>
      <c r="H60" s="128">
        <f>SUM(F60*G60/1000)</f>
        <v>4.7461499999999992</v>
      </c>
      <c r="I60" s="10">
        <f>G60*2.5</f>
        <v>3955.125</v>
      </c>
    </row>
    <row r="61" spans="1:9" ht="15.75" customHeight="1">
      <c r="A61" s="22"/>
      <c r="B61" s="145" t="s">
        <v>45</v>
      </c>
      <c r="C61" s="39"/>
      <c r="D61" s="27"/>
      <c r="E61" s="127"/>
      <c r="F61" s="26"/>
      <c r="G61" s="147"/>
      <c r="H61" s="128"/>
      <c r="I61" s="10"/>
    </row>
    <row r="62" spans="1:9" ht="15.75" hidden="1" customHeight="1">
      <c r="A62" s="22"/>
      <c r="B62" s="27" t="s">
        <v>46</v>
      </c>
      <c r="C62" s="39" t="s">
        <v>93</v>
      </c>
      <c r="D62" s="27" t="s">
        <v>55</v>
      </c>
      <c r="E62" s="127">
        <v>206</v>
      </c>
      <c r="F62" s="26">
        <f>SUM(E62/100)</f>
        <v>2.06</v>
      </c>
      <c r="G62" s="26">
        <v>1040.8399999999999</v>
      </c>
      <c r="H62" s="128">
        <f>F62*G62/1000</f>
        <v>2.1441303999999999</v>
      </c>
      <c r="I62" s="10">
        <v>0</v>
      </c>
    </row>
    <row r="63" spans="1:9" ht="15.75" customHeight="1">
      <c r="A63" s="22">
        <v>15</v>
      </c>
      <c r="B63" s="27" t="s">
        <v>138</v>
      </c>
      <c r="C63" s="39" t="s">
        <v>25</v>
      </c>
      <c r="D63" s="27" t="s">
        <v>139</v>
      </c>
      <c r="E63" s="127">
        <v>325</v>
      </c>
      <c r="F63" s="26">
        <f>E63*12</f>
        <v>3900</v>
      </c>
      <c r="G63" s="26">
        <v>2.8</v>
      </c>
      <c r="H63" s="128">
        <f>F63*G63/1000</f>
        <v>10.92</v>
      </c>
      <c r="I63" s="10">
        <f>F63/12*G63</f>
        <v>909.99999999999989</v>
      </c>
    </row>
    <row r="64" spans="1:9" ht="15.75" hidden="1" customHeight="1">
      <c r="A64" s="22"/>
      <c r="B64" s="146" t="s">
        <v>47</v>
      </c>
      <c r="C64" s="133"/>
      <c r="D64" s="134"/>
      <c r="E64" s="135"/>
      <c r="F64" s="136"/>
      <c r="G64" s="136"/>
      <c r="H64" s="137" t="s">
        <v>156</v>
      </c>
      <c r="I64" s="10"/>
    </row>
    <row r="65" spans="1:9" ht="15.75" hidden="1" customHeight="1">
      <c r="A65" s="22">
        <v>18</v>
      </c>
      <c r="B65" s="54" t="s">
        <v>48</v>
      </c>
      <c r="C65" s="35" t="s">
        <v>102</v>
      </c>
      <c r="D65" s="27" t="s">
        <v>69</v>
      </c>
      <c r="E65" s="15">
        <v>10</v>
      </c>
      <c r="F65" s="26">
        <f>SUM(E65)</f>
        <v>10</v>
      </c>
      <c r="G65" s="31">
        <v>291.68</v>
      </c>
      <c r="H65" s="111">
        <f t="shared" ref="H65:H84" si="9">SUM(F65*G65/1000)</f>
        <v>2.9168000000000003</v>
      </c>
      <c r="I65" s="10">
        <f>G65*3</f>
        <v>875.04</v>
      </c>
    </row>
    <row r="66" spans="1:9" ht="15.75" hidden="1" customHeight="1">
      <c r="A66" s="22"/>
      <c r="B66" s="54" t="s">
        <v>49</v>
      </c>
      <c r="C66" s="35" t="s">
        <v>102</v>
      </c>
      <c r="D66" s="27" t="s">
        <v>69</v>
      </c>
      <c r="E66" s="15">
        <v>5</v>
      </c>
      <c r="F66" s="26">
        <f>SUM(E66)</f>
        <v>5</v>
      </c>
      <c r="G66" s="31">
        <v>100.01</v>
      </c>
      <c r="H66" s="111">
        <f t="shared" si="9"/>
        <v>0.50004999999999999</v>
      </c>
      <c r="I66" s="10">
        <v>0</v>
      </c>
    </row>
    <row r="67" spans="1:9" ht="15.75" hidden="1" customHeight="1">
      <c r="A67" s="22"/>
      <c r="B67" s="54" t="s">
        <v>50</v>
      </c>
      <c r="C67" s="37" t="s">
        <v>103</v>
      </c>
      <c r="D67" s="34" t="s">
        <v>55</v>
      </c>
      <c r="E67" s="127">
        <v>24063</v>
      </c>
      <c r="F67" s="32">
        <f>SUM(E67/100)</f>
        <v>240.63</v>
      </c>
      <c r="G67" s="31">
        <v>278.24</v>
      </c>
      <c r="H67" s="111">
        <f t="shared" si="9"/>
        <v>66.952891199999996</v>
      </c>
      <c r="I67" s="10">
        <f>F67*G67</f>
        <v>66952.891199999998</v>
      </c>
    </row>
    <row r="68" spans="1:9" ht="15.75" hidden="1" customHeight="1">
      <c r="A68" s="22"/>
      <c r="B68" s="54" t="s">
        <v>51</v>
      </c>
      <c r="C68" s="35" t="s">
        <v>104</v>
      </c>
      <c r="D68" s="34" t="s">
        <v>55</v>
      </c>
      <c r="E68" s="127">
        <v>24063</v>
      </c>
      <c r="F68" s="31">
        <f>SUM(E68/1000)</f>
        <v>24.062999999999999</v>
      </c>
      <c r="G68" s="31">
        <v>216.68</v>
      </c>
      <c r="H68" s="111">
        <f t="shared" si="9"/>
        <v>5.21397084</v>
      </c>
      <c r="I68" s="10">
        <f t="shared" ref="I68:I72" si="10">F68*G68</f>
        <v>5213.97084</v>
      </c>
    </row>
    <row r="69" spans="1:9" ht="15.75" hidden="1" customHeight="1">
      <c r="A69" s="22"/>
      <c r="B69" s="54" t="s">
        <v>52</v>
      </c>
      <c r="C69" s="35" t="s">
        <v>81</v>
      </c>
      <c r="D69" s="34" t="s">
        <v>55</v>
      </c>
      <c r="E69" s="127">
        <v>1300</v>
      </c>
      <c r="F69" s="31">
        <f>SUM(E69/100)</f>
        <v>13</v>
      </c>
      <c r="G69" s="31">
        <v>2720.94</v>
      </c>
      <c r="H69" s="111">
        <f t="shared" si="9"/>
        <v>35.372219999999999</v>
      </c>
      <c r="I69" s="10">
        <f t="shared" si="10"/>
        <v>35372.22</v>
      </c>
    </row>
    <row r="70" spans="1:9" ht="15.75" hidden="1" customHeight="1">
      <c r="A70" s="22"/>
      <c r="B70" s="50" t="s">
        <v>75</v>
      </c>
      <c r="C70" s="35" t="s">
        <v>33</v>
      </c>
      <c r="D70" s="34"/>
      <c r="E70" s="127">
        <v>10.4</v>
      </c>
      <c r="F70" s="31">
        <f>SUM(E70)</f>
        <v>10.4</v>
      </c>
      <c r="G70" s="31">
        <v>42.61</v>
      </c>
      <c r="H70" s="111">
        <f t="shared" si="9"/>
        <v>0.44314399999999998</v>
      </c>
      <c r="I70" s="10">
        <f t="shared" si="10"/>
        <v>443.14400000000001</v>
      </c>
    </row>
    <row r="71" spans="1:9" ht="31.5" hidden="1" customHeight="1">
      <c r="A71" s="22"/>
      <c r="B71" s="50" t="s">
        <v>76</v>
      </c>
      <c r="C71" s="35" t="s">
        <v>33</v>
      </c>
      <c r="D71" s="34"/>
      <c r="E71" s="127">
        <v>10.4</v>
      </c>
      <c r="F71" s="31">
        <f>SUM(E71)</f>
        <v>10.4</v>
      </c>
      <c r="G71" s="31">
        <v>46.04</v>
      </c>
      <c r="H71" s="111">
        <f t="shared" si="9"/>
        <v>0.47881600000000002</v>
      </c>
      <c r="I71" s="10">
        <f t="shared" si="10"/>
        <v>478.81600000000003</v>
      </c>
    </row>
    <row r="72" spans="1:9" ht="15.75" hidden="1" customHeight="1">
      <c r="A72" s="22"/>
      <c r="B72" s="34" t="s">
        <v>59</v>
      </c>
      <c r="C72" s="35" t="s">
        <v>60</v>
      </c>
      <c r="D72" s="34" t="s">
        <v>55</v>
      </c>
      <c r="E72" s="15">
        <v>5</v>
      </c>
      <c r="F72" s="26">
        <f>SUM(E72)</f>
        <v>5</v>
      </c>
      <c r="G72" s="31">
        <v>65.42</v>
      </c>
      <c r="H72" s="111">
        <f t="shared" si="9"/>
        <v>0.3271</v>
      </c>
      <c r="I72" s="10">
        <f t="shared" si="10"/>
        <v>327.10000000000002</v>
      </c>
    </row>
    <row r="73" spans="1:9" ht="15.75" customHeight="1">
      <c r="A73" s="22"/>
      <c r="B73" s="47" t="s">
        <v>77</v>
      </c>
      <c r="C73" s="35"/>
      <c r="D73" s="34"/>
      <c r="E73" s="15"/>
      <c r="F73" s="31"/>
      <c r="G73" s="31"/>
      <c r="H73" s="111" t="s">
        <v>156</v>
      </c>
      <c r="I73" s="10"/>
    </row>
    <row r="74" spans="1:9" ht="15.75" hidden="1" customHeight="1">
      <c r="A74" s="22"/>
      <c r="B74" s="34" t="s">
        <v>269</v>
      </c>
      <c r="C74" s="35" t="s">
        <v>102</v>
      </c>
      <c r="D74" s="27" t="s">
        <v>69</v>
      </c>
      <c r="E74" s="15">
        <v>1</v>
      </c>
      <c r="F74" s="31">
        <v>1</v>
      </c>
      <c r="G74" s="31">
        <v>1029.1199999999999</v>
      </c>
      <c r="H74" s="111">
        <f t="shared" ref="H74:H77" si="11">SUM(F74*G74/1000)</f>
        <v>1.0291199999999998</v>
      </c>
      <c r="I74" s="10">
        <v>0</v>
      </c>
    </row>
    <row r="75" spans="1:9" ht="15.75" hidden="1" customHeight="1">
      <c r="A75" s="22"/>
      <c r="B75" s="34" t="s">
        <v>270</v>
      </c>
      <c r="C75" s="35" t="s">
        <v>271</v>
      </c>
      <c r="D75" s="34"/>
      <c r="E75" s="15">
        <v>1</v>
      </c>
      <c r="F75" s="31">
        <f>E75</f>
        <v>1</v>
      </c>
      <c r="G75" s="31">
        <v>735</v>
      </c>
      <c r="H75" s="111">
        <f t="shared" si="11"/>
        <v>0.73499999999999999</v>
      </c>
      <c r="I75" s="10">
        <v>0</v>
      </c>
    </row>
    <row r="76" spans="1:9" ht="15.75" hidden="1" customHeight="1">
      <c r="A76" s="22">
        <v>19</v>
      </c>
      <c r="B76" s="34" t="s">
        <v>78</v>
      </c>
      <c r="C76" s="35" t="s">
        <v>79</v>
      </c>
      <c r="D76" s="27" t="s">
        <v>69</v>
      </c>
      <c r="E76" s="15">
        <v>7</v>
      </c>
      <c r="F76" s="31">
        <f>E76/10</f>
        <v>0.7</v>
      </c>
      <c r="G76" s="31">
        <v>657.87</v>
      </c>
      <c r="H76" s="111">
        <f t="shared" si="11"/>
        <v>0.46050899999999995</v>
      </c>
      <c r="I76" s="10">
        <f>G76*0.9</f>
        <v>592.08299999999997</v>
      </c>
    </row>
    <row r="77" spans="1:9" ht="15.75" hidden="1" customHeight="1">
      <c r="A77" s="22"/>
      <c r="B77" s="34" t="s">
        <v>127</v>
      </c>
      <c r="C77" s="35" t="s">
        <v>102</v>
      </c>
      <c r="D77" s="27" t="s">
        <v>69</v>
      </c>
      <c r="E77" s="15">
        <v>1</v>
      </c>
      <c r="F77" s="26">
        <f>SUM(E77)</f>
        <v>1</v>
      </c>
      <c r="G77" s="31">
        <v>1118.72</v>
      </c>
      <c r="H77" s="111">
        <f t="shared" si="11"/>
        <v>1.1187199999999999</v>
      </c>
      <c r="I77" s="10">
        <v>0</v>
      </c>
    </row>
    <row r="78" spans="1:9" ht="15.75" hidden="1" customHeight="1">
      <c r="A78" s="22"/>
      <c r="B78" s="113" t="s">
        <v>272</v>
      </c>
      <c r="C78" s="59" t="s">
        <v>102</v>
      </c>
      <c r="D78" s="27" t="s">
        <v>69</v>
      </c>
      <c r="E78" s="15">
        <v>1</v>
      </c>
      <c r="F78" s="58">
        <v>1</v>
      </c>
      <c r="G78" s="31">
        <v>1605.83</v>
      </c>
      <c r="H78" s="111">
        <f>SUM(F78*G78/1000)</f>
        <v>1.6058299999999999</v>
      </c>
      <c r="I78" s="10">
        <v>0</v>
      </c>
    </row>
    <row r="79" spans="1:9" ht="15.75" customHeight="1">
      <c r="A79" s="22">
        <v>16</v>
      </c>
      <c r="B79" s="113" t="s">
        <v>273</v>
      </c>
      <c r="C79" s="59" t="s">
        <v>102</v>
      </c>
      <c r="D79" s="34" t="s">
        <v>30</v>
      </c>
      <c r="E79" s="138">
        <v>2</v>
      </c>
      <c r="F79" s="136">
        <f>E79*12</f>
        <v>24</v>
      </c>
      <c r="G79" s="139">
        <v>53.42</v>
      </c>
      <c r="H79" s="111">
        <f t="shared" ref="H79:H80" si="12">SUM(F79*G79/1000)</f>
        <v>1.2820799999999999</v>
      </c>
      <c r="I79" s="10">
        <f>F79/12*G79</f>
        <v>106.84</v>
      </c>
    </row>
    <row r="80" spans="1:9" ht="15.75" customHeight="1">
      <c r="A80" s="22">
        <v>17</v>
      </c>
      <c r="B80" s="101" t="s">
        <v>133</v>
      </c>
      <c r="C80" s="35"/>
      <c r="D80" s="34" t="s">
        <v>30</v>
      </c>
      <c r="E80" s="15">
        <v>1</v>
      </c>
      <c r="F80" s="31">
        <v>12</v>
      </c>
      <c r="G80" s="31">
        <v>1194</v>
      </c>
      <c r="H80" s="111">
        <f t="shared" si="12"/>
        <v>14.327999999999999</v>
      </c>
      <c r="I80" s="10">
        <f>F80/12*G80</f>
        <v>1194</v>
      </c>
    </row>
    <row r="81" spans="1:9" ht="15.75" customHeight="1">
      <c r="A81" s="22"/>
      <c r="B81" s="148" t="s">
        <v>274</v>
      </c>
      <c r="C81" s="59"/>
      <c r="D81" s="34"/>
      <c r="E81" s="15"/>
      <c r="F81" s="31"/>
      <c r="G81" s="31"/>
      <c r="H81" s="111"/>
      <c r="I81" s="10"/>
    </row>
    <row r="82" spans="1:9" ht="15.75" customHeight="1">
      <c r="A82" s="22">
        <v>18</v>
      </c>
      <c r="B82" s="34" t="s">
        <v>275</v>
      </c>
      <c r="C82" s="40" t="s">
        <v>276</v>
      </c>
      <c r="D82" s="27" t="s">
        <v>69</v>
      </c>
      <c r="E82" s="15">
        <v>4394.8999999999996</v>
      </c>
      <c r="F82" s="31">
        <f>SUM(E82*12)</f>
        <v>52738.799999999996</v>
      </c>
      <c r="G82" s="31">
        <v>2.2799999999999998</v>
      </c>
      <c r="H82" s="111">
        <f t="shared" ref="H82" si="13">SUM(F82*G82/1000)</f>
        <v>120.24446399999998</v>
      </c>
      <c r="I82" s="10">
        <f>F82/12*G82</f>
        <v>10020.371999999998</v>
      </c>
    </row>
    <row r="83" spans="1:9" ht="15.75" hidden="1" customHeight="1">
      <c r="A83" s="22"/>
      <c r="B83" s="48" t="s">
        <v>80</v>
      </c>
      <c r="C83" s="35"/>
      <c r="D83" s="34"/>
      <c r="E83" s="15"/>
      <c r="F83" s="31"/>
      <c r="G83" s="31" t="s">
        <v>156</v>
      </c>
      <c r="H83" s="111" t="s">
        <v>156</v>
      </c>
      <c r="I83" s="10"/>
    </row>
    <row r="84" spans="1:9" ht="15.75" hidden="1" customHeight="1">
      <c r="A84" s="22"/>
      <c r="B84" s="36" t="s">
        <v>107</v>
      </c>
      <c r="C84" s="37" t="s">
        <v>81</v>
      </c>
      <c r="D84" s="54"/>
      <c r="E84" s="140"/>
      <c r="F84" s="32">
        <v>0.6</v>
      </c>
      <c r="G84" s="32">
        <v>3619.09</v>
      </c>
      <c r="H84" s="111">
        <f t="shared" si="9"/>
        <v>2.1714540000000002</v>
      </c>
      <c r="I84" s="10">
        <v>0</v>
      </c>
    </row>
    <row r="85" spans="1:9" ht="15.75" hidden="1" customHeight="1">
      <c r="A85" s="22"/>
      <c r="B85" s="121" t="s">
        <v>99</v>
      </c>
      <c r="C85" s="104"/>
      <c r="D85" s="24"/>
      <c r="E85" s="25"/>
      <c r="F85" s="90"/>
      <c r="G85" s="90"/>
      <c r="H85" s="141">
        <f>SUM(H59:H84)</f>
        <v>292.47172943999999</v>
      </c>
      <c r="I85" s="10"/>
    </row>
    <row r="86" spans="1:9" ht="15.75" hidden="1" customHeight="1">
      <c r="A86" s="22"/>
      <c r="B86" s="27" t="s">
        <v>105</v>
      </c>
      <c r="C86" s="142"/>
      <c r="D86" s="143"/>
      <c r="E86" s="144"/>
      <c r="F86" s="33">
        <v>1</v>
      </c>
      <c r="G86" s="33">
        <v>18792</v>
      </c>
      <c r="H86" s="111">
        <f>G86*F86/1000</f>
        <v>18.792000000000002</v>
      </c>
      <c r="I86" s="10">
        <v>0</v>
      </c>
    </row>
    <row r="87" spans="1:9" ht="15.75" customHeight="1">
      <c r="A87" s="153" t="s">
        <v>151</v>
      </c>
      <c r="B87" s="154"/>
      <c r="C87" s="154"/>
      <c r="D87" s="154"/>
      <c r="E87" s="154"/>
      <c r="F87" s="154"/>
      <c r="G87" s="154"/>
      <c r="H87" s="154"/>
      <c r="I87" s="155"/>
    </row>
    <row r="88" spans="1:9" ht="15.75" customHeight="1">
      <c r="A88" s="22">
        <v>19</v>
      </c>
      <c r="B88" s="27" t="s">
        <v>106</v>
      </c>
      <c r="C88" s="35" t="s">
        <v>56</v>
      </c>
      <c r="D88" s="55" t="s">
        <v>57</v>
      </c>
      <c r="E88" s="31">
        <v>4394.8999999999996</v>
      </c>
      <c r="F88" s="31">
        <f>SUM(E88*12)</f>
        <v>52738.799999999996</v>
      </c>
      <c r="G88" s="31">
        <v>3.1</v>
      </c>
      <c r="H88" s="111">
        <f>SUM(F88*G88/1000)</f>
        <v>163.49028000000001</v>
      </c>
      <c r="I88" s="10">
        <f>F88/12*G88</f>
        <v>13624.189999999999</v>
      </c>
    </row>
    <row r="89" spans="1:9" ht="30.75" customHeight="1">
      <c r="A89" s="22">
        <v>20</v>
      </c>
      <c r="B89" s="34" t="s">
        <v>82</v>
      </c>
      <c r="C89" s="35"/>
      <c r="D89" s="55" t="s">
        <v>57</v>
      </c>
      <c r="E89" s="127">
        <f>E88</f>
        <v>4394.8999999999996</v>
      </c>
      <c r="F89" s="31">
        <f>E89*12</f>
        <v>52738.799999999996</v>
      </c>
      <c r="G89" s="31">
        <v>3.5</v>
      </c>
      <c r="H89" s="111">
        <f>F89*G89/1000</f>
        <v>184.58579999999998</v>
      </c>
      <c r="I89" s="10">
        <f>F89/12*G89</f>
        <v>15382.149999999998</v>
      </c>
    </row>
    <row r="90" spans="1:9" ht="15.75" customHeight="1">
      <c r="A90" s="22"/>
      <c r="B90" s="38" t="s">
        <v>85</v>
      </c>
      <c r="C90" s="104"/>
      <c r="D90" s="103"/>
      <c r="E90" s="90"/>
      <c r="F90" s="90"/>
      <c r="G90" s="90"/>
      <c r="H90" s="105">
        <f>SUM(H77)</f>
        <v>1.1187199999999999</v>
      </c>
      <c r="I90" s="90">
        <f>I16+I17+I18+I25+I26+I27+I38+I39+I40+I42+I44+I45+I52+I59+I63+I79+I80+I82+I88+I89</f>
        <v>102344.63769099998</v>
      </c>
    </row>
    <row r="91" spans="1:9" ht="15.75" customHeight="1">
      <c r="A91" s="167" t="s">
        <v>62</v>
      </c>
      <c r="B91" s="168"/>
      <c r="C91" s="168"/>
      <c r="D91" s="168"/>
      <c r="E91" s="168"/>
      <c r="F91" s="168"/>
      <c r="G91" s="168"/>
      <c r="H91" s="168"/>
      <c r="I91" s="169"/>
    </row>
    <row r="92" spans="1:9" ht="15.75" customHeight="1">
      <c r="A92" s="22">
        <v>21</v>
      </c>
      <c r="B92" s="68" t="s">
        <v>188</v>
      </c>
      <c r="C92" s="69" t="s">
        <v>144</v>
      </c>
      <c r="D92" s="112"/>
      <c r="E92" s="31"/>
      <c r="F92" s="31">
        <f>7/3</f>
        <v>2.3333333333333335</v>
      </c>
      <c r="G92" s="31">
        <v>1120.8900000000001</v>
      </c>
      <c r="H92" s="111">
        <f t="shared" ref="H92" si="14">G92*F92/1000</f>
        <v>2.6154100000000002</v>
      </c>
      <c r="I92" s="10">
        <f>G92*(10/3)</f>
        <v>3736.3000000000006</v>
      </c>
    </row>
    <row r="93" spans="1:9" ht="31.5" customHeight="1">
      <c r="A93" s="22">
        <v>22</v>
      </c>
      <c r="B93" s="56" t="s">
        <v>88</v>
      </c>
      <c r="C93" s="57" t="s">
        <v>39</v>
      </c>
      <c r="D93" s="112"/>
      <c r="E93" s="31"/>
      <c r="F93" s="31">
        <v>0.03</v>
      </c>
      <c r="G93" s="31">
        <v>3581.13</v>
      </c>
      <c r="H93" s="111">
        <f t="shared" ref="H93:H96" si="15">G93*F93/1000</f>
        <v>0.1074339</v>
      </c>
      <c r="I93" s="10">
        <f>G93*0.01</f>
        <v>35.811300000000003</v>
      </c>
    </row>
    <row r="94" spans="1:9" ht="15.75" customHeight="1">
      <c r="A94" s="22">
        <v>23</v>
      </c>
      <c r="B94" s="56" t="s">
        <v>137</v>
      </c>
      <c r="C94" s="57" t="s">
        <v>102</v>
      </c>
      <c r="D94" s="49"/>
      <c r="E94" s="10"/>
      <c r="F94" s="10">
        <v>158</v>
      </c>
      <c r="G94" s="10">
        <v>53.42</v>
      </c>
      <c r="H94" s="111">
        <f t="shared" si="15"/>
        <v>8.4403600000000001</v>
      </c>
      <c r="I94" s="10">
        <f>G94*78</f>
        <v>4166.76</v>
      </c>
    </row>
    <row r="95" spans="1:9" ht="15.75" customHeight="1">
      <c r="A95" s="22">
        <v>24</v>
      </c>
      <c r="B95" s="68" t="s">
        <v>188</v>
      </c>
      <c r="C95" s="69" t="s">
        <v>144</v>
      </c>
      <c r="D95" s="112"/>
      <c r="E95" s="31"/>
      <c r="F95" s="31">
        <f>7/3</f>
        <v>2.3333333333333335</v>
      </c>
      <c r="G95" s="31">
        <v>1120.8900000000001</v>
      </c>
      <c r="H95" s="111">
        <f t="shared" si="15"/>
        <v>2.6154100000000002</v>
      </c>
      <c r="I95" s="10">
        <f>G95*(7/3)</f>
        <v>2615.4100000000003</v>
      </c>
    </row>
    <row r="96" spans="1:9" ht="31.5" customHeight="1">
      <c r="A96" s="22">
        <v>25</v>
      </c>
      <c r="B96" s="81" t="s">
        <v>160</v>
      </c>
      <c r="C96" s="13" t="s">
        <v>31</v>
      </c>
      <c r="D96" s="49"/>
      <c r="E96" s="10"/>
      <c r="F96" s="10">
        <v>1</v>
      </c>
      <c r="G96" s="10">
        <v>403.69</v>
      </c>
      <c r="H96" s="111">
        <f t="shared" si="15"/>
        <v>0.40368999999999999</v>
      </c>
      <c r="I96" s="10">
        <f>G96</f>
        <v>403.69</v>
      </c>
    </row>
    <row r="97" spans="1:9" ht="31.5" customHeight="1">
      <c r="A97" s="22">
        <v>26</v>
      </c>
      <c r="B97" s="56" t="s">
        <v>84</v>
      </c>
      <c r="C97" s="13" t="s">
        <v>31</v>
      </c>
      <c r="D97" s="49"/>
      <c r="E97" s="10"/>
      <c r="F97" s="10">
        <v>1</v>
      </c>
      <c r="G97" s="10">
        <v>83.36</v>
      </c>
      <c r="H97" s="111">
        <f>G97*F97/1000</f>
        <v>8.3360000000000004E-2</v>
      </c>
      <c r="I97" s="10">
        <f>G97</f>
        <v>83.36</v>
      </c>
    </row>
    <row r="98" spans="1:9" ht="15.75" customHeight="1">
      <c r="A98" s="22">
        <v>27</v>
      </c>
      <c r="B98" s="56" t="s">
        <v>290</v>
      </c>
      <c r="C98" s="57" t="s">
        <v>291</v>
      </c>
      <c r="D98" s="112"/>
      <c r="E98" s="31"/>
      <c r="F98" s="31">
        <f>(0.42*2)</f>
        <v>0.84</v>
      </c>
      <c r="G98" s="31">
        <v>3300.56</v>
      </c>
      <c r="H98" s="111">
        <f>G98*F98/1000</f>
        <v>2.7724703999999996</v>
      </c>
      <c r="I98" s="10">
        <f>G98*F98</f>
        <v>2772.4703999999997</v>
      </c>
    </row>
    <row r="99" spans="1:9" ht="31.5" customHeight="1">
      <c r="A99" s="22">
        <v>28</v>
      </c>
      <c r="B99" s="113" t="s">
        <v>292</v>
      </c>
      <c r="C99" s="59" t="s">
        <v>140</v>
      </c>
      <c r="D99" s="34"/>
      <c r="E99" s="15"/>
      <c r="F99" s="31">
        <f>0.8/10</f>
        <v>0.08</v>
      </c>
      <c r="G99" s="31">
        <v>10276.98</v>
      </c>
      <c r="H99" s="111">
        <f>G99*F99/1000</f>
        <v>0.82215840000000007</v>
      </c>
      <c r="I99" s="10">
        <f>G99*F99</f>
        <v>822.15840000000003</v>
      </c>
    </row>
    <row r="100" spans="1:9" ht="15" customHeight="1">
      <c r="A100" s="22">
        <v>29</v>
      </c>
      <c r="B100" s="56" t="s">
        <v>295</v>
      </c>
      <c r="C100" s="57" t="s">
        <v>33</v>
      </c>
      <c r="D100" s="34"/>
      <c r="E100" s="15"/>
      <c r="F100" s="31">
        <f>(37.53+8.88+12.34+129.04+70.96)-(12.11*6)</f>
        <v>186.09</v>
      </c>
      <c r="G100" s="31">
        <v>42.61</v>
      </c>
      <c r="H100" s="31">
        <f t="shared" ref="H100:H101" si="16">G100*F100/1000</f>
        <v>7.9292948999999995</v>
      </c>
      <c r="I100" s="10">
        <f t="shared" ref="I100:I101" si="17">G100*F100</f>
        <v>7929.2948999999999</v>
      </c>
    </row>
    <row r="101" spans="1:9" ht="15" customHeight="1">
      <c r="A101" s="22">
        <v>30</v>
      </c>
      <c r="B101" s="56" t="s">
        <v>296</v>
      </c>
      <c r="C101" s="57" t="s">
        <v>33</v>
      </c>
      <c r="D101" s="34"/>
      <c r="E101" s="15"/>
      <c r="F101" s="31">
        <f>(33.11+32.99+65.35+0.63)-(12.11*6)</f>
        <v>59.419999999999987</v>
      </c>
      <c r="G101" s="31">
        <v>44.31</v>
      </c>
      <c r="H101" s="31">
        <f t="shared" si="16"/>
        <v>2.6329001999999995</v>
      </c>
      <c r="I101" s="10">
        <f t="shared" si="17"/>
        <v>2632.9001999999996</v>
      </c>
    </row>
    <row r="102" spans="1:9">
      <c r="A102" s="22"/>
      <c r="B102" s="45" t="s">
        <v>53</v>
      </c>
      <c r="C102" s="41"/>
      <c r="D102" s="51"/>
      <c r="E102" s="41">
        <v>1</v>
      </c>
      <c r="F102" s="41"/>
      <c r="G102" s="41"/>
      <c r="H102" s="41"/>
      <c r="I102" s="25">
        <f>SUM(I92:I101)</f>
        <v>25198.155200000001</v>
      </c>
    </row>
    <row r="103" spans="1:9" ht="15.75" customHeight="1">
      <c r="A103" s="22"/>
      <c r="B103" s="49" t="s">
        <v>83</v>
      </c>
      <c r="C103" s="12"/>
      <c r="D103" s="12"/>
      <c r="E103" s="42"/>
      <c r="F103" s="42"/>
      <c r="G103" s="43"/>
      <c r="H103" s="43"/>
      <c r="I103" s="15">
        <v>0</v>
      </c>
    </row>
    <row r="104" spans="1:9" ht="15.75" customHeight="1">
      <c r="A104" s="52"/>
      <c r="B104" s="46" t="s">
        <v>288</v>
      </c>
      <c r="C104" s="30"/>
      <c r="D104" s="30"/>
      <c r="E104" s="30"/>
      <c r="F104" s="30"/>
      <c r="G104" s="30"/>
      <c r="H104" s="30"/>
      <c r="I104" s="44">
        <f>I90+I102</f>
        <v>127542.79289099999</v>
      </c>
    </row>
    <row r="105" spans="1:9" ht="15.75">
      <c r="A105" s="166" t="s">
        <v>297</v>
      </c>
      <c r="B105" s="166"/>
      <c r="C105" s="166"/>
      <c r="D105" s="166"/>
      <c r="E105" s="166"/>
      <c r="F105" s="166"/>
      <c r="G105" s="166"/>
      <c r="H105" s="166"/>
      <c r="I105" s="166"/>
    </row>
    <row r="106" spans="1:9" ht="15.75" customHeight="1">
      <c r="A106" s="67"/>
      <c r="B106" s="161" t="s">
        <v>298</v>
      </c>
      <c r="C106" s="161"/>
      <c r="D106" s="161"/>
      <c r="E106" s="161"/>
      <c r="F106" s="161"/>
      <c r="G106" s="161"/>
      <c r="H106" s="80"/>
      <c r="I106" s="2"/>
    </row>
    <row r="107" spans="1:9" ht="15.75" customHeight="1">
      <c r="A107" s="126"/>
      <c r="B107" s="157" t="s">
        <v>6</v>
      </c>
      <c r="C107" s="157"/>
      <c r="D107" s="157"/>
      <c r="E107" s="157"/>
      <c r="F107" s="157"/>
      <c r="G107" s="157"/>
      <c r="H107" s="17"/>
      <c r="I107" s="4"/>
    </row>
    <row r="108" spans="1:9" ht="15.75" customHeight="1">
      <c r="A108" s="7"/>
      <c r="B108" s="7"/>
      <c r="C108" s="7"/>
      <c r="D108" s="7"/>
      <c r="E108" s="7"/>
      <c r="F108" s="7"/>
      <c r="G108" s="7"/>
      <c r="H108" s="7"/>
      <c r="I108" s="7"/>
    </row>
    <row r="109" spans="1:9" ht="15.75" customHeight="1">
      <c r="A109" s="162" t="s">
        <v>7</v>
      </c>
      <c r="B109" s="162"/>
      <c r="C109" s="162"/>
      <c r="D109" s="162"/>
      <c r="E109" s="162"/>
      <c r="F109" s="162"/>
      <c r="G109" s="162"/>
      <c r="H109" s="162"/>
      <c r="I109" s="162"/>
    </row>
    <row r="110" spans="1:9" ht="15.75" customHeight="1">
      <c r="A110" s="162" t="s">
        <v>8</v>
      </c>
      <c r="B110" s="162"/>
      <c r="C110" s="162"/>
      <c r="D110" s="162"/>
      <c r="E110" s="162"/>
      <c r="F110" s="162"/>
      <c r="G110" s="162"/>
      <c r="H110" s="162"/>
      <c r="I110" s="162"/>
    </row>
    <row r="111" spans="1:9" ht="15.75">
      <c r="A111" s="163" t="s">
        <v>63</v>
      </c>
      <c r="B111" s="163"/>
      <c r="C111" s="163"/>
      <c r="D111" s="163"/>
      <c r="E111" s="163"/>
      <c r="F111" s="163"/>
      <c r="G111" s="163"/>
      <c r="H111" s="163"/>
      <c r="I111" s="163"/>
    </row>
    <row r="112" spans="1:9" ht="15.75" customHeight="1">
      <c r="A112" s="8"/>
    </row>
    <row r="113" spans="1:9" ht="15.75">
      <c r="A113" s="164" t="s">
        <v>9</v>
      </c>
      <c r="B113" s="164"/>
      <c r="C113" s="164"/>
      <c r="D113" s="164"/>
      <c r="E113" s="164"/>
      <c r="F113" s="164"/>
      <c r="G113" s="164"/>
      <c r="H113" s="164"/>
      <c r="I113" s="164"/>
    </row>
    <row r="114" spans="1:9" ht="15.75" customHeight="1">
      <c r="A114" s="3"/>
    </row>
    <row r="115" spans="1:9" ht="15.75">
      <c r="B115" s="123" t="s">
        <v>10</v>
      </c>
      <c r="C115" s="156" t="s">
        <v>150</v>
      </c>
      <c r="D115" s="156"/>
      <c r="E115" s="156"/>
      <c r="F115" s="78"/>
      <c r="I115" s="125"/>
    </row>
    <row r="116" spans="1:9">
      <c r="A116" s="126"/>
      <c r="C116" s="157" t="s">
        <v>11</v>
      </c>
      <c r="D116" s="157"/>
      <c r="E116" s="157"/>
      <c r="F116" s="17"/>
      <c r="I116" s="124" t="s">
        <v>12</v>
      </c>
    </row>
    <row r="117" spans="1:9" ht="15.75">
      <c r="A117" s="18"/>
      <c r="C117" s="9"/>
      <c r="D117" s="9"/>
      <c r="G117" s="9"/>
      <c r="H117" s="9"/>
    </row>
    <row r="118" spans="1:9" ht="15.75" customHeight="1">
      <c r="B118" s="123" t="s">
        <v>13</v>
      </c>
      <c r="C118" s="158"/>
      <c r="D118" s="158"/>
      <c r="E118" s="158"/>
      <c r="F118" s="79"/>
      <c r="I118" s="125"/>
    </row>
    <row r="119" spans="1:9" ht="15.75" customHeight="1">
      <c r="A119" s="126"/>
      <c r="C119" s="159" t="s">
        <v>11</v>
      </c>
      <c r="D119" s="159"/>
      <c r="E119" s="159"/>
      <c r="F119" s="126"/>
      <c r="I119" s="124" t="s">
        <v>12</v>
      </c>
    </row>
    <row r="120" spans="1:9" ht="15.75" customHeight="1">
      <c r="A120" s="3" t="s">
        <v>14</v>
      </c>
    </row>
    <row r="121" spans="1:9">
      <c r="A121" s="160" t="s">
        <v>15</v>
      </c>
      <c r="B121" s="160"/>
      <c r="C121" s="160"/>
      <c r="D121" s="160"/>
      <c r="E121" s="160"/>
      <c r="F121" s="160"/>
      <c r="G121" s="160"/>
      <c r="H121" s="160"/>
      <c r="I121" s="160"/>
    </row>
    <row r="122" spans="1:9" ht="45" customHeight="1">
      <c r="A122" s="152" t="s">
        <v>16</v>
      </c>
      <c r="B122" s="152"/>
      <c r="C122" s="152"/>
      <c r="D122" s="152"/>
      <c r="E122" s="152"/>
      <c r="F122" s="152"/>
      <c r="G122" s="152"/>
      <c r="H122" s="152"/>
      <c r="I122" s="152"/>
    </row>
    <row r="123" spans="1:9" ht="30" customHeight="1">
      <c r="A123" s="152" t="s">
        <v>17</v>
      </c>
      <c r="B123" s="152"/>
      <c r="C123" s="152"/>
      <c r="D123" s="152"/>
      <c r="E123" s="152"/>
      <c r="F123" s="152"/>
      <c r="G123" s="152"/>
      <c r="H123" s="152"/>
      <c r="I123" s="152"/>
    </row>
    <row r="124" spans="1:9" ht="30" customHeight="1">
      <c r="A124" s="152" t="s">
        <v>21</v>
      </c>
      <c r="B124" s="152"/>
      <c r="C124" s="152"/>
      <c r="D124" s="152"/>
      <c r="E124" s="152"/>
      <c r="F124" s="152"/>
      <c r="G124" s="152"/>
      <c r="H124" s="152"/>
      <c r="I124" s="152"/>
    </row>
    <row r="125" spans="1:9" ht="15" customHeight="1">
      <c r="A125" s="152" t="s">
        <v>20</v>
      </c>
      <c r="B125" s="152"/>
      <c r="C125" s="152"/>
      <c r="D125" s="152"/>
      <c r="E125" s="152"/>
      <c r="F125" s="152"/>
      <c r="G125" s="152"/>
      <c r="H125" s="152"/>
      <c r="I125" s="152"/>
    </row>
  </sheetData>
  <mergeCells count="28">
    <mergeCell ref="A122:I122"/>
    <mergeCell ref="A123:I123"/>
    <mergeCell ref="A124:I124"/>
    <mergeCell ref="A125:I125"/>
    <mergeCell ref="A113:I113"/>
    <mergeCell ref="C115:E115"/>
    <mergeCell ref="C116:E116"/>
    <mergeCell ref="C118:E118"/>
    <mergeCell ref="C119:E119"/>
    <mergeCell ref="A121:I121"/>
    <mergeCell ref="A111:I111"/>
    <mergeCell ref="A15:I15"/>
    <mergeCell ref="A28:I28"/>
    <mergeCell ref="A46:I46"/>
    <mergeCell ref="A57:I57"/>
    <mergeCell ref="A87:I87"/>
    <mergeCell ref="A91:I91"/>
    <mergeCell ref="A105:I105"/>
    <mergeCell ref="B106:G106"/>
    <mergeCell ref="B107:G107"/>
    <mergeCell ref="A109:I109"/>
    <mergeCell ref="A110:I110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91</v>
      </c>
      <c r="I1" s="19"/>
    </row>
    <row r="2" spans="1:9" ht="15.75">
      <c r="A2" s="21" t="s">
        <v>64</v>
      </c>
    </row>
    <row r="3" spans="1:9" ht="15.75">
      <c r="A3" s="171" t="s">
        <v>172</v>
      </c>
      <c r="B3" s="171"/>
      <c r="C3" s="171"/>
      <c r="D3" s="171"/>
      <c r="E3" s="171"/>
      <c r="F3" s="171"/>
      <c r="G3" s="171"/>
      <c r="H3" s="171"/>
      <c r="I3" s="171"/>
    </row>
    <row r="4" spans="1:9" ht="31.5" customHeight="1">
      <c r="A4" s="172" t="s">
        <v>143</v>
      </c>
      <c r="B4" s="172"/>
      <c r="C4" s="172"/>
      <c r="D4" s="172"/>
      <c r="E4" s="172"/>
      <c r="F4" s="172"/>
      <c r="G4" s="172"/>
      <c r="H4" s="172"/>
      <c r="I4" s="172"/>
    </row>
    <row r="5" spans="1:9" ht="15.75">
      <c r="A5" s="171" t="s">
        <v>193</v>
      </c>
      <c r="B5" s="173"/>
      <c r="C5" s="173"/>
      <c r="D5" s="173"/>
      <c r="E5" s="173"/>
      <c r="F5" s="173"/>
      <c r="G5" s="173"/>
      <c r="H5" s="173"/>
      <c r="I5" s="173"/>
    </row>
    <row r="6" spans="1:9" ht="15.75">
      <c r="A6" s="1"/>
      <c r="B6" s="72"/>
      <c r="C6" s="72"/>
      <c r="D6" s="72"/>
      <c r="E6" s="72"/>
      <c r="F6" s="72"/>
      <c r="G6" s="72"/>
      <c r="H6" s="72"/>
      <c r="I6" s="23">
        <v>42794</v>
      </c>
    </row>
    <row r="7" spans="1:9" ht="15.75">
      <c r="B7" s="74"/>
      <c r="C7" s="74"/>
      <c r="D7" s="74"/>
      <c r="E7" s="2"/>
      <c r="F7" s="2"/>
      <c r="G7" s="2"/>
      <c r="H7" s="2"/>
    </row>
    <row r="8" spans="1:9" ht="78.75" customHeight="1">
      <c r="A8" s="174" t="s">
        <v>147</v>
      </c>
      <c r="B8" s="174"/>
      <c r="C8" s="174"/>
      <c r="D8" s="174"/>
      <c r="E8" s="174"/>
      <c r="F8" s="174"/>
      <c r="G8" s="174"/>
      <c r="H8" s="174"/>
      <c r="I8" s="174"/>
    </row>
    <row r="9" spans="1:9" ht="15.75">
      <c r="A9" s="3"/>
    </row>
    <row r="10" spans="1:9" ht="47.25" customHeight="1">
      <c r="A10" s="175" t="s">
        <v>299</v>
      </c>
      <c r="B10" s="175"/>
      <c r="C10" s="175"/>
      <c r="D10" s="175"/>
      <c r="E10" s="175"/>
      <c r="F10" s="175"/>
      <c r="G10" s="175"/>
      <c r="H10" s="175"/>
      <c r="I10" s="17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70" t="s">
        <v>61</v>
      </c>
      <c r="B14" s="170"/>
      <c r="C14" s="170"/>
      <c r="D14" s="170"/>
      <c r="E14" s="170"/>
      <c r="F14" s="170"/>
      <c r="G14" s="170"/>
      <c r="H14" s="170"/>
      <c r="I14" s="170"/>
    </row>
    <row r="15" spans="1:9" ht="15" customHeight="1">
      <c r="A15" s="165" t="s">
        <v>4</v>
      </c>
      <c r="B15" s="165"/>
      <c r="C15" s="165"/>
      <c r="D15" s="165"/>
      <c r="E15" s="165"/>
      <c r="F15" s="165"/>
      <c r="G15" s="165"/>
      <c r="H15" s="165"/>
      <c r="I15" s="165"/>
    </row>
    <row r="16" spans="1:9" ht="31.5" customHeight="1">
      <c r="A16" s="22">
        <v>1</v>
      </c>
      <c r="B16" s="84" t="s">
        <v>109</v>
      </c>
      <c r="C16" s="85" t="s">
        <v>93</v>
      </c>
      <c r="D16" s="84" t="s">
        <v>110</v>
      </c>
      <c r="E16" s="86">
        <v>121.14</v>
      </c>
      <c r="F16" s="87">
        <f>SUM(E16*156/100)</f>
        <v>188.97839999999999</v>
      </c>
      <c r="G16" s="87">
        <v>175.38</v>
      </c>
      <c r="H16" s="88">
        <f t="shared" ref="H16:H25" si="0">SUM(F16*G16/1000)</f>
        <v>33.143031792000002</v>
      </c>
      <c r="I16" s="10">
        <f>F16/12*G16</f>
        <v>2761.9193159999995</v>
      </c>
    </row>
    <row r="17" spans="1:9" ht="31.5" customHeight="1">
      <c r="A17" s="22">
        <v>2</v>
      </c>
      <c r="B17" s="84" t="s">
        <v>111</v>
      </c>
      <c r="C17" s="85" t="s">
        <v>93</v>
      </c>
      <c r="D17" s="84" t="s">
        <v>112</v>
      </c>
      <c r="E17" s="86">
        <v>484.56</v>
      </c>
      <c r="F17" s="87">
        <f>SUM(E17*104/100)</f>
        <v>503.94239999999996</v>
      </c>
      <c r="G17" s="87">
        <v>175.38</v>
      </c>
      <c r="H17" s="88">
        <f t="shared" si="0"/>
        <v>88.381418111999992</v>
      </c>
      <c r="I17" s="10">
        <f>F17/12*G17</f>
        <v>7365.118175999999</v>
      </c>
    </row>
    <row r="18" spans="1:9" ht="31.5" customHeight="1">
      <c r="A18" s="22">
        <v>3</v>
      </c>
      <c r="B18" s="84" t="s">
        <v>113</v>
      </c>
      <c r="C18" s="85" t="s">
        <v>93</v>
      </c>
      <c r="D18" s="84" t="s">
        <v>129</v>
      </c>
      <c r="E18" s="86">
        <f>SUM(E16+E17)</f>
        <v>605.70000000000005</v>
      </c>
      <c r="F18" s="87">
        <f>SUM(E18*24/100)</f>
        <v>145.36800000000002</v>
      </c>
      <c r="G18" s="87">
        <v>504.5</v>
      </c>
      <c r="H18" s="88">
        <f t="shared" si="0"/>
        <v>73.338156000000012</v>
      </c>
      <c r="I18" s="10">
        <f>F18/12*G18</f>
        <v>6111.5130000000008</v>
      </c>
    </row>
    <row r="19" spans="1:9" ht="15.75" hidden="1" customHeight="1">
      <c r="A19" s="22"/>
      <c r="B19" s="84" t="s">
        <v>114</v>
      </c>
      <c r="C19" s="85" t="s">
        <v>115</v>
      </c>
      <c r="D19" s="84" t="s">
        <v>116</v>
      </c>
      <c r="E19" s="86">
        <v>38.4</v>
      </c>
      <c r="F19" s="87">
        <f>SUM(E19/10)</f>
        <v>3.84</v>
      </c>
      <c r="G19" s="87">
        <v>170.16</v>
      </c>
      <c r="H19" s="88">
        <f t="shared" si="0"/>
        <v>0.65341439999999995</v>
      </c>
      <c r="I19" s="10">
        <v>0</v>
      </c>
    </row>
    <row r="20" spans="1:9" ht="15.75" customHeight="1">
      <c r="A20" s="22">
        <v>4</v>
      </c>
      <c r="B20" s="84" t="s">
        <v>117</v>
      </c>
      <c r="C20" s="85" t="s">
        <v>93</v>
      </c>
      <c r="D20" s="84" t="s">
        <v>30</v>
      </c>
      <c r="E20" s="86">
        <v>58.4</v>
      </c>
      <c r="F20" s="87">
        <f>SUM(E20*12/100)</f>
        <v>7.0079999999999991</v>
      </c>
      <c r="G20" s="87">
        <v>217.88</v>
      </c>
      <c r="H20" s="88">
        <f t="shared" si="0"/>
        <v>1.5269030399999997</v>
      </c>
      <c r="I20" s="10">
        <f>F20/12*G20</f>
        <v>127.24191999999999</v>
      </c>
    </row>
    <row r="21" spans="1:9" ht="15.75" customHeight="1">
      <c r="A21" s="22">
        <v>5</v>
      </c>
      <c r="B21" s="84" t="s">
        <v>118</v>
      </c>
      <c r="C21" s="85" t="s">
        <v>93</v>
      </c>
      <c r="D21" s="84" t="s">
        <v>30</v>
      </c>
      <c r="E21" s="86">
        <v>9.08</v>
      </c>
      <c r="F21" s="87">
        <f>SUM(E21*12/100)</f>
        <v>1.0896000000000001</v>
      </c>
      <c r="G21" s="87">
        <v>216.12</v>
      </c>
      <c r="H21" s="88">
        <f t="shared" si="0"/>
        <v>0.23548435200000004</v>
      </c>
      <c r="I21" s="10">
        <f>F21/12*G21</f>
        <v>19.623696000000002</v>
      </c>
    </row>
    <row r="22" spans="1:9" ht="15.75" hidden="1" customHeight="1">
      <c r="A22" s="22"/>
      <c r="B22" s="84" t="s">
        <v>120</v>
      </c>
      <c r="C22" s="85" t="s">
        <v>54</v>
      </c>
      <c r="D22" s="84" t="s">
        <v>116</v>
      </c>
      <c r="E22" s="86">
        <v>714</v>
      </c>
      <c r="F22" s="87">
        <f>SUM(E22/100)</f>
        <v>7.14</v>
      </c>
      <c r="G22" s="87">
        <v>269.26</v>
      </c>
      <c r="H22" s="88">
        <f t="shared" si="0"/>
        <v>1.9225163999999997</v>
      </c>
      <c r="I22" s="10">
        <v>0</v>
      </c>
    </row>
    <row r="23" spans="1:9" ht="15.75" hidden="1" customHeight="1">
      <c r="A23" s="22"/>
      <c r="B23" s="84" t="s">
        <v>121</v>
      </c>
      <c r="C23" s="85" t="s">
        <v>54</v>
      </c>
      <c r="D23" s="84" t="s">
        <v>116</v>
      </c>
      <c r="E23" s="89">
        <v>96.6</v>
      </c>
      <c r="F23" s="87">
        <f>SUM(E23/100)</f>
        <v>0.96599999999999997</v>
      </c>
      <c r="G23" s="87">
        <v>44.29</v>
      </c>
      <c r="H23" s="88">
        <f t="shared" si="0"/>
        <v>4.2784139999999998E-2</v>
      </c>
      <c r="I23" s="10">
        <v>0</v>
      </c>
    </row>
    <row r="24" spans="1:9" ht="15.75" customHeight="1">
      <c r="A24" s="22">
        <v>6</v>
      </c>
      <c r="B24" s="84" t="s">
        <v>122</v>
      </c>
      <c r="C24" s="85" t="s">
        <v>54</v>
      </c>
      <c r="D24" s="84" t="s">
        <v>141</v>
      </c>
      <c r="E24" s="86">
        <v>32</v>
      </c>
      <c r="F24" s="87">
        <f>E24*12/100</f>
        <v>3.84</v>
      </c>
      <c r="G24" s="87">
        <v>389.42</v>
      </c>
      <c r="H24" s="88">
        <f t="shared" si="0"/>
        <v>1.4953728000000002</v>
      </c>
      <c r="I24" s="10">
        <f>F24/12*G24</f>
        <v>124.6144</v>
      </c>
    </row>
    <row r="25" spans="1:9" ht="15.75" customHeight="1">
      <c r="A25" s="22">
        <v>7</v>
      </c>
      <c r="B25" s="84" t="s">
        <v>124</v>
      </c>
      <c r="C25" s="85" t="s">
        <v>54</v>
      </c>
      <c r="D25" s="84" t="s">
        <v>142</v>
      </c>
      <c r="E25" s="86">
        <v>17</v>
      </c>
      <c r="F25" s="87">
        <f>SUM(E25*12/100)</f>
        <v>2.04</v>
      </c>
      <c r="G25" s="87">
        <v>520.79999999999995</v>
      </c>
      <c r="H25" s="88">
        <f t="shared" si="0"/>
        <v>1.062432</v>
      </c>
      <c r="I25" s="10">
        <f>F25/12*G25</f>
        <v>88.536000000000001</v>
      </c>
    </row>
    <row r="26" spans="1:9" ht="15.75" customHeight="1">
      <c r="A26" s="22">
        <v>8</v>
      </c>
      <c r="B26" s="84" t="s">
        <v>66</v>
      </c>
      <c r="C26" s="85" t="s">
        <v>33</v>
      </c>
      <c r="D26" s="84" t="s">
        <v>155</v>
      </c>
      <c r="E26" s="86">
        <v>0.1</v>
      </c>
      <c r="F26" s="87">
        <f>SUM(E26*365)</f>
        <v>36.5</v>
      </c>
      <c r="G26" s="87">
        <v>147.03</v>
      </c>
      <c r="H26" s="88">
        <f>SUM(F26*G26/1000)</f>
        <v>5.3665950000000002</v>
      </c>
      <c r="I26" s="10">
        <f>F26/12*G26</f>
        <v>447.21625</v>
      </c>
    </row>
    <row r="27" spans="1:9" ht="15.75" customHeight="1">
      <c r="A27" s="22">
        <v>9</v>
      </c>
      <c r="B27" s="93" t="s">
        <v>23</v>
      </c>
      <c r="C27" s="85" t="s">
        <v>24</v>
      </c>
      <c r="D27" s="93" t="s">
        <v>156</v>
      </c>
      <c r="E27" s="86">
        <v>4394</v>
      </c>
      <c r="F27" s="87">
        <f>SUM(E27*12)</f>
        <v>52728</v>
      </c>
      <c r="G27" s="87">
        <v>4.53</v>
      </c>
      <c r="H27" s="88">
        <f>SUM(F27*G27/1000)</f>
        <v>238.85784000000004</v>
      </c>
      <c r="I27" s="10">
        <f>F27/12*G27</f>
        <v>19904.82</v>
      </c>
    </row>
    <row r="28" spans="1:9" ht="15.75" customHeight="1">
      <c r="A28" s="153" t="s">
        <v>90</v>
      </c>
      <c r="B28" s="154"/>
      <c r="C28" s="154"/>
      <c r="D28" s="154"/>
      <c r="E28" s="154"/>
      <c r="F28" s="154"/>
      <c r="G28" s="154"/>
      <c r="H28" s="154"/>
      <c r="I28" s="155"/>
    </row>
    <row r="29" spans="1:9" ht="15.75" hidden="1" customHeight="1">
      <c r="A29" s="22"/>
      <c r="B29" s="107" t="s">
        <v>28</v>
      </c>
      <c r="C29" s="85"/>
      <c r="D29" s="84"/>
      <c r="E29" s="86"/>
      <c r="F29" s="87"/>
      <c r="G29" s="87"/>
      <c r="H29" s="88"/>
      <c r="I29" s="10"/>
    </row>
    <row r="30" spans="1:9" ht="31.5" hidden="1" customHeight="1">
      <c r="A30" s="22">
        <v>10</v>
      </c>
      <c r="B30" s="84" t="s">
        <v>101</v>
      </c>
      <c r="C30" s="85" t="s">
        <v>95</v>
      </c>
      <c r="D30" s="84" t="s">
        <v>130</v>
      </c>
      <c r="E30" s="87">
        <v>2873.1</v>
      </c>
      <c r="F30" s="87">
        <f>SUM(E30*26/1000)</f>
        <v>74.700599999999994</v>
      </c>
      <c r="G30" s="87">
        <v>155.88999999999999</v>
      </c>
      <c r="H30" s="88">
        <f t="shared" ref="H30:H35" si="1">SUM(F30*G30/1000)</f>
        <v>11.645076533999998</v>
      </c>
      <c r="I30" s="10">
        <f t="shared" ref="I30:I33" si="2">F30/6*G30</f>
        <v>1940.8460889999997</v>
      </c>
    </row>
    <row r="31" spans="1:9" ht="31.5" hidden="1" customHeight="1">
      <c r="A31" s="22">
        <v>11</v>
      </c>
      <c r="B31" s="84" t="s">
        <v>169</v>
      </c>
      <c r="C31" s="85" t="s">
        <v>95</v>
      </c>
      <c r="D31" s="84" t="s">
        <v>125</v>
      </c>
      <c r="E31" s="87">
        <v>824.5</v>
      </c>
      <c r="F31" s="87">
        <f>SUM(E31*78/1000)</f>
        <v>64.311000000000007</v>
      </c>
      <c r="G31" s="87">
        <v>258.63</v>
      </c>
      <c r="H31" s="88">
        <f t="shared" si="1"/>
        <v>16.632753930000003</v>
      </c>
      <c r="I31" s="10">
        <f t="shared" si="2"/>
        <v>2772.1256550000003</v>
      </c>
    </row>
    <row r="32" spans="1:9" ht="15.75" hidden="1" customHeight="1">
      <c r="A32" s="22"/>
      <c r="B32" s="84" t="s">
        <v>27</v>
      </c>
      <c r="C32" s="85" t="s">
        <v>95</v>
      </c>
      <c r="D32" s="84" t="s">
        <v>55</v>
      </c>
      <c r="E32" s="87">
        <v>2873.1</v>
      </c>
      <c r="F32" s="87">
        <f>SUM(E32/1000)</f>
        <v>2.8731</v>
      </c>
      <c r="G32" s="87">
        <v>3020.33</v>
      </c>
      <c r="H32" s="88">
        <f t="shared" si="1"/>
        <v>8.6777101229999989</v>
      </c>
      <c r="I32" s="10">
        <f>F32*G32</f>
        <v>8677.7101229999989</v>
      </c>
    </row>
    <row r="33" spans="1:9" ht="15.75" hidden="1" customHeight="1">
      <c r="A33" s="22">
        <v>12</v>
      </c>
      <c r="B33" s="84" t="s">
        <v>100</v>
      </c>
      <c r="C33" s="85" t="s">
        <v>31</v>
      </c>
      <c r="D33" s="84" t="s">
        <v>65</v>
      </c>
      <c r="E33" s="92">
        <v>0.33333333333333331</v>
      </c>
      <c r="F33" s="87">
        <f>155/3</f>
        <v>51.666666666666664</v>
      </c>
      <c r="G33" s="87">
        <v>56.69</v>
      </c>
      <c r="H33" s="88">
        <f>SUM(G33*155/3/1000)</f>
        <v>2.9289833333333331</v>
      </c>
      <c r="I33" s="10">
        <f t="shared" si="2"/>
        <v>488.16388888888883</v>
      </c>
    </row>
    <row r="34" spans="1:9" ht="15.75" hidden="1" customHeight="1">
      <c r="A34" s="22"/>
      <c r="B34" s="84" t="s">
        <v>67</v>
      </c>
      <c r="C34" s="85" t="s">
        <v>33</v>
      </c>
      <c r="D34" s="84" t="s">
        <v>69</v>
      </c>
      <c r="E34" s="86"/>
      <c r="F34" s="87">
        <v>2</v>
      </c>
      <c r="G34" s="87">
        <v>191.32</v>
      </c>
      <c r="H34" s="88">
        <f t="shared" si="1"/>
        <v>0.38263999999999998</v>
      </c>
      <c r="I34" s="10">
        <v>0</v>
      </c>
    </row>
    <row r="35" spans="1:9" ht="15.75" hidden="1" customHeight="1">
      <c r="A35" s="22"/>
      <c r="B35" s="84" t="s">
        <v>68</v>
      </c>
      <c r="C35" s="85" t="s">
        <v>32</v>
      </c>
      <c r="D35" s="84" t="s">
        <v>69</v>
      </c>
      <c r="E35" s="86"/>
      <c r="F35" s="87">
        <v>3</v>
      </c>
      <c r="G35" s="87">
        <v>1136.33</v>
      </c>
      <c r="H35" s="88">
        <f t="shared" si="1"/>
        <v>3.4089899999999997</v>
      </c>
      <c r="I35" s="10">
        <v>0</v>
      </c>
    </row>
    <row r="36" spans="1:9" ht="15.75" customHeight="1">
      <c r="A36" s="22"/>
      <c r="B36" s="91" t="s">
        <v>5</v>
      </c>
      <c r="C36" s="85"/>
      <c r="D36" s="84"/>
      <c r="E36" s="86"/>
      <c r="F36" s="87"/>
      <c r="G36" s="87"/>
      <c r="H36" s="88" t="s">
        <v>156</v>
      </c>
      <c r="I36" s="10"/>
    </row>
    <row r="37" spans="1:9" ht="15.75" customHeight="1">
      <c r="A37" s="22">
        <v>10</v>
      </c>
      <c r="B37" s="84" t="s">
        <v>26</v>
      </c>
      <c r="C37" s="85" t="s">
        <v>32</v>
      </c>
      <c r="D37" s="84"/>
      <c r="E37" s="86"/>
      <c r="F37" s="87">
        <v>15</v>
      </c>
      <c r="G37" s="87">
        <v>1527.22</v>
      </c>
      <c r="H37" s="88">
        <f t="shared" ref="H37:H42" si="3">SUM(F37*G37/1000)</f>
        <v>22.908300000000001</v>
      </c>
      <c r="I37" s="10">
        <f t="shared" ref="I37:I42" si="4">F37/6*G37</f>
        <v>3818.05</v>
      </c>
    </row>
    <row r="38" spans="1:9" ht="15.75" customHeight="1">
      <c r="A38" s="22">
        <v>11</v>
      </c>
      <c r="B38" s="84" t="s">
        <v>70</v>
      </c>
      <c r="C38" s="85" t="s">
        <v>29</v>
      </c>
      <c r="D38" s="84" t="s">
        <v>131</v>
      </c>
      <c r="E38" s="87">
        <v>824.5</v>
      </c>
      <c r="F38" s="87">
        <f>SUM(E38*50/1000)</f>
        <v>41.225000000000001</v>
      </c>
      <c r="G38" s="87">
        <v>2102.71</v>
      </c>
      <c r="H38" s="88">
        <f t="shared" si="3"/>
        <v>86.684219749999997</v>
      </c>
      <c r="I38" s="10">
        <f t="shared" si="4"/>
        <v>14447.369958333335</v>
      </c>
    </row>
    <row r="39" spans="1:9" ht="15.75" customHeight="1">
      <c r="A39" s="22">
        <v>12</v>
      </c>
      <c r="B39" s="84" t="s">
        <v>71</v>
      </c>
      <c r="C39" s="85" t="s">
        <v>29</v>
      </c>
      <c r="D39" s="84" t="s">
        <v>94</v>
      </c>
      <c r="E39" s="87">
        <v>188</v>
      </c>
      <c r="F39" s="87">
        <f>SUM(E39*155/1000)</f>
        <v>29.14</v>
      </c>
      <c r="G39" s="87">
        <v>350.75</v>
      </c>
      <c r="H39" s="88">
        <f t="shared" si="3"/>
        <v>10.220855</v>
      </c>
      <c r="I39" s="10">
        <f t="shared" si="4"/>
        <v>1703.4758333333332</v>
      </c>
    </row>
    <row r="40" spans="1:9" ht="47.25" customHeight="1">
      <c r="A40" s="22">
        <v>13</v>
      </c>
      <c r="B40" s="84" t="s">
        <v>89</v>
      </c>
      <c r="C40" s="85" t="s">
        <v>95</v>
      </c>
      <c r="D40" s="84" t="s">
        <v>132</v>
      </c>
      <c r="E40" s="87">
        <v>188</v>
      </c>
      <c r="F40" s="87">
        <f>SUM(E40*12/1000)</f>
        <v>2.2559999999999998</v>
      </c>
      <c r="G40" s="87">
        <v>5803.28</v>
      </c>
      <c r="H40" s="88">
        <f t="shared" si="3"/>
        <v>13.092199679999998</v>
      </c>
      <c r="I40" s="10">
        <f t="shared" si="4"/>
        <v>2182.0332799999996</v>
      </c>
    </row>
    <row r="41" spans="1:9" ht="15.75" customHeight="1">
      <c r="A41" s="22">
        <v>14</v>
      </c>
      <c r="B41" s="84" t="s">
        <v>96</v>
      </c>
      <c r="C41" s="85" t="s">
        <v>95</v>
      </c>
      <c r="D41" s="84" t="s">
        <v>72</v>
      </c>
      <c r="E41" s="87">
        <v>188</v>
      </c>
      <c r="F41" s="87">
        <f>SUM(E41*45/1000)</f>
        <v>8.4600000000000009</v>
      </c>
      <c r="G41" s="87">
        <v>428.7</v>
      </c>
      <c r="H41" s="88">
        <f t="shared" si="3"/>
        <v>3.6268020000000001</v>
      </c>
      <c r="I41" s="10">
        <f t="shared" si="4"/>
        <v>604.4670000000001</v>
      </c>
    </row>
    <row r="42" spans="1:9" ht="15.75" customHeight="1">
      <c r="A42" s="22">
        <v>15</v>
      </c>
      <c r="B42" s="84" t="s">
        <v>73</v>
      </c>
      <c r="C42" s="85" t="s">
        <v>33</v>
      </c>
      <c r="D42" s="84"/>
      <c r="E42" s="86"/>
      <c r="F42" s="87">
        <v>0.9</v>
      </c>
      <c r="G42" s="87">
        <v>798</v>
      </c>
      <c r="H42" s="88">
        <f t="shared" si="3"/>
        <v>0.71820000000000006</v>
      </c>
      <c r="I42" s="10">
        <f t="shared" si="4"/>
        <v>119.69999999999999</v>
      </c>
    </row>
    <row r="43" spans="1:9" ht="15.75" customHeight="1">
      <c r="A43" s="153" t="s">
        <v>148</v>
      </c>
      <c r="B43" s="154"/>
      <c r="C43" s="154"/>
      <c r="D43" s="154"/>
      <c r="E43" s="154"/>
      <c r="F43" s="154"/>
      <c r="G43" s="154"/>
      <c r="H43" s="154"/>
      <c r="I43" s="155"/>
    </row>
    <row r="44" spans="1:9" ht="15.75" hidden="1" customHeight="1">
      <c r="A44" s="22"/>
      <c r="B44" s="84" t="s">
        <v>157</v>
      </c>
      <c r="C44" s="85" t="s">
        <v>95</v>
      </c>
      <c r="D44" s="84" t="s">
        <v>43</v>
      </c>
      <c r="E44" s="86">
        <v>1609.3</v>
      </c>
      <c r="F44" s="87">
        <f>SUM(E44*2/1000)</f>
        <v>3.2185999999999999</v>
      </c>
      <c r="G44" s="10">
        <v>910.17</v>
      </c>
      <c r="H44" s="88">
        <f t="shared" ref="H44:H53" si="5">SUM(F44*G44/1000)</f>
        <v>2.9294731619999999</v>
      </c>
      <c r="I44" s="10">
        <v>0</v>
      </c>
    </row>
    <row r="45" spans="1:9" ht="15.75" hidden="1" customHeight="1">
      <c r="A45" s="22"/>
      <c r="B45" s="84" t="s">
        <v>36</v>
      </c>
      <c r="C45" s="85" t="s">
        <v>95</v>
      </c>
      <c r="D45" s="84" t="s">
        <v>43</v>
      </c>
      <c r="E45" s="86">
        <v>742</v>
      </c>
      <c r="F45" s="87">
        <f>SUM(E45*2/1000)</f>
        <v>1.484</v>
      </c>
      <c r="G45" s="10">
        <v>579.48</v>
      </c>
      <c r="H45" s="88">
        <f t="shared" si="5"/>
        <v>0.85994831999999999</v>
      </c>
      <c r="I45" s="10">
        <v>0</v>
      </c>
    </row>
    <row r="46" spans="1:9" ht="15.75" hidden="1" customHeight="1">
      <c r="A46" s="22"/>
      <c r="B46" s="84" t="s">
        <v>37</v>
      </c>
      <c r="C46" s="85" t="s">
        <v>95</v>
      </c>
      <c r="D46" s="84" t="s">
        <v>43</v>
      </c>
      <c r="E46" s="86">
        <v>4989.8100000000004</v>
      </c>
      <c r="F46" s="87">
        <f>SUM(E46*2/1000)</f>
        <v>9.9796200000000006</v>
      </c>
      <c r="G46" s="10">
        <v>579.48</v>
      </c>
      <c r="H46" s="88">
        <f t="shared" si="5"/>
        <v>5.7829901976000002</v>
      </c>
      <c r="I46" s="10">
        <v>0</v>
      </c>
    </row>
    <row r="47" spans="1:9" ht="15.75" hidden="1" customHeight="1">
      <c r="A47" s="22"/>
      <c r="B47" s="84" t="s">
        <v>38</v>
      </c>
      <c r="C47" s="85" t="s">
        <v>95</v>
      </c>
      <c r="D47" s="84" t="s">
        <v>43</v>
      </c>
      <c r="E47" s="86">
        <v>2654.21</v>
      </c>
      <c r="F47" s="87">
        <f>SUM(E47*2/1000)</f>
        <v>5.3084199999999999</v>
      </c>
      <c r="G47" s="10">
        <v>606.77</v>
      </c>
      <c r="H47" s="88">
        <f t="shared" si="5"/>
        <v>3.2209900033999999</v>
      </c>
      <c r="I47" s="10">
        <v>0</v>
      </c>
    </row>
    <row r="48" spans="1:9" ht="15.75" hidden="1" customHeight="1">
      <c r="A48" s="22"/>
      <c r="B48" s="84" t="s">
        <v>34</v>
      </c>
      <c r="C48" s="85" t="s">
        <v>35</v>
      </c>
      <c r="D48" s="84" t="s">
        <v>43</v>
      </c>
      <c r="E48" s="86">
        <v>128.53</v>
      </c>
      <c r="F48" s="87">
        <f>SUM(E48*2/100)</f>
        <v>2.5706000000000002</v>
      </c>
      <c r="G48" s="10">
        <v>72.81</v>
      </c>
      <c r="H48" s="88">
        <f t="shared" si="5"/>
        <v>0.18716538600000002</v>
      </c>
      <c r="I48" s="10">
        <v>0</v>
      </c>
    </row>
    <row r="49" spans="1:9" ht="15.75" customHeight="1">
      <c r="A49" s="22">
        <v>16</v>
      </c>
      <c r="B49" s="84" t="s">
        <v>58</v>
      </c>
      <c r="C49" s="85" t="s">
        <v>95</v>
      </c>
      <c r="D49" s="84" t="s">
        <v>170</v>
      </c>
      <c r="E49" s="86">
        <v>2026.8</v>
      </c>
      <c r="F49" s="87">
        <f>SUM(E49*5/1000)</f>
        <v>10.134</v>
      </c>
      <c r="G49" s="10">
        <v>1213.55</v>
      </c>
      <c r="H49" s="88">
        <f t="shared" si="5"/>
        <v>12.2981157</v>
      </c>
      <c r="I49" s="10">
        <f>F49/5*G49</f>
        <v>2459.6231400000001</v>
      </c>
    </row>
    <row r="50" spans="1:9" ht="31.5" hidden="1" customHeight="1">
      <c r="A50" s="22"/>
      <c r="B50" s="84" t="s">
        <v>97</v>
      </c>
      <c r="C50" s="85" t="s">
        <v>95</v>
      </c>
      <c r="D50" s="84" t="s">
        <v>43</v>
      </c>
      <c r="E50" s="86">
        <v>2026.8</v>
      </c>
      <c r="F50" s="87">
        <f>SUM(E50*2/1000)</f>
        <v>4.0536000000000003</v>
      </c>
      <c r="G50" s="10">
        <v>1213.55</v>
      </c>
      <c r="H50" s="88">
        <f t="shared" si="5"/>
        <v>4.9192462800000003</v>
      </c>
      <c r="I50" s="10">
        <v>0</v>
      </c>
    </row>
    <row r="51" spans="1:9" ht="31.5" hidden="1" customHeight="1">
      <c r="A51" s="22"/>
      <c r="B51" s="84" t="s">
        <v>98</v>
      </c>
      <c r="C51" s="85" t="s">
        <v>39</v>
      </c>
      <c r="D51" s="84" t="s">
        <v>43</v>
      </c>
      <c r="E51" s="86">
        <v>40</v>
      </c>
      <c r="F51" s="87">
        <f>SUM(E51*2/100)</f>
        <v>0.8</v>
      </c>
      <c r="G51" s="10">
        <v>2730.49</v>
      </c>
      <c r="H51" s="88">
        <f t="shared" si="5"/>
        <v>2.1843919999999999</v>
      </c>
      <c r="I51" s="10">
        <v>0</v>
      </c>
    </row>
    <row r="52" spans="1:9" ht="15.75" hidden="1" customHeight="1">
      <c r="A52" s="22"/>
      <c r="B52" s="84" t="s">
        <v>40</v>
      </c>
      <c r="C52" s="85" t="s">
        <v>41</v>
      </c>
      <c r="D52" s="84" t="s">
        <v>43</v>
      </c>
      <c r="E52" s="86">
        <v>1</v>
      </c>
      <c r="F52" s="87">
        <v>0.02</v>
      </c>
      <c r="G52" s="10">
        <v>5652.13</v>
      </c>
      <c r="H52" s="88">
        <f t="shared" si="5"/>
        <v>0.11304260000000001</v>
      </c>
      <c r="I52" s="10">
        <v>0</v>
      </c>
    </row>
    <row r="53" spans="1:9" ht="15.75" hidden="1" customHeight="1">
      <c r="A53" s="22">
        <v>17</v>
      </c>
      <c r="B53" s="84" t="s">
        <v>42</v>
      </c>
      <c r="C53" s="85" t="s">
        <v>102</v>
      </c>
      <c r="D53" s="84" t="s">
        <v>74</v>
      </c>
      <c r="E53" s="86">
        <v>160</v>
      </c>
      <c r="F53" s="87">
        <f>SUM(E53)*3</f>
        <v>480</v>
      </c>
      <c r="G53" s="10">
        <v>65.67</v>
      </c>
      <c r="H53" s="88">
        <f t="shared" si="5"/>
        <v>31.521600000000003</v>
      </c>
      <c r="I53" s="10">
        <f>E53*G53</f>
        <v>10507.2</v>
      </c>
    </row>
    <row r="54" spans="1:9" ht="15.75" customHeight="1">
      <c r="A54" s="153" t="s">
        <v>149</v>
      </c>
      <c r="B54" s="154"/>
      <c r="C54" s="154"/>
      <c r="D54" s="154"/>
      <c r="E54" s="154"/>
      <c r="F54" s="154"/>
      <c r="G54" s="154"/>
      <c r="H54" s="154"/>
      <c r="I54" s="155"/>
    </row>
    <row r="55" spans="1:9" ht="15.75" customHeight="1">
      <c r="A55" s="22"/>
      <c r="B55" s="107" t="s">
        <v>44</v>
      </c>
      <c r="C55" s="85"/>
      <c r="D55" s="84"/>
      <c r="E55" s="86"/>
      <c r="F55" s="87"/>
      <c r="G55" s="87"/>
      <c r="H55" s="88"/>
      <c r="I55" s="10"/>
    </row>
    <row r="56" spans="1:9" ht="31.5" customHeight="1">
      <c r="A56" s="22">
        <v>17</v>
      </c>
      <c r="B56" s="84" t="s">
        <v>158</v>
      </c>
      <c r="C56" s="85" t="s">
        <v>93</v>
      </c>
      <c r="D56" s="84" t="s">
        <v>126</v>
      </c>
      <c r="E56" s="86">
        <v>176.93</v>
      </c>
      <c r="F56" s="87">
        <f>SUM(E56*6/100)</f>
        <v>10.6158</v>
      </c>
      <c r="G56" s="10">
        <v>1547.28</v>
      </c>
      <c r="H56" s="88">
        <f>SUM(F56*G56/1000)</f>
        <v>16.425615023999999</v>
      </c>
      <c r="I56" s="10">
        <f>F56/6*G56</f>
        <v>2737.602504</v>
      </c>
    </row>
    <row r="57" spans="1:9" ht="15.75" customHeight="1">
      <c r="A57" s="22"/>
      <c r="B57" s="107" t="s">
        <v>45</v>
      </c>
      <c r="C57" s="85"/>
      <c r="D57" s="84"/>
      <c r="E57" s="86"/>
      <c r="F57" s="87"/>
      <c r="G57" s="109"/>
      <c r="H57" s="88"/>
      <c r="I57" s="10"/>
    </row>
    <row r="58" spans="1:9" ht="15.75" hidden="1" customHeight="1">
      <c r="A58" s="22"/>
      <c r="B58" s="84" t="s">
        <v>46</v>
      </c>
      <c r="C58" s="85" t="s">
        <v>93</v>
      </c>
      <c r="D58" s="84" t="s">
        <v>55</v>
      </c>
      <c r="E58" s="86">
        <v>2026.8</v>
      </c>
      <c r="F58" s="88">
        <v>20.268000000000001</v>
      </c>
      <c r="G58" s="10">
        <v>793.61</v>
      </c>
      <c r="H58" s="94">
        <v>16.085000000000001</v>
      </c>
      <c r="I58" s="10">
        <v>0</v>
      </c>
    </row>
    <row r="59" spans="1:9" ht="15.75" customHeight="1">
      <c r="A59" s="22">
        <v>18</v>
      </c>
      <c r="B59" s="84" t="s">
        <v>138</v>
      </c>
      <c r="C59" s="85" t="s">
        <v>25</v>
      </c>
      <c r="D59" s="84" t="s">
        <v>139</v>
      </c>
      <c r="E59" s="86">
        <v>325</v>
      </c>
      <c r="F59" s="87">
        <f>E59*12</f>
        <v>3900</v>
      </c>
      <c r="G59" s="110">
        <v>2.59</v>
      </c>
      <c r="H59" s="88">
        <f>F59*G59/1000</f>
        <v>10.101000000000001</v>
      </c>
      <c r="I59" s="10">
        <f>F59/12*G59</f>
        <v>841.75</v>
      </c>
    </row>
    <row r="60" spans="1:9" ht="15.75" hidden="1" customHeight="1">
      <c r="A60" s="22"/>
      <c r="B60" s="107" t="s">
        <v>159</v>
      </c>
      <c r="C60" s="85"/>
      <c r="D60" s="84"/>
      <c r="E60" s="86"/>
      <c r="F60" s="87"/>
      <c r="G60" s="87"/>
      <c r="H60" s="88" t="s">
        <v>156</v>
      </c>
      <c r="I60" s="10"/>
    </row>
    <row r="61" spans="1:9" ht="15.75" hidden="1" customHeight="1">
      <c r="A61" s="22"/>
      <c r="B61" s="84" t="s">
        <v>171</v>
      </c>
      <c r="C61" s="85" t="s">
        <v>102</v>
      </c>
      <c r="D61" s="84" t="s">
        <v>55</v>
      </c>
      <c r="E61" s="86">
        <v>4</v>
      </c>
      <c r="F61" s="87">
        <f>SUM(E61)</f>
        <v>4</v>
      </c>
      <c r="G61" s="95">
        <v>237.75</v>
      </c>
      <c r="H61" s="88">
        <f t="shared" ref="H61:H79" si="6">SUM(F61*G61/1000)</f>
        <v>0.95099999999999996</v>
      </c>
      <c r="I61" s="10">
        <v>0</v>
      </c>
    </row>
    <row r="62" spans="1:9" ht="15.75" hidden="1" customHeight="1">
      <c r="A62" s="22"/>
      <c r="B62" s="108" t="s">
        <v>47</v>
      </c>
      <c r="C62" s="96"/>
      <c r="D62" s="97"/>
      <c r="E62" s="98"/>
      <c r="F62" s="99"/>
      <c r="G62" s="99"/>
      <c r="H62" s="100" t="s">
        <v>156</v>
      </c>
      <c r="I62" s="10"/>
    </row>
    <row r="63" spans="1:9" ht="15.75" hidden="1" customHeight="1">
      <c r="A63" s="22">
        <v>20</v>
      </c>
      <c r="B63" s="11" t="s">
        <v>48</v>
      </c>
      <c r="C63" s="13" t="s">
        <v>102</v>
      </c>
      <c r="D63" s="11" t="s">
        <v>69</v>
      </c>
      <c r="E63" s="16">
        <v>30</v>
      </c>
      <c r="F63" s="87">
        <v>30</v>
      </c>
      <c r="G63" s="10">
        <v>222.4</v>
      </c>
      <c r="H63" s="82">
        <f t="shared" si="6"/>
        <v>6.6719999999999997</v>
      </c>
      <c r="I63" s="10">
        <f>G63</f>
        <v>222.4</v>
      </c>
    </row>
    <row r="64" spans="1:9" ht="15.75" hidden="1" customHeight="1">
      <c r="A64" s="22">
        <v>21</v>
      </c>
      <c r="B64" s="11" t="s">
        <v>49</v>
      </c>
      <c r="C64" s="13" t="s">
        <v>102</v>
      </c>
      <c r="D64" s="11" t="s">
        <v>69</v>
      </c>
      <c r="E64" s="16">
        <v>5</v>
      </c>
      <c r="F64" s="87">
        <v>5</v>
      </c>
      <c r="G64" s="10">
        <v>76.25</v>
      </c>
      <c r="H64" s="82">
        <f t="shared" si="6"/>
        <v>0.38124999999999998</v>
      </c>
      <c r="I64" s="10">
        <f>G64</f>
        <v>76.25</v>
      </c>
    </row>
    <row r="65" spans="1:9" ht="15.75" hidden="1" customHeight="1">
      <c r="A65" s="22"/>
      <c r="B65" s="11" t="s">
        <v>50</v>
      </c>
      <c r="C65" s="13" t="s">
        <v>103</v>
      </c>
      <c r="D65" s="11" t="s">
        <v>55</v>
      </c>
      <c r="E65" s="86">
        <v>24063</v>
      </c>
      <c r="F65" s="10">
        <f>SUM(E65/100)</f>
        <v>240.63</v>
      </c>
      <c r="G65" s="10">
        <v>212.15</v>
      </c>
      <c r="H65" s="82">
        <f t="shared" si="6"/>
        <v>51.049654499999995</v>
      </c>
      <c r="I65" s="10">
        <v>0</v>
      </c>
    </row>
    <row r="66" spans="1:9" ht="15.75" hidden="1" customHeight="1">
      <c r="A66" s="22"/>
      <c r="B66" s="11" t="s">
        <v>51</v>
      </c>
      <c r="C66" s="13" t="s">
        <v>104</v>
      </c>
      <c r="D66" s="11"/>
      <c r="E66" s="86">
        <v>24063</v>
      </c>
      <c r="F66" s="10">
        <f>SUM(E66/1000)</f>
        <v>24.062999999999999</v>
      </c>
      <c r="G66" s="10">
        <v>165.21</v>
      </c>
      <c r="H66" s="82">
        <f t="shared" si="6"/>
        <v>3.97544823</v>
      </c>
      <c r="I66" s="10">
        <v>0</v>
      </c>
    </row>
    <row r="67" spans="1:9" ht="15.75" hidden="1" customHeight="1">
      <c r="A67" s="22"/>
      <c r="B67" s="11" t="s">
        <v>52</v>
      </c>
      <c r="C67" s="13" t="s">
        <v>81</v>
      </c>
      <c r="D67" s="11" t="s">
        <v>55</v>
      </c>
      <c r="E67" s="86">
        <v>2730</v>
      </c>
      <c r="F67" s="10">
        <f>SUM(E67/100)</f>
        <v>27.3</v>
      </c>
      <c r="G67" s="10">
        <v>2074.63</v>
      </c>
      <c r="H67" s="82">
        <f t="shared" si="6"/>
        <v>56.637399000000002</v>
      </c>
      <c r="I67" s="10">
        <v>0</v>
      </c>
    </row>
    <row r="68" spans="1:9" ht="15.75" hidden="1" customHeight="1">
      <c r="A68" s="22"/>
      <c r="B68" s="101" t="s">
        <v>75</v>
      </c>
      <c r="C68" s="13" t="s">
        <v>33</v>
      </c>
      <c r="D68" s="11"/>
      <c r="E68" s="86">
        <v>21.4</v>
      </c>
      <c r="F68" s="10">
        <f>SUM(E68)</f>
        <v>21.4</v>
      </c>
      <c r="G68" s="10">
        <v>45.32</v>
      </c>
      <c r="H68" s="82">
        <f t="shared" si="6"/>
        <v>0.96984799999999993</v>
      </c>
      <c r="I68" s="10">
        <v>0</v>
      </c>
    </row>
    <row r="69" spans="1:9" ht="15.75" hidden="1" customHeight="1">
      <c r="A69" s="22"/>
      <c r="B69" s="101" t="s">
        <v>76</v>
      </c>
      <c r="C69" s="13" t="s">
        <v>33</v>
      </c>
      <c r="D69" s="11"/>
      <c r="E69" s="86">
        <v>21.4</v>
      </c>
      <c r="F69" s="10">
        <f>SUM(E69)</f>
        <v>21.4</v>
      </c>
      <c r="G69" s="10">
        <v>42.28</v>
      </c>
      <c r="H69" s="82">
        <f t="shared" si="6"/>
        <v>0.90479199999999993</v>
      </c>
      <c r="I69" s="10">
        <v>0</v>
      </c>
    </row>
    <row r="70" spans="1:9" ht="15.75" hidden="1" customHeight="1">
      <c r="A70" s="22">
        <v>22</v>
      </c>
      <c r="B70" s="101" t="s">
        <v>133</v>
      </c>
      <c r="C70" s="13"/>
      <c r="D70" s="11"/>
      <c r="E70" s="102"/>
      <c r="F70" s="76">
        <v>1</v>
      </c>
      <c r="G70" s="10">
        <v>5600</v>
      </c>
      <c r="H70" s="82">
        <f t="shared" si="6"/>
        <v>5.6</v>
      </c>
      <c r="I70" s="10">
        <f>F70*G70</f>
        <v>5600</v>
      </c>
    </row>
    <row r="71" spans="1:9" ht="15.75" hidden="1" customHeight="1">
      <c r="A71" s="22"/>
      <c r="B71" s="11" t="s">
        <v>59</v>
      </c>
      <c r="C71" s="13" t="s">
        <v>60</v>
      </c>
      <c r="D71" s="11" t="s">
        <v>55</v>
      </c>
      <c r="E71" s="16">
        <v>10</v>
      </c>
      <c r="F71" s="87">
        <f>SUM(E71)</f>
        <v>10</v>
      </c>
      <c r="G71" s="10">
        <v>49.88</v>
      </c>
      <c r="H71" s="82">
        <f t="shared" si="6"/>
        <v>0.49880000000000002</v>
      </c>
      <c r="I71" s="10">
        <v>0</v>
      </c>
    </row>
    <row r="72" spans="1:9" ht="15.75" hidden="1" customHeight="1">
      <c r="A72" s="22"/>
      <c r="B72" s="70" t="s">
        <v>77</v>
      </c>
      <c r="C72" s="13"/>
      <c r="D72" s="11"/>
      <c r="E72" s="16"/>
      <c r="F72" s="10"/>
      <c r="G72" s="10"/>
      <c r="H72" s="82" t="s">
        <v>156</v>
      </c>
      <c r="I72" s="10"/>
    </row>
    <row r="73" spans="1:9" ht="15.75" hidden="1" customHeight="1">
      <c r="A73" s="22"/>
      <c r="B73" s="11" t="s">
        <v>78</v>
      </c>
      <c r="C73" s="13" t="s">
        <v>79</v>
      </c>
      <c r="D73" s="11"/>
      <c r="E73" s="16">
        <v>160</v>
      </c>
      <c r="F73" s="10">
        <v>16</v>
      </c>
      <c r="G73" s="10">
        <v>501.62</v>
      </c>
      <c r="H73" s="82">
        <f t="shared" si="6"/>
        <v>8.0259199999999993</v>
      </c>
      <c r="I73" s="10">
        <v>0</v>
      </c>
    </row>
    <row r="74" spans="1:9" ht="15.75" hidden="1" customHeight="1">
      <c r="A74" s="22"/>
      <c r="B74" s="11" t="s">
        <v>128</v>
      </c>
      <c r="C74" s="13" t="s">
        <v>102</v>
      </c>
      <c r="D74" s="11"/>
      <c r="E74" s="16">
        <v>1</v>
      </c>
      <c r="F74" s="87">
        <f>SUM(E74)</f>
        <v>1</v>
      </c>
      <c r="G74" s="10">
        <v>358.51</v>
      </c>
      <c r="H74" s="82">
        <f t="shared" si="6"/>
        <v>0.35851</v>
      </c>
      <c r="I74" s="10">
        <v>0</v>
      </c>
    </row>
    <row r="75" spans="1:9" ht="15.75" hidden="1" customHeight="1">
      <c r="A75" s="22"/>
      <c r="B75" s="11" t="s">
        <v>134</v>
      </c>
      <c r="C75" s="13" t="s">
        <v>31</v>
      </c>
      <c r="D75" s="11"/>
      <c r="E75" s="16">
        <v>3</v>
      </c>
      <c r="F75" s="10">
        <v>3</v>
      </c>
      <c r="G75" s="10">
        <v>99.85</v>
      </c>
      <c r="H75" s="82">
        <f>F75*G75/1000</f>
        <v>0.29954999999999993</v>
      </c>
      <c r="I75" s="10">
        <v>0</v>
      </c>
    </row>
    <row r="76" spans="1:9" ht="15.75" hidden="1" customHeight="1">
      <c r="A76" s="22"/>
      <c r="B76" s="11" t="s">
        <v>135</v>
      </c>
      <c r="C76" s="13" t="s">
        <v>31</v>
      </c>
      <c r="D76" s="11"/>
      <c r="E76" s="16">
        <v>2</v>
      </c>
      <c r="F76" s="10">
        <v>2</v>
      </c>
      <c r="G76" s="10">
        <v>120.26</v>
      </c>
      <c r="H76" s="82">
        <f>F76*G76/1000</f>
        <v>0.24052000000000001</v>
      </c>
      <c r="I76" s="10">
        <v>0</v>
      </c>
    </row>
    <row r="77" spans="1:9" ht="15.75" hidden="1" customHeight="1">
      <c r="A77" s="22"/>
      <c r="B77" s="11" t="s">
        <v>127</v>
      </c>
      <c r="C77" s="13" t="s">
        <v>102</v>
      </c>
      <c r="D77" s="11"/>
      <c r="E77" s="16">
        <v>1</v>
      </c>
      <c r="F77" s="87">
        <f>SUM(E77)</f>
        <v>1</v>
      </c>
      <c r="G77" s="10">
        <v>911.85</v>
      </c>
      <c r="H77" s="82">
        <f t="shared" ref="H77" si="7">SUM(F77*G77/1000)</f>
        <v>0.91185000000000005</v>
      </c>
      <c r="I77" s="10">
        <v>0</v>
      </c>
    </row>
    <row r="78" spans="1:9" ht="15.75" hidden="1" customHeight="1">
      <c r="A78" s="22"/>
      <c r="B78" s="104" t="s">
        <v>80</v>
      </c>
      <c r="C78" s="13"/>
      <c r="D78" s="11"/>
      <c r="E78" s="16"/>
      <c r="F78" s="10"/>
      <c r="G78" s="10" t="s">
        <v>156</v>
      </c>
      <c r="H78" s="82" t="s">
        <v>156</v>
      </c>
      <c r="I78" s="10"/>
    </row>
    <row r="79" spans="1:9" ht="15.75" hidden="1" customHeight="1">
      <c r="A79" s="22"/>
      <c r="B79" s="49" t="s">
        <v>107</v>
      </c>
      <c r="C79" s="13" t="s">
        <v>81</v>
      </c>
      <c r="D79" s="11"/>
      <c r="E79" s="16"/>
      <c r="F79" s="10">
        <v>0.6</v>
      </c>
      <c r="G79" s="10">
        <v>2759.44</v>
      </c>
      <c r="H79" s="82">
        <f t="shared" si="6"/>
        <v>1.655664</v>
      </c>
      <c r="I79" s="10">
        <v>0</v>
      </c>
    </row>
    <row r="80" spans="1:9" ht="15.75" hidden="1" customHeight="1">
      <c r="A80" s="22"/>
      <c r="B80" s="70" t="s">
        <v>99</v>
      </c>
      <c r="C80" s="104"/>
      <c r="D80" s="24"/>
      <c r="E80" s="25"/>
      <c r="F80" s="90"/>
      <c r="G80" s="90"/>
      <c r="H80" s="105">
        <f>SUM(H56:H79)</f>
        <v>181.74382075399996</v>
      </c>
      <c r="I80" s="90"/>
    </row>
    <row r="81" spans="1:9" ht="15.75" hidden="1" customHeight="1">
      <c r="A81" s="22"/>
      <c r="B81" s="84" t="s">
        <v>105</v>
      </c>
      <c r="C81" s="13"/>
      <c r="D81" s="11"/>
      <c r="E81" s="77"/>
      <c r="F81" s="10">
        <v>1</v>
      </c>
      <c r="G81" s="10">
        <v>17508</v>
      </c>
      <c r="H81" s="82">
        <f>G81*F81/1000</f>
        <v>17.507999999999999</v>
      </c>
      <c r="I81" s="10">
        <v>0</v>
      </c>
    </row>
    <row r="82" spans="1:9" ht="15.75" customHeight="1">
      <c r="A82" s="153" t="s">
        <v>151</v>
      </c>
      <c r="B82" s="154"/>
      <c r="C82" s="154"/>
      <c r="D82" s="154"/>
      <c r="E82" s="154"/>
      <c r="F82" s="154"/>
      <c r="G82" s="154"/>
      <c r="H82" s="154"/>
      <c r="I82" s="155"/>
    </row>
    <row r="83" spans="1:9" ht="15.75" customHeight="1">
      <c r="A83" s="22">
        <v>19</v>
      </c>
      <c r="B83" s="84" t="s">
        <v>106</v>
      </c>
      <c r="C83" s="13" t="s">
        <v>56</v>
      </c>
      <c r="D83" s="106" t="s">
        <v>57</v>
      </c>
      <c r="E83" s="10">
        <v>4394.8999999999996</v>
      </c>
      <c r="F83" s="10">
        <f>SUM(E83*12)</f>
        <v>52738.799999999996</v>
      </c>
      <c r="G83" s="10">
        <v>2.1</v>
      </c>
      <c r="H83" s="82">
        <f>SUM(F83*G83/1000)</f>
        <v>110.75148</v>
      </c>
      <c r="I83" s="10">
        <f>F83/12*G83</f>
        <v>9229.2899999999991</v>
      </c>
    </row>
    <row r="84" spans="1:9" ht="31.5" customHeight="1">
      <c r="A84" s="22">
        <v>20</v>
      </c>
      <c r="B84" s="11" t="s">
        <v>82</v>
      </c>
      <c r="C84" s="13"/>
      <c r="D84" s="106" t="s">
        <v>57</v>
      </c>
      <c r="E84" s="86">
        <f>E83</f>
        <v>4394.8999999999996</v>
      </c>
      <c r="F84" s="10">
        <f>E84*12</f>
        <v>52738.799999999996</v>
      </c>
      <c r="G84" s="10">
        <v>1.63</v>
      </c>
      <c r="H84" s="82">
        <f>F84*G84/1000</f>
        <v>85.964243999999994</v>
      </c>
      <c r="I84" s="10">
        <f>F84/12*G84</f>
        <v>7163.686999999999</v>
      </c>
    </row>
    <row r="85" spans="1:9" ht="15.75" customHeight="1">
      <c r="A85" s="22"/>
      <c r="B85" s="38" t="s">
        <v>85</v>
      </c>
      <c r="C85" s="104"/>
      <c r="D85" s="103"/>
      <c r="E85" s="90"/>
      <c r="F85" s="90"/>
      <c r="G85" s="90"/>
      <c r="H85" s="105">
        <f>SUM(H84)</f>
        <v>85.964243999999994</v>
      </c>
      <c r="I85" s="90">
        <f>I16+I17+I18+I20+I21+I24+I25+I26+I27+I37+I38+I39+I40+I41+I42+I49+I56+I59+I83+I84</f>
        <v>82257.651473666672</v>
      </c>
    </row>
    <row r="86" spans="1:9" ht="15.75" customHeight="1">
      <c r="A86" s="167" t="s">
        <v>62</v>
      </c>
      <c r="B86" s="168"/>
      <c r="C86" s="168"/>
      <c r="D86" s="168"/>
      <c r="E86" s="168"/>
      <c r="F86" s="168"/>
      <c r="G86" s="168"/>
      <c r="H86" s="168"/>
      <c r="I86" s="169"/>
    </row>
    <row r="87" spans="1:9" ht="15.75" customHeight="1">
      <c r="A87" s="22">
        <v>21</v>
      </c>
      <c r="B87" s="68" t="s">
        <v>182</v>
      </c>
      <c r="C87" s="69" t="s">
        <v>144</v>
      </c>
      <c r="D87" s="49"/>
      <c r="E87" s="10"/>
      <c r="F87" s="10">
        <f>((3+3+3+10+5+10+15+3+10+10+3+15+3+3+10)/3)</f>
        <v>35.333333333333336</v>
      </c>
      <c r="G87" s="10">
        <v>1120.8900000000001</v>
      </c>
      <c r="H87" s="82">
        <f>G87*F87/1000</f>
        <v>39.604780000000005</v>
      </c>
      <c r="I87" s="10">
        <f>G87*((3+3+10)/3)</f>
        <v>5978.08</v>
      </c>
    </row>
    <row r="88" spans="1:9" ht="15.75" customHeight="1">
      <c r="A88" s="22">
        <v>22</v>
      </c>
      <c r="B88" s="56" t="s">
        <v>137</v>
      </c>
      <c r="C88" s="57" t="s">
        <v>102</v>
      </c>
      <c r="D88" s="49"/>
      <c r="E88" s="10"/>
      <c r="F88" s="10">
        <v>790</v>
      </c>
      <c r="G88" s="10">
        <v>53.42</v>
      </c>
      <c r="H88" s="82">
        <f t="shared" ref="H88:H89" si="8">G88*F88/1000</f>
        <v>42.201800000000006</v>
      </c>
      <c r="I88" s="10">
        <f>G88*79</f>
        <v>4220.18</v>
      </c>
    </row>
    <row r="89" spans="1:9" ht="31.5" customHeight="1">
      <c r="A89" s="22">
        <v>23</v>
      </c>
      <c r="B89" s="56" t="s">
        <v>194</v>
      </c>
      <c r="C89" s="57" t="s">
        <v>136</v>
      </c>
      <c r="D89" s="22"/>
      <c r="E89" s="16"/>
      <c r="F89" s="16">
        <v>3</v>
      </c>
      <c r="G89" s="16">
        <v>666.24</v>
      </c>
      <c r="H89" s="82">
        <f t="shared" si="8"/>
        <v>1.9987200000000001</v>
      </c>
      <c r="I89" s="10">
        <f>G89</f>
        <v>666.24</v>
      </c>
    </row>
    <row r="90" spans="1:9">
      <c r="A90" s="22"/>
      <c r="B90" s="45" t="s">
        <v>53</v>
      </c>
      <c r="C90" s="41"/>
      <c r="D90" s="51"/>
      <c r="E90" s="41">
        <v>1</v>
      </c>
      <c r="F90" s="41"/>
      <c r="G90" s="41"/>
      <c r="H90" s="41"/>
      <c r="I90" s="25">
        <f>SUM(I87:I89)</f>
        <v>10864.5</v>
      </c>
    </row>
    <row r="91" spans="1:9" ht="15.75" customHeight="1">
      <c r="A91" s="22"/>
      <c r="B91" s="49" t="s">
        <v>83</v>
      </c>
      <c r="C91" s="12"/>
      <c r="D91" s="12"/>
      <c r="E91" s="42"/>
      <c r="F91" s="42"/>
      <c r="G91" s="43"/>
      <c r="H91" s="43"/>
      <c r="I91" s="15">
        <v>0</v>
      </c>
    </row>
    <row r="92" spans="1:9" ht="15.75" customHeight="1">
      <c r="A92" s="52"/>
      <c r="B92" s="46" t="s">
        <v>192</v>
      </c>
      <c r="C92" s="30"/>
      <c r="D92" s="30"/>
      <c r="E92" s="30"/>
      <c r="F92" s="30"/>
      <c r="G92" s="30"/>
      <c r="H92" s="30"/>
      <c r="I92" s="44">
        <f>I85+I90</f>
        <v>93122.151473666672</v>
      </c>
    </row>
    <row r="93" spans="1:9" ht="15.75">
      <c r="A93" s="166" t="s">
        <v>195</v>
      </c>
      <c r="B93" s="166"/>
      <c r="C93" s="166"/>
      <c r="D93" s="166"/>
      <c r="E93" s="166"/>
      <c r="F93" s="166"/>
      <c r="G93" s="166"/>
      <c r="H93" s="166"/>
      <c r="I93" s="166"/>
    </row>
    <row r="94" spans="1:9" ht="15.75" customHeight="1">
      <c r="A94" s="67"/>
      <c r="B94" s="161" t="s">
        <v>196</v>
      </c>
      <c r="C94" s="161"/>
      <c r="D94" s="161"/>
      <c r="E94" s="161"/>
      <c r="F94" s="161"/>
      <c r="G94" s="161"/>
      <c r="H94" s="80"/>
      <c r="I94" s="2"/>
    </row>
    <row r="95" spans="1:9" ht="15.75" customHeight="1">
      <c r="A95" s="71"/>
      <c r="B95" s="157" t="s">
        <v>6</v>
      </c>
      <c r="C95" s="157"/>
      <c r="D95" s="157"/>
      <c r="E95" s="157"/>
      <c r="F95" s="157"/>
      <c r="G95" s="157"/>
      <c r="H95" s="17"/>
      <c r="I95" s="4"/>
    </row>
    <row r="96" spans="1:9" ht="15.75" customHeight="1">
      <c r="A96" s="7"/>
      <c r="B96" s="7"/>
      <c r="C96" s="7"/>
      <c r="D96" s="7"/>
      <c r="E96" s="7"/>
      <c r="F96" s="7"/>
      <c r="G96" s="7"/>
      <c r="H96" s="7"/>
      <c r="I96" s="7"/>
    </row>
    <row r="97" spans="1:9" ht="15.75" customHeight="1">
      <c r="A97" s="162" t="s">
        <v>7</v>
      </c>
      <c r="B97" s="162"/>
      <c r="C97" s="162"/>
      <c r="D97" s="162"/>
      <c r="E97" s="162"/>
      <c r="F97" s="162"/>
      <c r="G97" s="162"/>
      <c r="H97" s="162"/>
      <c r="I97" s="162"/>
    </row>
    <row r="98" spans="1:9" ht="15.75" customHeight="1">
      <c r="A98" s="162" t="s">
        <v>8</v>
      </c>
      <c r="B98" s="162"/>
      <c r="C98" s="162"/>
      <c r="D98" s="162"/>
      <c r="E98" s="162"/>
      <c r="F98" s="162"/>
      <c r="G98" s="162"/>
      <c r="H98" s="162"/>
      <c r="I98" s="162"/>
    </row>
    <row r="99" spans="1:9" ht="15.75">
      <c r="A99" s="163" t="s">
        <v>63</v>
      </c>
      <c r="B99" s="163"/>
      <c r="C99" s="163"/>
      <c r="D99" s="163"/>
      <c r="E99" s="163"/>
      <c r="F99" s="163"/>
      <c r="G99" s="163"/>
      <c r="H99" s="163"/>
      <c r="I99" s="163"/>
    </row>
    <row r="100" spans="1:9" ht="15.75" customHeight="1">
      <c r="A100" s="8"/>
    </row>
    <row r="101" spans="1:9" ht="15.75">
      <c r="A101" s="164" t="s">
        <v>9</v>
      </c>
      <c r="B101" s="164"/>
      <c r="C101" s="164"/>
      <c r="D101" s="164"/>
      <c r="E101" s="164"/>
      <c r="F101" s="164"/>
      <c r="G101" s="164"/>
      <c r="H101" s="164"/>
      <c r="I101" s="164"/>
    </row>
    <row r="102" spans="1:9" ht="15.75" customHeight="1">
      <c r="A102" s="3"/>
    </row>
    <row r="103" spans="1:9" ht="15.75">
      <c r="B103" s="74" t="s">
        <v>10</v>
      </c>
      <c r="C103" s="156" t="s">
        <v>150</v>
      </c>
      <c r="D103" s="156"/>
      <c r="E103" s="156"/>
      <c r="F103" s="78"/>
      <c r="I103" s="75"/>
    </row>
    <row r="104" spans="1:9">
      <c r="A104" s="71"/>
      <c r="C104" s="157" t="s">
        <v>11</v>
      </c>
      <c r="D104" s="157"/>
      <c r="E104" s="157"/>
      <c r="F104" s="17"/>
      <c r="I104" s="73" t="s">
        <v>12</v>
      </c>
    </row>
    <row r="105" spans="1:9" ht="15.75">
      <c r="A105" s="18"/>
      <c r="C105" s="9"/>
      <c r="D105" s="9"/>
      <c r="G105" s="9"/>
      <c r="H105" s="9"/>
    </row>
    <row r="106" spans="1:9" ht="15.75" customHeight="1">
      <c r="B106" s="74" t="s">
        <v>13</v>
      </c>
      <c r="C106" s="158"/>
      <c r="D106" s="158"/>
      <c r="E106" s="158"/>
      <c r="F106" s="79"/>
      <c r="I106" s="75"/>
    </row>
    <row r="107" spans="1:9" ht="15.75" customHeight="1">
      <c r="A107" s="71"/>
      <c r="C107" s="159" t="s">
        <v>11</v>
      </c>
      <c r="D107" s="159"/>
      <c r="E107" s="159"/>
      <c r="F107" s="71"/>
      <c r="I107" s="73" t="s">
        <v>12</v>
      </c>
    </row>
    <row r="108" spans="1:9" ht="15.75" customHeight="1">
      <c r="A108" s="3" t="s">
        <v>14</v>
      </c>
    </row>
    <row r="109" spans="1:9">
      <c r="A109" s="160" t="s">
        <v>15</v>
      </c>
      <c r="B109" s="160"/>
      <c r="C109" s="160"/>
      <c r="D109" s="160"/>
      <c r="E109" s="160"/>
      <c r="F109" s="160"/>
      <c r="G109" s="160"/>
      <c r="H109" s="160"/>
      <c r="I109" s="160"/>
    </row>
    <row r="110" spans="1:9" ht="45" customHeight="1">
      <c r="A110" s="152" t="s">
        <v>16</v>
      </c>
      <c r="B110" s="152"/>
      <c r="C110" s="152"/>
      <c r="D110" s="152"/>
      <c r="E110" s="152"/>
      <c r="F110" s="152"/>
      <c r="G110" s="152"/>
      <c r="H110" s="152"/>
      <c r="I110" s="152"/>
    </row>
    <row r="111" spans="1:9" ht="30" customHeight="1">
      <c r="A111" s="152" t="s">
        <v>17</v>
      </c>
      <c r="B111" s="152"/>
      <c r="C111" s="152"/>
      <c r="D111" s="152"/>
      <c r="E111" s="152"/>
      <c r="F111" s="152"/>
      <c r="G111" s="152"/>
      <c r="H111" s="152"/>
      <c r="I111" s="152"/>
    </row>
    <row r="112" spans="1:9" ht="30" customHeight="1">
      <c r="A112" s="152" t="s">
        <v>21</v>
      </c>
      <c r="B112" s="152"/>
      <c r="C112" s="152"/>
      <c r="D112" s="152"/>
      <c r="E112" s="152"/>
      <c r="F112" s="152"/>
      <c r="G112" s="152"/>
      <c r="H112" s="152"/>
      <c r="I112" s="152"/>
    </row>
    <row r="113" spans="1:9" ht="15" customHeight="1">
      <c r="A113" s="152" t="s">
        <v>20</v>
      </c>
      <c r="B113" s="152"/>
      <c r="C113" s="152"/>
      <c r="D113" s="152"/>
      <c r="E113" s="152"/>
      <c r="F113" s="152"/>
      <c r="G113" s="152"/>
      <c r="H113" s="152"/>
      <c r="I113" s="152"/>
    </row>
  </sheetData>
  <mergeCells count="28">
    <mergeCell ref="A111:I111"/>
    <mergeCell ref="A112:I112"/>
    <mergeCell ref="A113:I113"/>
    <mergeCell ref="C103:E103"/>
    <mergeCell ref="C104:E104"/>
    <mergeCell ref="C106:E106"/>
    <mergeCell ref="C107:E107"/>
    <mergeCell ref="A109:I109"/>
    <mergeCell ref="A110:I110"/>
    <mergeCell ref="A101:I101"/>
    <mergeCell ref="A15:I15"/>
    <mergeCell ref="A28:I28"/>
    <mergeCell ref="A43:I43"/>
    <mergeCell ref="A54:I54"/>
    <mergeCell ref="A82:I82"/>
    <mergeCell ref="A93:I93"/>
    <mergeCell ref="B94:G94"/>
    <mergeCell ref="B95:G95"/>
    <mergeCell ref="A97:I97"/>
    <mergeCell ref="A98:I98"/>
    <mergeCell ref="A99:I99"/>
    <mergeCell ref="A86:I86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91</v>
      </c>
      <c r="I1" s="19"/>
    </row>
    <row r="2" spans="1:9" ht="15.75">
      <c r="A2" s="21" t="s">
        <v>64</v>
      </c>
    </row>
    <row r="3" spans="1:9" ht="15.75">
      <c r="A3" s="171" t="s">
        <v>173</v>
      </c>
      <c r="B3" s="171"/>
      <c r="C3" s="171"/>
      <c r="D3" s="171"/>
      <c r="E3" s="171"/>
      <c r="F3" s="171"/>
      <c r="G3" s="171"/>
      <c r="H3" s="171"/>
      <c r="I3" s="171"/>
    </row>
    <row r="4" spans="1:9" ht="31.5" customHeight="1">
      <c r="A4" s="172" t="s">
        <v>143</v>
      </c>
      <c r="B4" s="172"/>
      <c r="C4" s="172"/>
      <c r="D4" s="172"/>
      <c r="E4" s="172"/>
      <c r="F4" s="172"/>
      <c r="G4" s="172"/>
      <c r="H4" s="172"/>
      <c r="I4" s="172"/>
    </row>
    <row r="5" spans="1:9" ht="15.75">
      <c r="A5" s="171" t="s">
        <v>197</v>
      </c>
      <c r="B5" s="173"/>
      <c r="C5" s="173"/>
      <c r="D5" s="173"/>
      <c r="E5" s="173"/>
      <c r="F5" s="173"/>
      <c r="G5" s="173"/>
      <c r="H5" s="173"/>
      <c r="I5" s="173"/>
    </row>
    <row r="6" spans="1:9" ht="15.75">
      <c r="A6" s="1"/>
      <c r="B6" s="72"/>
      <c r="C6" s="72"/>
      <c r="D6" s="72"/>
      <c r="E6" s="72"/>
      <c r="F6" s="72"/>
      <c r="G6" s="72"/>
      <c r="H6" s="72"/>
      <c r="I6" s="23">
        <v>42825</v>
      </c>
    </row>
    <row r="7" spans="1:9" ht="15.75">
      <c r="B7" s="74"/>
      <c r="C7" s="74"/>
      <c r="D7" s="74"/>
      <c r="E7" s="2"/>
      <c r="F7" s="2"/>
      <c r="G7" s="2"/>
      <c r="H7" s="2"/>
    </row>
    <row r="8" spans="1:9" ht="78.75" customHeight="1">
      <c r="A8" s="174" t="s">
        <v>147</v>
      </c>
      <c r="B8" s="174"/>
      <c r="C8" s="174"/>
      <c r="D8" s="174"/>
      <c r="E8" s="174"/>
      <c r="F8" s="174"/>
      <c r="G8" s="174"/>
      <c r="H8" s="174"/>
      <c r="I8" s="174"/>
    </row>
    <row r="9" spans="1:9" ht="15.75">
      <c r="A9" s="3"/>
    </row>
    <row r="10" spans="1:9" ht="47.25" customHeight="1">
      <c r="A10" s="175" t="s">
        <v>299</v>
      </c>
      <c r="B10" s="175"/>
      <c r="C10" s="175"/>
      <c r="D10" s="175"/>
      <c r="E10" s="175"/>
      <c r="F10" s="175"/>
      <c r="G10" s="175"/>
      <c r="H10" s="175"/>
      <c r="I10" s="17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70" t="s">
        <v>61</v>
      </c>
      <c r="B14" s="170"/>
      <c r="C14" s="170"/>
      <c r="D14" s="170"/>
      <c r="E14" s="170"/>
      <c r="F14" s="170"/>
      <c r="G14" s="170"/>
      <c r="H14" s="170"/>
      <c r="I14" s="170"/>
    </row>
    <row r="15" spans="1:9" ht="15" customHeight="1">
      <c r="A15" s="165" t="s">
        <v>4</v>
      </c>
      <c r="B15" s="165"/>
      <c r="C15" s="165"/>
      <c r="D15" s="165"/>
      <c r="E15" s="165"/>
      <c r="F15" s="165"/>
      <c r="G15" s="165"/>
      <c r="H15" s="165"/>
      <c r="I15" s="165"/>
    </row>
    <row r="16" spans="1:9" ht="31.5" customHeight="1">
      <c r="A16" s="22">
        <v>1</v>
      </c>
      <c r="B16" s="84" t="s">
        <v>109</v>
      </c>
      <c r="C16" s="85" t="s">
        <v>93</v>
      </c>
      <c r="D16" s="84" t="s">
        <v>110</v>
      </c>
      <c r="E16" s="86">
        <v>121.14</v>
      </c>
      <c r="F16" s="87">
        <f>SUM(E16*156/100)</f>
        <v>188.97839999999999</v>
      </c>
      <c r="G16" s="87">
        <v>175.38</v>
      </c>
      <c r="H16" s="88">
        <f t="shared" ref="H16:H25" si="0">SUM(F16*G16/1000)</f>
        <v>33.143031792000002</v>
      </c>
      <c r="I16" s="10">
        <f>F16/12*G16</f>
        <v>2761.9193159999995</v>
      </c>
    </row>
    <row r="17" spans="1:9" ht="31.5" customHeight="1">
      <c r="A17" s="22">
        <v>2</v>
      </c>
      <c r="B17" s="84" t="s">
        <v>111</v>
      </c>
      <c r="C17" s="85" t="s">
        <v>93</v>
      </c>
      <c r="D17" s="84" t="s">
        <v>112</v>
      </c>
      <c r="E17" s="86">
        <v>484.56</v>
      </c>
      <c r="F17" s="87">
        <f>SUM(E17*104/100)</f>
        <v>503.94239999999996</v>
      </c>
      <c r="G17" s="87">
        <v>175.38</v>
      </c>
      <c r="H17" s="88">
        <f t="shared" si="0"/>
        <v>88.381418111999992</v>
      </c>
      <c r="I17" s="10">
        <f>F17/12*G17</f>
        <v>7365.118175999999</v>
      </c>
    </row>
    <row r="18" spans="1:9" ht="31.5" customHeight="1">
      <c r="A18" s="22">
        <v>3</v>
      </c>
      <c r="B18" s="84" t="s">
        <v>113</v>
      </c>
      <c r="C18" s="85" t="s">
        <v>93</v>
      </c>
      <c r="D18" s="84" t="s">
        <v>129</v>
      </c>
      <c r="E18" s="86">
        <f>SUM(E16+E17)</f>
        <v>605.70000000000005</v>
      </c>
      <c r="F18" s="87">
        <f>SUM(E18*24/100)</f>
        <v>145.36800000000002</v>
      </c>
      <c r="G18" s="87">
        <v>504.5</v>
      </c>
      <c r="H18" s="88">
        <f t="shared" si="0"/>
        <v>73.338156000000012</v>
      </c>
      <c r="I18" s="10">
        <f>F18/12*G18</f>
        <v>6111.5130000000008</v>
      </c>
    </row>
    <row r="19" spans="1:9" ht="15.75" hidden="1" customHeight="1">
      <c r="A19" s="22"/>
      <c r="B19" s="84" t="s">
        <v>114</v>
      </c>
      <c r="C19" s="85" t="s">
        <v>115</v>
      </c>
      <c r="D19" s="84" t="s">
        <v>116</v>
      </c>
      <c r="E19" s="86">
        <v>38.4</v>
      </c>
      <c r="F19" s="87">
        <f>SUM(E19/10)</f>
        <v>3.84</v>
      </c>
      <c r="G19" s="87">
        <v>170.16</v>
      </c>
      <c r="H19" s="88">
        <f t="shared" si="0"/>
        <v>0.65341439999999995</v>
      </c>
      <c r="I19" s="10">
        <v>0</v>
      </c>
    </row>
    <row r="20" spans="1:9" ht="15.75" customHeight="1">
      <c r="A20" s="22">
        <v>4</v>
      </c>
      <c r="B20" s="84" t="s">
        <v>117</v>
      </c>
      <c r="C20" s="85" t="s">
        <v>93</v>
      </c>
      <c r="D20" s="84" t="s">
        <v>30</v>
      </c>
      <c r="E20" s="86">
        <v>58.4</v>
      </c>
      <c r="F20" s="87">
        <f>SUM(E20*12/100)</f>
        <v>7.0079999999999991</v>
      </c>
      <c r="G20" s="87">
        <v>217.88</v>
      </c>
      <c r="H20" s="88">
        <f t="shared" si="0"/>
        <v>1.5269030399999997</v>
      </c>
      <c r="I20" s="10">
        <f>F20/12*G20</f>
        <v>127.24191999999999</v>
      </c>
    </row>
    <row r="21" spans="1:9" ht="15.75" customHeight="1">
      <c r="A21" s="22">
        <v>5</v>
      </c>
      <c r="B21" s="84" t="s">
        <v>118</v>
      </c>
      <c r="C21" s="85" t="s">
        <v>93</v>
      </c>
      <c r="D21" s="84" t="s">
        <v>30</v>
      </c>
      <c r="E21" s="86">
        <v>9.08</v>
      </c>
      <c r="F21" s="87">
        <f>SUM(E21*12/100)</f>
        <v>1.0896000000000001</v>
      </c>
      <c r="G21" s="87">
        <v>216.12</v>
      </c>
      <c r="H21" s="88">
        <f t="shared" si="0"/>
        <v>0.23548435200000004</v>
      </c>
      <c r="I21" s="10">
        <f>F21/12*G21</f>
        <v>19.623696000000002</v>
      </c>
    </row>
    <row r="22" spans="1:9" ht="15.75" hidden="1" customHeight="1">
      <c r="A22" s="22"/>
      <c r="B22" s="84" t="s">
        <v>120</v>
      </c>
      <c r="C22" s="85" t="s">
        <v>54</v>
      </c>
      <c r="D22" s="84" t="s">
        <v>116</v>
      </c>
      <c r="E22" s="86">
        <v>714</v>
      </c>
      <c r="F22" s="87">
        <f>SUM(E22/100)</f>
        <v>7.14</v>
      </c>
      <c r="G22" s="87">
        <v>269.26</v>
      </c>
      <c r="H22" s="88">
        <f t="shared" si="0"/>
        <v>1.9225163999999997</v>
      </c>
      <c r="I22" s="10">
        <v>0</v>
      </c>
    </row>
    <row r="23" spans="1:9" ht="15.75" hidden="1" customHeight="1">
      <c r="A23" s="22"/>
      <c r="B23" s="84" t="s">
        <v>121</v>
      </c>
      <c r="C23" s="85" t="s">
        <v>54</v>
      </c>
      <c r="D23" s="84" t="s">
        <v>116</v>
      </c>
      <c r="E23" s="89">
        <v>96.6</v>
      </c>
      <c r="F23" s="87">
        <f>SUM(E23/100)</f>
        <v>0.96599999999999997</v>
      </c>
      <c r="G23" s="87">
        <v>44.29</v>
      </c>
      <c r="H23" s="88">
        <f t="shared" si="0"/>
        <v>4.2784139999999998E-2</v>
      </c>
      <c r="I23" s="10">
        <v>0</v>
      </c>
    </row>
    <row r="24" spans="1:9" ht="15.75" customHeight="1">
      <c r="A24" s="22">
        <v>6</v>
      </c>
      <c r="B24" s="84" t="s">
        <v>122</v>
      </c>
      <c r="C24" s="85" t="s">
        <v>54</v>
      </c>
      <c r="D24" s="84" t="s">
        <v>141</v>
      </c>
      <c r="E24" s="86">
        <v>32</v>
      </c>
      <c r="F24" s="87">
        <f>E24*12/100</f>
        <v>3.84</v>
      </c>
      <c r="G24" s="87">
        <v>389.42</v>
      </c>
      <c r="H24" s="88">
        <f t="shared" si="0"/>
        <v>1.4953728000000002</v>
      </c>
      <c r="I24" s="10">
        <f>F24/12*G24</f>
        <v>124.6144</v>
      </c>
    </row>
    <row r="25" spans="1:9" ht="15.75" customHeight="1">
      <c r="A25" s="22">
        <v>7</v>
      </c>
      <c r="B25" s="84" t="s">
        <v>124</v>
      </c>
      <c r="C25" s="85" t="s">
        <v>54</v>
      </c>
      <c r="D25" s="84" t="s">
        <v>142</v>
      </c>
      <c r="E25" s="86">
        <v>17</v>
      </c>
      <c r="F25" s="87">
        <f>SUM(E25*12/100)</f>
        <v>2.04</v>
      </c>
      <c r="G25" s="87">
        <v>520.79999999999995</v>
      </c>
      <c r="H25" s="88">
        <f t="shared" si="0"/>
        <v>1.062432</v>
      </c>
      <c r="I25" s="10">
        <f>F25/12*G25</f>
        <v>88.536000000000001</v>
      </c>
    </row>
    <row r="26" spans="1:9" ht="15.75" customHeight="1">
      <c r="A26" s="22">
        <v>8</v>
      </c>
      <c r="B26" s="84" t="s">
        <v>66</v>
      </c>
      <c r="C26" s="85" t="s">
        <v>33</v>
      </c>
      <c r="D26" s="84" t="s">
        <v>155</v>
      </c>
      <c r="E26" s="86">
        <v>0.1</v>
      </c>
      <c r="F26" s="87">
        <f>SUM(E26*365)</f>
        <v>36.5</v>
      </c>
      <c r="G26" s="87">
        <v>147.03</v>
      </c>
      <c r="H26" s="88">
        <f>SUM(F26*G26/1000)</f>
        <v>5.3665950000000002</v>
      </c>
      <c r="I26" s="10">
        <f>F26/12*G26</f>
        <v>447.21625</v>
      </c>
    </row>
    <row r="27" spans="1:9" ht="15.75" customHeight="1">
      <c r="A27" s="22">
        <v>9</v>
      </c>
      <c r="B27" s="93" t="s">
        <v>23</v>
      </c>
      <c r="C27" s="85" t="s">
        <v>24</v>
      </c>
      <c r="D27" s="93" t="s">
        <v>156</v>
      </c>
      <c r="E27" s="86">
        <v>4394</v>
      </c>
      <c r="F27" s="87">
        <f>SUM(E27*12)</f>
        <v>52728</v>
      </c>
      <c r="G27" s="87">
        <v>4.53</v>
      </c>
      <c r="H27" s="88">
        <f>SUM(F27*G27/1000)</f>
        <v>238.85784000000004</v>
      </c>
      <c r="I27" s="10">
        <f>F27/12*G27</f>
        <v>19904.82</v>
      </c>
    </row>
    <row r="28" spans="1:9" ht="15.75" customHeight="1">
      <c r="A28" s="153" t="s">
        <v>90</v>
      </c>
      <c r="B28" s="154"/>
      <c r="C28" s="154"/>
      <c r="D28" s="154"/>
      <c r="E28" s="154"/>
      <c r="F28" s="154"/>
      <c r="G28" s="154"/>
      <c r="H28" s="154"/>
      <c r="I28" s="155"/>
    </row>
    <row r="29" spans="1:9" ht="15.75" hidden="1" customHeight="1">
      <c r="A29" s="22"/>
      <c r="B29" s="107" t="s">
        <v>28</v>
      </c>
      <c r="C29" s="85"/>
      <c r="D29" s="84"/>
      <c r="E29" s="86"/>
      <c r="F29" s="87"/>
      <c r="G29" s="87"/>
      <c r="H29" s="88"/>
      <c r="I29" s="10"/>
    </row>
    <row r="30" spans="1:9" ht="31.5" hidden="1" customHeight="1">
      <c r="A30" s="22">
        <v>10</v>
      </c>
      <c r="B30" s="84" t="s">
        <v>101</v>
      </c>
      <c r="C30" s="85" t="s">
        <v>95</v>
      </c>
      <c r="D30" s="84" t="s">
        <v>130</v>
      </c>
      <c r="E30" s="87">
        <v>2873.1</v>
      </c>
      <c r="F30" s="87">
        <f>SUM(E30*26/1000)</f>
        <v>74.700599999999994</v>
      </c>
      <c r="G30" s="87">
        <v>155.88999999999999</v>
      </c>
      <c r="H30" s="88">
        <f t="shared" ref="H30:H35" si="1">SUM(F30*G30/1000)</f>
        <v>11.645076533999998</v>
      </c>
      <c r="I30" s="10">
        <f t="shared" ref="I30:I33" si="2">F30/6*G30</f>
        <v>1940.8460889999997</v>
      </c>
    </row>
    <row r="31" spans="1:9" ht="31.5" hidden="1" customHeight="1">
      <c r="A31" s="22">
        <v>11</v>
      </c>
      <c r="B31" s="84" t="s">
        <v>169</v>
      </c>
      <c r="C31" s="85" t="s">
        <v>95</v>
      </c>
      <c r="D31" s="84" t="s">
        <v>125</v>
      </c>
      <c r="E31" s="87">
        <v>824.5</v>
      </c>
      <c r="F31" s="87">
        <f>SUM(E31*78/1000)</f>
        <v>64.311000000000007</v>
      </c>
      <c r="G31" s="87">
        <v>258.63</v>
      </c>
      <c r="H31" s="88">
        <f t="shared" si="1"/>
        <v>16.632753930000003</v>
      </c>
      <c r="I31" s="10">
        <f t="shared" si="2"/>
        <v>2772.1256550000003</v>
      </c>
    </row>
    <row r="32" spans="1:9" ht="15.75" hidden="1" customHeight="1">
      <c r="A32" s="22"/>
      <c r="B32" s="84" t="s">
        <v>27</v>
      </c>
      <c r="C32" s="85" t="s">
        <v>95</v>
      </c>
      <c r="D32" s="84" t="s">
        <v>55</v>
      </c>
      <c r="E32" s="87">
        <v>2873.1</v>
      </c>
      <c r="F32" s="87">
        <f>SUM(E32/1000)</f>
        <v>2.8731</v>
      </c>
      <c r="G32" s="87">
        <v>3020.33</v>
      </c>
      <c r="H32" s="88">
        <f t="shared" si="1"/>
        <v>8.6777101229999989</v>
      </c>
      <c r="I32" s="10">
        <f>F32*G32</f>
        <v>8677.7101229999989</v>
      </c>
    </row>
    <row r="33" spans="1:9" ht="15.75" hidden="1" customHeight="1">
      <c r="A33" s="22">
        <v>12</v>
      </c>
      <c r="B33" s="84" t="s">
        <v>100</v>
      </c>
      <c r="C33" s="85" t="s">
        <v>31</v>
      </c>
      <c r="D33" s="84" t="s">
        <v>65</v>
      </c>
      <c r="E33" s="92">
        <v>0.33333333333333331</v>
      </c>
      <c r="F33" s="87">
        <f>155/3</f>
        <v>51.666666666666664</v>
      </c>
      <c r="G33" s="87">
        <v>56.69</v>
      </c>
      <c r="H33" s="88">
        <f>SUM(G33*155/3/1000)</f>
        <v>2.9289833333333331</v>
      </c>
      <c r="I33" s="10">
        <f t="shared" si="2"/>
        <v>488.16388888888883</v>
      </c>
    </row>
    <row r="34" spans="1:9" ht="15.75" hidden="1" customHeight="1">
      <c r="A34" s="22"/>
      <c r="B34" s="84" t="s">
        <v>67</v>
      </c>
      <c r="C34" s="85" t="s">
        <v>33</v>
      </c>
      <c r="D34" s="84" t="s">
        <v>69</v>
      </c>
      <c r="E34" s="86"/>
      <c r="F34" s="87">
        <v>2</v>
      </c>
      <c r="G34" s="87">
        <v>191.32</v>
      </c>
      <c r="H34" s="88">
        <f t="shared" si="1"/>
        <v>0.38263999999999998</v>
      </c>
      <c r="I34" s="10">
        <v>0</v>
      </c>
    </row>
    <row r="35" spans="1:9" ht="15.75" hidden="1" customHeight="1">
      <c r="A35" s="22"/>
      <c r="B35" s="84" t="s">
        <v>68</v>
      </c>
      <c r="C35" s="85" t="s">
        <v>32</v>
      </c>
      <c r="D35" s="84" t="s">
        <v>69</v>
      </c>
      <c r="E35" s="86"/>
      <c r="F35" s="87">
        <v>3</v>
      </c>
      <c r="G35" s="87">
        <v>1136.33</v>
      </c>
      <c r="H35" s="88">
        <f t="shared" si="1"/>
        <v>3.4089899999999997</v>
      </c>
      <c r="I35" s="10">
        <v>0</v>
      </c>
    </row>
    <row r="36" spans="1:9" ht="15.75" customHeight="1">
      <c r="A36" s="22"/>
      <c r="B36" s="91" t="s">
        <v>5</v>
      </c>
      <c r="C36" s="85"/>
      <c r="D36" s="84"/>
      <c r="E36" s="86"/>
      <c r="F36" s="87"/>
      <c r="G36" s="87"/>
      <c r="H36" s="88" t="s">
        <v>156</v>
      </c>
      <c r="I36" s="10"/>
    </row>
    <row r="37" spans="1:9" ht="15.75" customHeight="1">
      <c r="A37" s="22">
        <v>10</v>
      </c>
      <c r="B37" s="84" t="s">
        <v>26</v>
      </c>
      <c r="C37" s="85" t="s">
        <v>32</v>
      </c>
      <c r="D37" s="84"/>
      <c r="E37" s="86"/>
      <c r="F37" s="87">
        <v>15</v>
      </c>
      <c r="G37" s="87">
        <v>1527.22</v>
      </c>
      <c r="H37" s="88">
        <f t="shared" ref="H37:H42" si="3">SUM(F37*G37/1000)</f>
        <v>22.908300000000001</v>
      </c>
      <c r="I37" s="10">
        <f t="shared" ref="I37:I42" si="4">F37/6*G37</f>
        <v>3818.05</v>
      </c>
    </row>
    <row r="38" spans="1:9" ht="15.75" customHeight="1">
      <c r="A38" s="22">
        <v>11</v>
      </c>
      <c r="B38" s="84" t="s">
        <v>70</v>
      </c>
      <c r="C38" s="85" t="s">
        <v>29</v>
      </c>
      <c r="D38" s="84" t="s">
        <v>131</v>
      </c>
      <c r="E38" s="87">
        <v>824.5</v>
      </c>
      <c r="F38" s="87">
        <f>SUM(E38*50/1000)</f>
        <v>41.225000000000001</v>
      </c>
      <c r="G38" s="87">
        <v>2102.71</v>
      </c>
      <c r="H38" s="88">
        <f t="shared" si="3"/>
        <v>86.684219749999997</v>
      </c>
      <c r="I38" s="10">
        <f t="shared" si="4"/>
        <v>14447.369958333335</v>
      </c>
    </row>
    <row r="39" spans="1:9" ht="15.75" customHeight="1">
      <c r="A39" s="22">
        <v>12</v>
      </c>
      <c r="B39" s="84" t="s">
        <v>71</v>
      </c>
      <c r="C39" s="85" t="s">
        <v>29</v>
      </c>
      <c r="D39" s="84" t="s">
        <v>94</v>
      </c>
      <c r="E39" s="87">
        <v>188</v>
      </c>
      <c r="F39" s="87">
        <f>SUM(E39*155/1000)</f>
        <v>29.14</v>
      </c>
      <c r="G39" s="87">
        <v>350.75</v>
      </c>
      <c r="H39" s="88">
        <f t="shared" si="3"/>
        <v>10.220855</v>
      </c>
      <c r="I39" s="10">
        <f t="shared" si="4"/>
        <v>1703.4758333333332</v>
      </c>
    </row>
    <row r="40" spans="1:9" ht="47.25" customHeight="1">
      <c r="A40" s="22">
        <v>13</v>
      </c>
      <c r="B40" s="84" t="s">
        <v>89</v>
      </c>
      <c r="C40" s="85" t="s">
        <v>95</v>
      </c>
      <c r="D40" s="84" t="s">
        <v>132</v>
      </c>
      <c r="E40" s="87">
        <v>188</v>
      </c>
      <c r="F40" s="87">
        <f>SUM(E40*12/1000)</f>
        <v>2.2559999999999998</v>
      </c>
      <c r="G40" s="87">
        <v>5803.28</v>
      </c>
      <c r="H40" s="88">
        <f t="shared" si="3"/>
        <v>13.092199679999998</v>
      </c>
      <c r="I40" s="10">
        <f t="shared" si="4"/>
        <v>2182.0332799999996</v>
      </c>
    </row>
    <row r="41" spans="1:9" ht="15.75" customHeight="1">
      <c r="A41" s="22">
        <v>14</v>
      </c>
      <c r="B41" s="84" t="s">
        <v>96</v>
      </c>
      <c r="C41" s="85" t="s">
        <v>95</v>
      </c>
      <c r="D41" s="84" t="s">
        <v>72</v>
      </c>
      <c r="E41" s="87">
        <v>188</v>
      </c>
      <c r="F41" s="87">
        <f>SUM(E41*45/1000)</f>
        <v>8.4600000000000009</v>
      </c>
      <c r="G41" s="87">
        <v>428.7</v>
      </c>
      <c r="H41" s="88">
        <f t="shared" si="3"/>
        <v>3.6268020000000001</v>
      </c>
      <c r="I41" s="10">
        <f t="shared" si="4"/>
        <v>604.4670000000001</v>
      </c>
    </row>
    <row r="42" spans="1:9" ht="15.75" customHeight="1">
      <c r="A42" s="22">
        <v>15</v>
      </c>
      <c r="B42" s="84" t="s">
        <v>73</v>
      </c>
      <c r="C42" s="85" t="s">
        <v>33</v>
      </c>
      <c r="D42" s="84"/>
      <c r="E42" s="86"/>
      <c r="F42" s="87">
        <v>0.9</v>
      </c>
      <c r="G42" s="87">
        <v>798</v>
      </c>
      <c r="H42" s="88">
        <f t="shared" si="3"/>
        <v>0.71820000000000006</v>
      </c>
      <c r="I42" s="10">
        <f t="shared" si="4"/>
        <v>119.69999999999999</v>
      </c>
    </row>
    <row r="43" spans="1:9" ht="15.75" hidden="1" customHeight="1">
      <c r="A43" s="153" t="s">
        <v>148</v>
      </c>
      <c r="B43" s="154"/>
      <c r="C43" s="154"/>
      <c r="D43" s="154"/>
      <c r="E43" s="154"/>
      <c r="F43" s="154"/>
      <c r="G43" s="154"/>
      <c r="H43" s="154"/>
      <c r="I43" s="155"/>
    </row>
    <row r="44" spans="1:9" ht="15.75" hidden="1" customHeight="1">
      <c r="A44" s="22"/>
      <c r="B44" s="84" t="s">
        <v>157</v>
      </c>
      <c r="C44" s="85" t="s">
        <v>95</v>
      </c>
      <c r="D44" s="84" t="s">
        <v>43</v>
      </c>
      <c r="E44" s="86">
        <v>1609.3</v>
      </c>
      <c r="F44" s="87">
        <f>SUM(E44*2/1000)</f>
        <v>3.2185999999999999</v>
      </c>
      <c r="G44" s="10">
        <v>910.17</v>
      </c>
      <c r="H44" s="88">
        <f t="shared" ref="H44:H53" si="5">SUM(F44*G44/1000)</f>
        <v>2.9294731619999999</v>
      </c>
      <c r="I44" s="10">
        <v>0</v>
      </c>
    </row>
    <row r="45" spans="1:9" ht="15.75" hidden="1" customHeight="1">
      <c r="A45" s="22"/>
      <c r="B45" s="84" t="s">
        <v>36</v>
      </c>
      <c r="C45" s="85" t="s">
        <v>95</v>
      </c>
      <c r="D45" s="84" t="s">
        <v>43</v>
      </c>
      <c r="E45" s="86">
        <v>742</v>
      </c>
      <c r="F45" s="87">
        <f>SUM(E45*2/1000)</f>
        <v>1.484</v>
      </c>
      <c r="G45" s="10">
        <v>579.48</v>
      </c>
      <c r="H45" s="88">
        <f t="shared" si="5"/>
        <v>0.85994831999999999</v>
      </c>
      <c r="I45" s="10">
        <v>0</v>
      </c>
    </row>
    <row r="46" spans="1:9" ht="15.75" hidden="1" customHeight="1">
      <c r="A46" s="22"/>
      <c r="B46" s="84" t="s">
        <v>37</v>
      </c>
      <c r="C46" s="85" t="s">
        <v>95</v>
      </c>
      <c r="D46" s="84" t="s">
        <v>43</v>
      </c>
      <c r="E46" s="86">
        <v>4989.8100000000004</v>
      </c>
      <c r="F46" s="87">
        <f>SUM(E46*2/1000)</f>
        <v>9.9796200000000006</v>
      </c>
      <c r="G46" s="10">
        <v>579.48</v>
      </c>
      <c r="H46" s="88">
        <f t="shared" si="5"/>
        <v>5.7829901976000002</v>
      </c>
      <c r="I46" s="10">
        <v>0</v>
      </c>
    </row>
    <row r="47" spans="1:9" ht="15.75" hidden="1" customHeight="1">
      <c r="A47" s="22"/>
      <c r="B47" s="84" t="s">
        <v>38</v>
      </c>
      <c r="C47" s="85" t="s">
        <v>95</v>
      </c>
      <c r="D47" s="84" t="s">
        <v>43</v>
      </c>
      <c r="E47" s="86">
        <v>2654.21</v>
      </c>
      <c r="F47" s="87">
        <f>SUM(E47*2/1000)</f>
        <v>5.3084199999999999</v>
      </c>
      <c r="G47" s="10">
        <v>606.77</v>
      </c>
      <c r="H47" s="88">
        <f t="shared" si="5"/>
        <v>3.2209900033999999</v>
      </c>
      <c r="I47" s="10">
        <v>0</v>
      </c>
    </row>
    <row r="48" spans="1:9" ht="15.75" hidden="1" customHeight="1">
      <c r="A48" s="22"/>
      <c r="B48" s="84" t="s">
        <v>34</v>
      </c>
      <c r="C48" s="85" t="s">
        <v>35</v>
      </c>
      <c r="D48" s="84" t="s">
        <v>43</v>
      </c>
      <c r="E48" s="86">
        <v>128.53</v>
      </c>
      <c r="F48" s="87">
        <f>SUM(E48*2/100)</f>
        <v>2.5706000000000002</v>
      </c>
      <c r="G48" s="10">
        <v>72.81</v>
      </c>
      <c r="H48" s="88">
        <f t="shared" si="5"/>
        <v>0.18716538600000002</v>
      </c>
      <c r="I48" s="10">
        <v>0</v>
      </c>
    </row>
    <row r="49" spans="1:9" ht="15.75" hidden="1" customHeight="1">
      <c r="A49" s="22">
        <v>16</v>
      </c>
      <c r="B49" s="84" t="s">
        <v>58</v>
      </c>
      <c r="C49" s="85" t="s">
        <v>95</v>
      </c>
      <c r="D49" s="84" t="s">
        <v>170</v>
      </c>
      <c r="E49" s="86">
        <v>2026.8</v>
      </c>
      <c r="F49" s="87">
        <f>SUM(E49*5/1000)</f>
        <v>10.134</v>
      </c>
      <c r="G49" s="10">
        <v>1213.55</v>
      </c>
      <c r="H49" s="88">
        <f t="shared" si="5"/>
        <v>12.2981157</v>
      </c>
      <c r="I49" s="10">
        <f>F49/5*G49</f>
        <v>2459.6231400000001</v>
      </c>
    </row>
    <row r="50" spans="1:9" ht="31.5" hidden="1" customHeight="1">
      <c r="A50" s="22"/>
      <c r="B50" s="84" t="s">
        <v>97</v>
      </c>
      <c r="C50" s="85" t="s">
        <v>95</v>
      </c>
      <c r="D50" s="84" t="s">
        <v>43</v>
      </c>
      <c r="E50" s="86">
        <v>2026.8</v>
      </c>
      <c r="F50" s="87">
        <f>SUM(E50*2/1000)</f>
        <v>4.0536000000000003</v>
      </c>
      <c r="G50" s="10">
        <v>1213.55</v>
      </c>
      <c r="H50" s="88">
        <f t="shared" si="5"/>
        <v>4.9192462800000003</v>
      </c>
      <c r="I50" s="10">
        <v>0</v>
      </c>
    </row>
    <row r="51" spans="1:9" ht="31.5" hidden="1" customHeight="1">
      <c r="A51" s="22"/>
      <c r="B51" s="84" t="s">
        <v>98</v>
      </c>
      <c r="C51" s="85" t="s">
        <v>39</v>
      </c>
      <c r="D51" s="84" t="s">
        <v>43</v>
      </c>
      <c r="E51" s="86">
        <v>40</v>
      </c>
      <c r="F51" s="87">
        <f>SUM(E51*2/100)</f>
        <v>0.8</v>
      </c>
      <c r="G51" s="10">
        <v>2730.49</v>
      </c>
      <c r="H51" s="88">
        <f t="shared" si="5"/>
        <v>2.1843919999999999</v>
      </c>
      <c r="I51" s="10">
        <v>0</v>
      </c>
    </row>
    <row r="52" spans="1:9" ht="15.75" hidden="1" customHeight="1">
      <c r="A52" s="22"/>
      <c r="B52" s="84" t="s">
        <v>40</v>
      </c>
      <c r="C52" s="85" t="s">
        <v>41</v>
      </c>
      <c r="D52" s="84" t="s">
        <v>43</v>
      </c>
      <c r="E52" s="86">
        <v>1</v>
      </c>
      <c r="F52" s="87">
        <v>0.02</v>
      </c>
      <c r="G52" s="10">
        <v>5652.13</v>
      </c>
      <c r="H52" s="88">
        <f t="shared" si="5"/>
        <v>0.11304260000000001</v>
      </c>
      <c r="I52" s="10">
        <v>0</v>
      </c>
    </row>
    <row r="53" spans="1:9" ht="15.75" hidden="1" customHeight="1">
      <c r="A53" s="22">
        <v>17</v>
      </c>
      <c r="B53" s="84" t="s">
        <v>42</v>
      </c>
      <c r="C53" s="85" t="s">
        <v>102</v>
      </c>
      <c r="D53" s="84" t="s">
        <v>74</v>
      </c>
      <c r="E53" s="86">
        <v>160</v>
      </c>
      <c r="F53" s="87">
        <f>SUM(E53)*3</f>
        <v>480</v>
      </c>
      <c r="G53" s="10">
        <v>65.67</v>
      </c>
      <c r="H53" s="88">
        <f t="shared" si="5"/>
        <v>31.521600000000003</v>
      </c>
      <c r="I53" s="10">
        <f>E53*G53</f>
        <v>10507.2</v>
      </c>
    </row>
    <row r="54" spans="1:9" ht="15.75" customHeight="1">
      <c r="A54" s="153" t="s">
        <v>152</v>
      </c>
      <c r="B54" s="154"/>
      <c r="C54" s="154"/>
      <c r="D54" s="154"/>
      <c r="E54" s="154"/>
      <c r="F54" s="154"/>
      <c r="G54" s="154"/>
      <c r="H54" s="154"/>
      <c r="I54" s="155"/>
    </row>
    <row r="55" spans="1:9" ht="15.75" customHeight="1">
      <c r="A55" s="22"/>
      <c r="B55" s="107" t="s">
        <v>44</v>
      </c>
      <c r="C55" s="85"/>
      <c r="D55" s="84"/>
      <c r="E55" s="86"/>
      <c r="F55" s="87"/>
      <c r="G55" s="87"/>
      <c r="H55" s="88"/>
      <c r="I55" s="10"/>
    </row>
    <row r="56" spans="1:9" ht="31.5" customHeight="1">
      <c r="A56" s="22">
        <v>16</v>
      </c>
      <c r="B56" s="84" t="s">
        <v>158</v>
      </c>
      <c r="C56" s="85" t="s">
        <v>93</v>
      </c>
      <c r="D56" s="84" t="s">
        <v>126</v>
      </c>
      <c r="E56" s="86">
        <v>176.93</v>
      </c>
      <c r="F56" s="87">
        <f>SUM(E56*6/100)</f>
        <v>10.6158</v>
      </c>
      <c r="G56" s="10">
        <v>1547.28</v>
      </c>
      <c r="H56" s="88">
        <f>SUM(F56*G56/1000)</f>
        <v>16.425615023999999</v>
      </c>
      <c r="I56" s="10">
        <f>F56/6*G56</f>
        <v>2737.602504</v>
      </c>
    </row>
    <row r="57" spans="1:9" ht="15.75" customHeight="1">
      <c r="A57" s="22"/>
      <c r="B57" s="107" t="s">
        <v>45</v>
      </c>
      <c r="C57" s="85"/>
      <c r="D57" s="84"/>
      <c r="E57" s="86"/>
      <c r="F57" s="87"/>
      <c r="G57" s="109"/>
      <c r="H57" s="88"/>
      <c r="I57" s="10"/>
    </row>
    <row r="58" spans="1:9" ht="15.75" hidden="1" customHeight="1">
      <c r="A58" s="22"/>
      <c r="B58" s="84" t="s">
        <v>46</v>
      </c>
      <c r="C58" s="85" t="s">
        <v>93</v>
      </c>
      <c r="D58" s="84" t="s">
        <v>55</v>
      </c>
      <c r="E58" s="86">
        <v>2026.8</v>
      </c>
      <c r="F58" s="88">
        <v>20.268000000000001</v>
      </c>
      <c r="G58" s="10">
        <v>793.61</v>
      </c>
      <c r="H58" s="94">
        <v>16.085000000000001</v>
      </c>
      <c r="I58" s="10">
        <v>0</v>
      </c>
    </row>
    <row r="59" spans="1:9" ht="15.75" customHeight="1">
      <c r="A59" s="22">
        <v>17</v>
      </c>
      <c r="B59" s="84" t="s">
        <v>138</v>
      </c>
      <c r="C59" s="85" t="s">
        <v>25</v>
      </c>
      <c r="D59" s="84" t="s">
        <v>139</v>
      </c>
      <c r="E59" s="86">
        <v>325</v>
      </c>
      <c r="F59" s="87">
        <f>E59*12</f>
        <v>3900</v>
      </c>
      <c r="G59" s="110">
        <v>2.59</v>
      </c>
      <c r="H59" s="88">
        <f>F59*G59/1000</f>
        <v>10.101000000000001</v>
      </c>
      <c r="I59" s="10">
        <f>F59/12*G59</f>
        <v>841.75</v>
      </c>
    </row>
    <row r="60" spans="1:9" ht="15.75" hidden="1" customHeight="1">
      <c r="A60" s="22"/>
      <c r="B60" s="107" t="s">
        <v>159</v>
      </c>
      <c r="C60" s="85"/>
      <c r="D60" s="84"/>
      <c r="E60" s="86"/>
      <c r="F60" s="87"/>
      <c r="G60" s="87"/>
      <c r="H60" s="88" t="s">
        <v>156</v>
      </c>
      <c r="I60" s="10"/>
    </row>
    <row r="61" spans="1:9" ht="15.75" hidden="1" customHeight="1">
      <c r="A61" s="22"/>
      <c r="B61" s="84" t="s">
        <v>171</v>
      </c>
      <c r="C61" s="85" t="s">
        <v>102</v>
      </c>
      <c r="D61" s="84" t="s">
        <v>55</v>
      </c>
      <c r="E61" s="86">
        <v>4</v>
      </c>
      <c r="F61" s="87">
        <f>SUM(E61)</f>
        <v>4</v>
      </c>
      <c r="G61" s="95">
        <v>237.75</v>
      </c>
      <c r="H61" s="88">
        <f t="shared" ref="H61:H79" si="6">SUM(F61*G61/1000)</f>
        <v>0.95099999999999996</v>
      </c>
      <c r="I61" s="10">
        <v>0</v>
      </c>
    </row>
    <row r="62" spans="1:9" ht="15.75" hidden="1" customHeight="1">
      <c r="A62" s="22"/>
      <c r="B62" s="108" t="s">
        <v>47</v>
      </c>
      <c r="C62" s="96"/>
      <c r="D62" s="97"/>
      <c r="E62" s="98"/>
      <c r="F62" s="99"/>
      <c r="G62" s="99"/>
      <c r="H62" s="100" t="s">
        <v>156</v>
      </c>
      <c r="I62" s="10"/>
    </row>
    <row r="63" spans="1:9" ht="15.75" hidden="1" customHeight="1">
      <c r="A63" s="22">
        <v>20</v>
      </c>
      <c r="B63" s="11" t="s">
        <v>48</v>
      </c>
      <c r="C63" s="13" t="s">
        <v>102</v>
      </c>
      <c r="D63" s="11" t="s">
        <v>69</v>
      </c>
      <c r="E63" s="16">
        <v>30</v>
      </c>
      <c r="F63" s="87">
        <v>30</v>
      </c>
      <c r="G63" s="10">
        <v>222.4</v>
      </c>
      <c r="H63" s="82">
        <f t="shared" si="6"/>
        <v>6.6719999999999997</v>
      </c>
      <c r="I63" s="10">
        <f>G63</f>
        <v>222.4</v>
      </c>
    </row>
    <row r="64" spans="1:9" ht="15.75" hidden="1" customHeight="1">
      <c r="A64" s="22">
        <v>21</v>
      </c>
      <c r="B64" s="11" t="s">
        <v>49</v>
      </c>
      <c r="C64" s="13" t="s">
        <v>102</v>
      </c>
      <c r="D64" s="11" t="s">
        <v>69</v>
      </c>
      <c r="E64" s="16">
        <v>5</v>
      </c>
      <c r="F64" s="87">
        <v>5</v>
      </c>
      <c r="G64" s="10">
        <v>76.25</v>
      </c>
      <c r="H64" s="82">
        <f t="shared" si="6"/>
        <v>0.38124999999999998</v>
      </c>
      <c r="I64" s="10">
        <f>G64</f>
        <v>76.25</v>
      </c>
    </row>
    <row r="65" spans="1:9" ht="15.75" hidden="1" customHeight="1">
      <c r="A65" s="22"/>
      <c r="B65" s="11" t="s">
        <v>50</v>
      </c>
      <c r="C65" s="13" t="s">
        <v>103</v>
      </c>
      <c r="D65" s="11" t="s">
        <v>55</v>
      </c>
      <c r="E65" s="86">
        <v>24063</v>
      </c>
      <c r="F65" s="10">
        <f>SUM(E65/100)</f>
        <v>240.63</v>
      </c>
      <c r="G65" s="10">
        <v>212.15</v>
      </c>
      <c r="H65" s="82">
        <f t="shared" si="6"/>
        <v>51.049654499999995</v>
      </c>
      <c r="I65" s="10">
        <v>0</v>
      </c>
    </row>
    <row r="66" spans="1:9" ht="15.75" hidden="1" customHeight="1">
      <c r="A66" s="22"/>
      <c r="B66" s="11" t="s">
        <v>51</v>
      </c>
      <c r="C66" s="13" t="s">
        <v>104</v>
      </c>
      <c r="D66" s="11"/>
      <c r="E66" s="86">
        <v>24063</v>
      </c>
      <c r="F66" s="10">
        <f>SUM(E66/1000)</f>
        <v>24.062999999999999</v>
      </c>
      <c r="G66" s="10">
        <v>165.21</v>
      </c>
      <c r="H66" s="82">
        <f t="shared" si="6"/>
        <v>3.97544823</v>
      </c>
      <c r="I66" s="10">
        <v>0</v>
      </c>
    </row>
    <row r="67" spans="1:9" ht="15.75" hidden="1" customHeight="1">
      <c r="A67" s="22"/>
      <c r="B67" s="11" t="s">
        <v>52</v>
      </c>
      <c r="C67" s="13" t="s">
        <v>81</v>
      </c>
      <c r="D67" s="11" t="s">
        <v>55</v>
      </c>
      <c r="E67" s="86">
        <v>2730</v>
      </c>
      <c r="F67" s="10">
        <f>SUM(E67/100)</f>
        <v>27.3</v>
      </c>
      <c r="G67" s="10">
        <v>2074.63</v>
      </c>
      <c r="H67" s="82">
        <f t="shared" si="6"/>
        <v>56.637399000000002</v>
      </c>
      <c r="I67" s="10">
        <v>0</v>
      </c>
    </row>
    <row r="68" spans="1:9" ht="15.75" hidden="1" customHeight="1">
      <c r="A68" s="22"/>
      <c r="B68" s="101" t="s">
        <v>75</v>
      </c>
      <c r="C68" s="13" t="s">
        <v>33</v>
      </c>
      <c r="D68" s="11"/>
      <c r="E68" s="86">
        <v>21.4</v>
      </c>
      <c r="F68" s="10">
        <f>SUM(E68)</f>
        <v>21.4</v>
      </c>
      <c r="G68" s="10">
        <v>45.32</v>
      </c>
      <c r="H68" s="82">
        <f t="shared" si="6"/>
        <v>0.96984799999999993</v>
      </c>
      <c r="I68" s="10">
        <v>0</v>
      </c>
    </row>
    <row r="69" spans="1:9" ht="15.75" hidden="1" customHeight="1">
      <c r="A69" s="22"/>
      <c r="B69" s="101" t="s">
        <v>76</v>
      </c>
      <c r="C69" s="13" t="s">
        <v>33</v>
      </c>
      <c r="D69" s="11"/>
      <c r="E69" s="86">
        <v>21.4</v>
      </c>
      <c r="F69" s="10">
        <f>SUM(E69)</f>
        <v>21.4</v>
      </c>
      <c r="G69" s="10">
        <v>42.28</v>
      </c>
      <c r="H69" s="82">
        <f t="shared" si="6"/>
        <v>0.90479199999999993</v>
      </c>
      <c r="I69" s="10">
        <v>0</v>
      </c>
    </row>
    <row r="70" spans="1:9" ht="15.75" hidden="1" customHeight="1">
      <c r="A70" s="22">
        <v>22</v>
      </c>
      <c r="B70" s="101" t="s">
        <v>133</v>
      </c>
      <c r="C70" s="13"/>
      <c r="D70" s="11"/>
      <c r="E70" s="102"/>
      <c r="F70" s="76">
        <v>1</v>
      </c>
      <c r="G70" s="10">
        <v>5600</v>
      </c>
      <c r="H70" s="82">
        <f t="shared" si="6"/>
        <v>5.6</v>
      </c>
      <c r="I70" s="10">
        <f>F70*G70</f>
        <v>5600</v>
      </c>
    </row>
    <row r="71" spans="1:9" ht="15.75" hidden="1" customHeight="1">
      <c r="A71" s="22"/>
      <c r="B71" s="11" t="s">
        <v>59</v>
      </c>
      <c r="C71" s="13" t="s">
        <v>60</v>
      </c>
      <c r="D71" s="11" t="s">
        <v>55</v>
      </c>
      <c r="E71" s="16">
        <v>10</v>
      </c>
      <c r="F71" s="87">
        <f>SUM(E71)</f>
        <v>10</v>
      </c>
      <c r="G71" s="10">
        <v>49.88</v>
      </c>
      <c r="H71" s="82">
        <f t="shared" si="6"/>
        <v>0.49880000000000002</v>
      </c>
      <c r="I71" s="10">
        <v>0</v>
      </c>
    </row>
    <row r="72" spans="1:9" ht="15.75" hidden="1" customHeight="1">
      <c r="A72" s="22"/>
      <c r="B72" s="70" t="s">
        <v>77</v>
      </c>
      <c r="C72" s="13"/>
      <c r="D72" s="11"/>
      <c r="E72" s="16"/>
      <c r="F72" s="10"/>
      <c r="G72" s="10"/>
      <c r="H72" s="82" t="s">
        <v>156</v>
      </c>
      <c r="I72" s="10"/>
    </row>
    <row r="73" spans="1:9" ht="15.75" hidden="1" customHeight="1">
      <c r="A73" s="22">
        <v>18</v>
      </c>
      <c r="B73" s="11" t="s">
        <v>78</v>
      </c>
      <c r="C73" s="13" t="s">
        <v>79</v>
      </c>
      <c r="D73" s="11"/>
      <c r="E73" s="16">
        <v>160</v>
      </c>
      <c r="F73" s="10">
        <v>16</v>
      </c>
      <c r="G73" s="10">
        <v>501.62</v>
      </c>
      <c r="H73" s="82">
        <f t="shared" si="6"/>
        <v>8.0259199999999993</v>
      </c>
      <c r="I73" s="10">
        <f>G73*1.2</f>
        <v>601.94399999999996</v>
      </c>
    </row>
    <row r="74" spans="1:9" ht="15.75" hidden="1" customHeight="1">
      <c r="A74" s="22"/>
      <c r="B74" s="11" t="s">
        <v>128</v>
      </c>
      <c r="C74" s="13" t="s">
        <v>102</v>
      </c>
      <c r="D74" s="11"/>
      <c r="E74" s="16">
        <v>1</v>
      </c>
      <c r="F74" s="87">
        <f>SUM(E74)</f>
        <v>1</v>
      </c>
      <c r="G74" s="10">
        <v>358.51</v>
      </c>
      <c r="H74" s="82">
        <f t="shared" si="6"/>
        <v>0.35851</v>
      </c>
      <c r="I74" s="10">
        <v>0</v>
      </c>
    </row>
    <row r="75" spans="1:9" ht="15.75" hidden="1" customHeight="1">
      <c r="A75" s="22"/>
      <c r="B75" s="11" t="s">
        <v>134</v>
      </c>
      <c r="C75" s="13" t="s">
        <v>31</v>
      </c>
      <c r="D75" s="11"/>
      <c r="E75" s="16">
        <v>3</v>
      </c>
      <c r="F75" s="10">
        <v>3</v>
      </c>
      <c r="G75" s="10">
        <v>99.85</v>
      </c>
      <c r="H75" s="82">
        <f>F75*G75/1000</f>
        <v>0.29954999999999993</v>
      </c>
      <c r="I75" s="10">
        <v>0</v>
      </c>
    </row>
    <row r="76" spans="1:9" ht="15.75" hidden="1" customHeight="1">
      <c r="A76" s="22"/>
      <c r="B76" s="11" t="s">
        <v>135</v>
      </c>
      <c r="C76" s="13" t="s">
        <v>31</v>
      </c>
      <c r="D76" s="11"/>
      <c r="E76" s="16">
        <v>2</v>
      </c>
      <c r="F76" s="10">
        <v>2</v>
      </c>
      <c r="G76" s="10">
        <v>120.26</v>
      </c>
      <c r="H76" s="82">
        <f>F76*G76/1000</f>
        <v>0.24052000000000001</v>
      </c>
      <c r="I76" s="10">
        <v>0</v>
      </c>
    </row>
    <row r="77" spans="1:9" ht="15.75" hidden="1" customHeight="1">
      <c r="A77" s="22"/>
      <c r="B77" s="11" t="s">
        <v>127</v>
      </c>
      <c r="C77" s="13" t="s">
        <v>102</v>
      </c>
      <c r="D77" s="11"/>
      <c r="E77" s="16">
        <v>1</v>
      </c>
      <c r="F77" s="87">
        <f>SUM(E77)</f>
        <v>1</v>
      </c>
      <c r="G77" s="10">
        <v>911.85</v>
      </c>
      <c r="H77" s="82">
        <f t="shared" ref="H77" si="7">SUM(F77*G77/1000)</f>
        <v>0.91185000000000005</v>
      </c>
      <c r="I77" s="10">
        <v>0</v>
      </c>
    </row>
    <row r="78" spans="1:9" ht="15.75" hidden="1" customHeight="1">
      <c r="A78" s="22"/>
      <c r="B78" s="104" t="s">
        <v>80</v>
      </c>
      <c r="C78" s="13"/>
      <c r="D78" s="11"/>
      <c r="E78" s="16"/>
      <c r="F78" s="10"/>
      <c r="G78" s="10" t="s">
        <v>156</v>
      </c>
      <c r="H78" s="82" t="s">
        <v>156</v>
      </c>
      <c r="I78" s="10"/>
    </row>
    <row r="79" spans="1:9" ht="15.75" hidden="1" customHeight="1">
      <c r="A79" s="22"/>
      <c r="B79" s="49" t="s">
        <v>107</v>
      </c>
      <c r="C79" s="13" t="s">
        <v>81</v>
      </c>
      <c r="D79" s="11"/>
      <c r="E79" s="16"/>
      <c r="F79" s="10">
        <v>0.6</v>
      </c>
      <c r="G79" s="10">
        <v>2759.44</v>
      </c>
      <c r="H79" s="82">
        <f t="shared" si="6"/>
        <v>1.655664</v>
      </c>
      <c r="I79" s="10">
        <v>0</v>
      </c>
    </row>
    <row r="80" spans="1:9" ht="15.75" hidden="1" customHeight="1">
      <c r="A80" s="22"/>
      <c r="B80" s="70" t="s">
        <v>99</v>
      </c>
      <c r="C80" s="104"/>
      <c r="D80" s="24"/>
      <c r="E80" s="25"/>
      <c r="F80" s="90"/>
      <c r="G80" s="90"/>
      <c r="H80" s="105">
        <f>SUM(H56:H79)</f>
        <v>181.74382075399996</v>
      </c>
      <c r="I80" s="90"/>
    </row>
    <row r="81" spans="1:9" ht="15.75" hidden="1" customHeight="1">
      <c r="A81" s="22"/>
      <c r="B81" s="84" t="s">
        <v>105</v>
      </c>
      <c r="C81" s="13"/>
      <c r="D81" s="11"/>
      <c r="E81" s="77"/>
      <c r="F81" s="10">
        <v>1</v>
      </c>
      <c r="G81" s="10">
        <v>17508</v>
      </c>
      <c r="H81" s="82">
        <f>G81*F81/1000</f>
        <v>17.507999999999999</v>
      </c>
      <c r="I81" s="10">
        <v>0</v>
      </c>
    </row>
    <row r="82" spans="1:9" ht="15.75" customHeight="1">
      <c r="A82" s="153" t="s">
        <v>153</v>
      </c>
      <c r="B82" s="154"/>
      <c r="C82" s="154"/>
      <c r="D82" s="154"/>
      <c r="E82" s="154"/>
      <c r="F82" s="154"/>
      <c r="G82" s="154"/>
      <c r="H82" s="154"/>
      <c r="I82" s="155"/>
    </row>
    <row r="83" spans="1:9" ht="15.75" customHeight="1">
      <c r="A83" s="22">
        <v>18</v>
      </c>
      <c r="B83" s="84" t="s">
        <v>106</v>
      </c>
      <c r="C83" s="13" t="s">
        <v>56</v>
      </c>
      <c r="D83" s="106" t="s">
        <v>57</v>
      </c>
      <c r="E83" s="10">
        <v>4394.8999999999996</v>
      </c>
      <c r="F83" s="10">
        <f>SUM(E83*12)</f>
        <v>52738.799999999996</v>
      </c>
      <c r="G83" s="10">
        <v>2.1</v>
      </c>
      <c r="H83" s="82">
        <f>SUM(F83*G83/1000)</f>
        <v>110.75148</v>
      </c>
      <c r="I83" s="10">
        <f>F83/12*G83</f>
        <v>9229.2899999999991</v>
      </c>
    </row>
    <row r="84" spans="1:9" ht="31.5" customHeight="1">
      <c r="A84" s="22">
        <v>19</v>
      </c>
      <c r="B84" s="11" t="s">
        <v>82</v>
      </c>
      <c r="C84" s="13"/>
      <c r="D84" s="106" t="s">
        <v>57</v>
      </c>
      <c r="E84" s="86">
        <f>E83</f>
        <v>4394.8999999999996</v>
      </c>
      <c r="F84" s="10">
        <f>E84*12</f>
        <v>52738.799999999996</v>
      </c>
      <c r="G84" s="10">
        <v>1.63</v>
      </c>
      <c r="H84" s="82">
        <f>F84*G84/1000</f>
        <v>85.964243999999994</v>
      </c>
      <c r="I84" s="10">
        <f>F84/12*G84</f>
        <v>7163.686999999999</v>
      </c>
    </row>
    <row r="85" spans="1:9" ht="15.75" customHeight="1">
      <c r="A85" s="22"/>
      <c r="B85" s="38" t="s">
        <v>85</v>
      </c>
      <c r="C85" s="104"/>
      <c r="D85" s="103"/>
      <c r="E85" s="90"/>
      <c r="F85" s="90"/>
      <c r="G85" s="90"/>
      <c r="H85" s="105">
        <f>SUM(H84)</f>
        <v>85.964243999999994</v>
      </c>
      <c r="I85" s="90">
        <f>I16+I17+I18+I20+I21+I24+I25+I26+I27+I37+I38+I39+I40+I41+I42+I56+I59+I83+I84</f>
        <v>79798.028333666662</v>
      </c>
    </row>
    <row r="86" spans="1:9" ht="15.75" customHeight="1">
      <c r="A86" s="167" t="s">
        <v>62</v>
      </c>
      <c r="B86" s="168"/>
      <c r="C86" s="168"/>
      <c r="D86" s="168"/>
      <c r="E86" s="168"/>
      <c r="F86" s="168"/>
      <c r="G86" s="168"/>
      <c r="H86" s="168"/>
      <c r="I86" s="169"/>
    </row>
    <row r="87" spans="1:9" ht="15.75" customHeight="1">
      <c r="A87" s="22">
        <v>20</v>
      </c>
      <c r="B87" s="68" t="s">
        <v>182</v>
      </c>
      <c r="C87" s="69" t="s">
        <v>144</v>
      </c>
      <c r="D87" s="49"/>
      <c r="E87" s="10"/>
      <c r="F87" s="10">
        <f>((3+3+3+10+5+10+15+3+10+10+3+15+3+3+10)/3)</f>
        <v>35.333333333333336</v>
      </c>
      <c r="G87" s="10">
        <v>1120.8900000000001</v>
      </c>
      <c r="H87" s="82">
        <f>G87*F87/1000</f>
        <v>39.604780000000005</v>
      </c>
      <c r="I87" s="10">
        <f>G87*((5+10+15)/3)</f>
        <v>11208.900000000001</v>
      </c>
    </row>
    <row r="88" spans="1:9" ht="15.75" customHeight="1">
      <c r="A88" s="22">
        <v>21</v>
      </c>
      <c r="B88" s="56" t="s">
        <v>137</v>
      </c>
      <c r="C88" s="57" t="s">
        <v>102</v>
      </c>
      <c r="D88" s="49"/>
      <c r="E88" s="10"/>
      <c r="F88" s="10">
        <v>790</v>
      </c>
      <c r="G88" s="10">
        <v>53.42</v>
      </c>
      <c r="H88" s="82">
        <f t="shared" ref="H88:H92" si="8">G88*F88/1000</f>
        <v>42.201800000000006</v>
      </c>
      <c r="I88" s="10">
        <f>G88*79</f>
        <v>4220.18</v>
      </c>
    </row>
    <row r="89" spans="1:9" ht="31.5" customHeight="1">
      <c r="A89" s="22">
        <v>22</v>
      </c>
      <c r="B89" s="56" t="s">
        <v>161</v>
      </c>
      <c r="C89" s="57" t="s">
        <v>162</v>
      </c>
      <c r="D89" s="49"/>
      <c r="E89" s="10"/>
      <c r="F89" s="10">
        <v>2</v>
      </c>
      <c r="G89" s="10">
        <v>54.17</v>
      </c>
      <c r="H89" s="82">
        <f t="shared" si="8"/>
        <v>0.10834000000000001</v>
      </c>
      <c r="I89" s="10">
        <f>G89</f>
        <v>54.17</v>
      </c>
    </row>
    <row r="90" spans="1:9" ht="31.5" customHeight="1">
      <c r="A90" s="22">
        <v>23</v>
      </c>
      <c r="B90" s="56" t="s">
        <v>146</v>
      </c>
      <c r="C90" s="57" t="s">
        <v>136</v>
      </c>
      <c r="D90" s="22"/>
      <c r="E90" s="16"/>
      <c r="F90" s="16">
        <v>2</v>
      </c>
      <c r="G90" s="16">
        <v>589.84</v>
      </c>
      <c r="H90" s="82">
        <f t="shared" si="8"/>
        <v>1.1796800000000001</v>
      </c>
      <c r="I90" s="10">
        <f>G90</f>
        <v>589.84</v>
      </c>
    </row>
    <row r="91" spans="1:9" ht="15.75" customHeight="1">
      <c r="A91" s="22">
        <v>24</v>
      </c>
      <c r="B91" s="56" t="s">
        <v>198</v>
      </c>
      <c r="C91" s="57" t="s">
        <v>163</v>
      </c>
      <c r="D91" s="49"/>
      <c r="E91" s="10"/>
      <c r="F91" s="10">
        <v>0.02</v>
      </c>
      <c r="G91" s="10">
        <v>7412.92</v>
      </c>
      <c r="H91" s="82">
        <f t="shared" si="8"/>
        <v>0.14825839999999998</v>
      </c>
      <c r="I91" s="10">
        <f>G91*0.01</f>
        <v>74.129199999999997</v>
      </c>
    </row>
    <row r="92" spans="1:9" ht="15.75" customHeight="1">
      <c r="A92" s="22">
        <v>25</v>
      </c>
      <c r="B92" s="56" t="s">
        <v>183</v>
      </c>
      <c r="C92" s="57" t="s">
        <v>199</v>
      </c>
      <c r="D92" s="49"/>
      <c r="E92" s="10"/>
      <c r="F92" s="10">
        <v>4.5</v>
      </c>
      <c r="G92" s="10">
        <v>1582</v>
      </c>
      <c r="H92" s="82">
        <f t="shared" si="8"/>
        <v>7.1189999999999998</v>
      </c>
      <c r="I92" s="10">
        <f>G92*1.5</f>
        <v>2373</v>
      </c>
    </row>
    <row r="93" spans="1:9">
      <c r="A93" s="22"/>
      <c r="B93" s="45" t="s">
        <v>53</v>
      </c>
      <c r="C93" s="41"/>
      <c r="D93" s="51"/>
      <c r="E93" s="41">
        <v>1</v>
      </c>
      <c r="F93" s="41"/>
      <c r="G93" s="41"/>
      <c r="H93" s="41"/>
      <c r="I93" s="25">
        <f>SUM(I87:I92)</f>
        <v>18520.2192</v>
      </c>
    </row>
    <row r="94" spans="1:9" ht="15.75" customHeight="1">
      <c r="A94" s="22"/>
      <c r="B94" s="49" t="s">
        <v>83</v>
      </c>
      <c r="C94" s="12"/>
      <c r="D94" s="12"/>
      <c r="E94" s="42"/>
      <c r="F94" s="42"/>
      <c r="G94" s="43"/>
      <c r="H94" s="43"/>
      <c r="I94" s="15">
        <v>0</v>
      </c>
    </row>
    <row r="95" spans="1:9" ht="15.75" customHeight="1">
      <c r="A95" s="52"/>
      <c r="B95" s="46" t="s">
        <v>192</v>
      </c>
      <c r="C95" s="30"/>
      <c r="D95" s="30"/>
      <c r="E95" s="30"/>
      <c r="F95" s="30"/>
      <c r="G95" s="30"/>
      <c r="H95" s="30"/>
      <c r="I95" s="44">
        <f>I85+I93</f>
        <v>98318.247533666668</v>
      </c>
    </row>
    <row r="96" spans="1:9" ht="15.75">
      <c r="A96" s="166" t="s">
        <v>200</v>
      </c>
      <c r="B96" s="166"/>
      <c r="C96" s="166"/>
      <c r="D96" s="166"/>
      <c r="E96" s="166"/>
      <c r="F96" s="166"/>
      <c r="G96" s="166"/>
      <c r="H96" s="166"/>
      <c r="I96" s="166"/>
    </row>
    <row r="97" spans="1:9" ht="15.75" customHeight="1">
      <c r="A97" s="67"/>
      <c r="B97" s="161" t="s">
        <v>201</v>
      </c>
      <c r="C97" s="161"/>
      <c r="D97" s="161"/>
      <c r="E97" s="161"/>
      <c r="F97" s="161"/>
      <c r="G97" s="161"/>
      <c r="H97" s="80"/>
      <c r="I97" s="2"/>
    </row>
    <row r="98" spans="1:9" ht="15.75" customHeight="1">
      <c r="A98" s="71"/>
      <c r="B98" s="157" t="s">
        <v>6</v>
      </c>
      <c r="C98" s="157"/>
      <c r="D98" s="157"/>
      <c r="E98" s="157"/>
      <c r="F98" s="157"/>
      <c r="G98" s="157"/>
      <c r="H98" s="17"/>
      <c r="I98" s="4"/>
    </row>
    <row r="99" spans="1:9" ht="15.75" customHeight="1">
      <c r="A99" s="7"/>
      <c r="B99" s="7"/>
      <c r="C99" s="7"/>
      <c r="D99" s="7"/>
      <c r="E99" s="7"/>
      <c r="F99" s="7"/>
      <c r="G99" s="7"/>
      <c r="H99" s="7"/>
      <c r="I99" s="7"/>
    </row>
    <row r="100" spans="1:9" ht="15.75" customHeight="1">
      <c r="A100" s="162" t="s">
        <v>7</v>
      </c>
      <c r="B100" s="162"/>
      <c r="C100" s="162"/>
      <c r="D100" s="162"/>
      <c r="E100" s="162"/>
      <c r="F100" s="162"/>
      <c r="G100" s="162"/>
      <c r="H100" s="162"/>
      <c r="I100" s="162"/>
    </row>
    <row r="101" spans="1:9" ht="15.75" customHeight="1">
      <c r="A101" s="162" t="s">
        <v>8</v>
      </c>
      <c r="B101" s="162"/>
      <c r="C101" s="162"/>
      <c r="D101" s="162"/>
      <c r="E101" s="162"/>
      <c r="F101" s="162"/>
      <c r="G101" s="162"/>
      <c r="H101" s="162"/>
      <c r="I101" s="162"/>
    </row>
    <row r="102" spans="1:9" ht="15.75">
      <c r="A102" s="163" t="s">
        <v>63</v>
      </c>
      <c r="B102" s="163"/>
      <c r="C102" s="163"/>
      <c r="D102" s="163"/>
      <c r="E102" s="163"/>
      <c r="F102" s="163"/>
      <c r="G102" s="163"/>
      <c r="H102" s="163"/>
      <c r="I102" s="163"/>
    </row>
    <row r="103" spans="1:9" ht="15.75" customHeight="1">
      <c r="A103" s="8"/>
    </row>
    <row r="104" spans="1:9" ht="15.75">
      <c r="A104" s="164" t="s">
        <v>9</v>
      </c>
      <c r="B104" s="164"/>
      <c r="C104" s="164"/>
      <c r="D104" s="164"/>
      <c r="E104" s="164"/>
      <c r="F104" s="164"/>
      <c r="G104" s="164"/>
      <c r="H104" s="164"/>
      <c r="I104" s="164"/>
    </row>
    <row r="105" spans="1:9" ht="15.75" customHeight="1">
      <c r="A105" s="3"/>
    </row>
    <row r="106" spans="1:9" ht="15.75">
      <c r="B106" s="74" t="s">
        <v>10</v>
      </c>
      <c r="C106" s="156" t="s">
        <v>150</v>
      </c>
      <c r="D106" s="156"/>
      <c r="E106" s="156"/>
      <c r="F106" s="78"/>
      <c r="I106" s="75"/>
    </row>
    <row r="107" spans="1:9">
      <c r="A107" s="71"/>
      <c r="C107" s="157" t="s">
        <v>11</v>
      </c>
      <c r="D107" s="157"/>
      <c r="E107" s="157"/>
      <c r="F107" s="17"/>
      <c r="I107" s="73" t="s">
        <v>12</v>
      </c>
    </row>
    <row r="108" spans="1:9" ht="15.75">
      <c r="A108" s="18"/>
      <c r="C108" s="9"/>
      <c r="D108" s="9"/>
      <c r="G108" s="9"/>
      <c r="H108" s="9"/>
    </row>
    <row r="109" spans="1:9" ht="15.75" customHeight="1">
      <c r="B109" s="74" t="s">
        <v>13</v>
      </c>
      <c r="C109" s="158"/>
      <c r="D109" s="158"/>
      <c r="E109" s="158"/>
      <c r="F109" s="79"/>
      <c r="I109" s="75"/>
    </row>
    <row r="110" spans="1:9" ht="15.75" customHeight="1">
      <c r="A110" s="71"/>
      <c r="C110" s="159" t="s">
        <v>11</v>
      </c>
      <c r="D110" s="159"/>
      <c r="E110" s="159"/>
      <c r="F110" s="71"/>
      <c r="I110" s="73" t="s">
        <v>12</v>
      </c>
    </row>
    <row r="111" spans="1:9" ht="15.75" customHeight="1">
      <c r="A111" s="3" t="s">
        <v>14</v>
      </c>
    </row>
    <row r="112" spans="1:9">
      <c r="A112" s="160" t="s">
        <v>15</v>
      </c>
      <c r="B112" s="160"/>
      <c r="C112" s="160"/>
      <c r="D112" s="160"/>
      <c r="E112" s="160"/>
      <c r="F112" s="160"/>
      <c r="G112" s="160"/>
      <c r="H112" s="160"/>
      <c r="I112" s="160"/>
    </row>
    <row r="113" spans="1:9" ht="45" customHeight="1">
      <c r="A113" s="152" t="s">
        <v>16</v>
      </c>
      <c r="B113" s="152"/>
      <c r="C113" s="152"/>
      <c r="D113" s="152"/>
      <c r="E113" s="152"/>
      <c r="F113" s="152"/>
      <c r="G113" s="152"/>
      <c r="H113" s="152"/>
      <c r="I113" s="152"/>
    </row>
    <row r="114" spans="1:9" ht="30" customHeight="1">
      <c r="A114" s="152" t="s">
        <v>17</v>
      </c>
      <c r="B114" s="152"/>
      <c r="C114" s="152"/>
      <c r="D114" s="152"/>
      <c r="E114" s="152"/>
      <c r="F114" s="152"/>
      <c r="G114" s="152"/>
      <c r="H114" s="152"/>
      <c r="I114" s="152"/>
    </row>
    <row r="115" spans="1:9" ht="30" customHeight="1">
      <c r="A115" s="152" t="s">
        <v>21</v>
      </c>
      <c r="B115" s="152"/>
      <c r="C115" s="152"/>
      <c r="D115" s="152"/>
      <c r="E115" s="152"/>
      <c r="F115" s="152"/>
      <c r="G115" s="152"/>
      <c r="H115" s="152"/>
      <c r="I115" s="152"/>
    </row>
    <row r="116" spans="1:9" ht="15" customHeight="1">
      <c r="A116" s="152" t="s">
        <v>20</v>
      </c>
      <c r="B116" s="152"/>
      <c r="C116" s="152"/>
      <c r="D116" s="152"/>
      <c r="E116" s="152"/>
      <c r="F116" s="152"/>
      <c r="G116" s="152"/>
      <c r="H116" s="152"/>
      <c r="I116" s="152"/>
    </row>
  </sheetData>
  <mergeCells count="28">
    <mergeCell ref="A114:I114"/>
    <mergeCell ref="A115:I115"/>
    <mergeCell ref="A116:I116"/>
    <mergeCell ref="C106:E106"/>
    <mergeCell ref="C107:E107"/>
    <mergeCell ref="C109:E109"/>
    <mergeCell ref="C110:E110"/>
    <mergeCell ref="A112:I112"/>
    <mergeCell ref="A113:I113"/>
    <mergeCell ref="A104:I104"/>
    <mergeCell ref="A15:I15"/>
    <mergeCell ref="A28:I28"/>
    <mergeCell ref="A43:I43"/>
    <mergeCell ref="A54:I54"/>
    <mergeCell ref="A82:I82"/>
    <mergeCell ref="A96:I96"/>
    <mergeCell ref="B97:G97"/>
    <mergeCell ref="B98:G98"/>
    <mergeCell ref="A100:I100"/>
    <mergeCell ref="A101:I101"/>
    <mergeCell ref="A102:I102"/>
    <mergeCell ref="A86:I86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18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91</v>
      </c>
      <c r="I1" s="19"/>
    </row>
    <row r="2" spans="1:9" ht="15.75">
      <c r="A2" s="21" t="s">
        <v>64</v>
      </c>
    </row>
    <row r="3" spans="1:9" ht="15.75">
      <c r="A3" s="171" t="s">
        <v>174</v>
      </c>
      <c r="B3" s="171"/>
      <c r="C3" s="171"/>
      <c r="D3" s="171"/>
      <c r="E3" s="171"/>
      <c r="F3" s="171"/>
      <c r="G3" s="171"/>
      <c r="H3" s="171"/>
      <c r="I3" s="171"/>
    </row>
    <row r="4" spans="1:9" ht="31.5" customHeight="1">
      <c r="A4" s="172" t="s">
        <v>143</v>
      </c>
      <c r="B4" s="172"/>
      <c r="C4" s="172"/>
      <c r="D4" s="172"/>
      <c r="E4" s="172"/>
      <c r="F4" s="172"/>
      <c r="G4" s="172"/>
      <c r="H4" s="172"/>
      <c r="I4" s="172"/>
    </row>
    <row r="5" spans="1:9" ht="15.75">
      <c r="A5" s="171" t="s">
        <v>202</v>
      </c>
      <c r="B5" s="173"/>
      <c r="C5" s="173"/>
      <c r="D5" s="173"/>
      <c r="E5" s="173"/>
      <c r="F5" s="173"/>
      <c r="G5" s="173"/>
      <c r="H5" s="173"/>
      <c r="I5" s="173"/>
    </row>
    <row r="6" spans="1:9" ht="15.75">
      <c r="A6" s="1"/>
      <c r="B6" s="72"/>
      <c r="C6" s="72"/>
      <c r="D6" s="72"/>
      <c r="E6" s="72"/>
      <c r="F6" s="72"/>
      <c r="G6" s="72"/>
      <c r="H6" s="72"/>
      <c r="I6" s="23">
        <v>42855</v>
      </c>
    </row>
    <row r="7" spans="1:9" ht="15.75">
      <c r="B7" s="74"/>
      <c r="C7" s="74"/>
      <c r="D7" s="74"/>
      <c r="E7" s="2"/>
      <c r="F7" s="2"/>
      <c r="G7" s="2"/>
      <c r="H7" s="2"/>
    </row>
    <row r="8" spans="1:9" ht="78.75" customHeight="1">
      <c r="A8" s="174" t="s">
        <v>147</v>
      </c>
      <c r="B8" s="174"/>
      <c r="C8" s="174"/>
      <c r="D8" s="174"/>
      <c r="E8" s="174"/>
      <c r="F8" s="174"/>
      <c r="G8" s="174"/>
      <c r="H8" s="174"/>
      <c r="I8" s="174"/>
    </row>
    <row r="9" spans="1:9" ht="15.75">
      <c r="A9" s="3"/>
    </row>
    <row r="10" spans="1:9" ht="47.25" customHeight="1">
      <c r="A10" s="175" t="s">
        <v>299</v>
      </c>
      <c r="B10" s="175"/>
      <c r="C10" s="175"/>
      <c r="D10" s="175"/>
      <c r="E10" s="175"/>
      <c r="F10" s="175"/>
      <c r="G10" s="175"/>
      <c r="H10" s="175"/>
      <c r="I10" s="17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70" t="s">
        <v>61</v>
      </c>
      <c r="B14" s="170"/>
      <c r="C14" s="170"/>
      <c r="D14" s="170"/>
      <c r="E14" s="170"/>
      <c r="F14" s="170"/>
      <c r="G14" s="170"/>
      <c r="H14" s="170"/>
      <c r="I14" s="170"/>
    </row>
    <row r="15" spans="1:9" ht="15" customHeight="1">
      <c r="A15" s="165" t="s">
        <v>4</v>
      </c>
      <c r="B15" s="165"/>
      <c r="C15" s="165"/>
      <c r="D15" s="165"/>
      <c r="E15" s="165"/>
      <c r="F15" s="165"/>
      <c r="G15" s="165"/>
      <c r="H15" s="165"/>
      <c r="I15" s="165"/>
    </row>
    <row r="16" spans="1:9" ht="31.5" customHeight="1">
      <c r="A16" s="22">
        <v>1</v>
      </c>
      <c r="B16" s="84" t="s">
        <v>109</v>
      </c>
      <c r="C16" s="85" t="s">
        <v>93</v>
      </c>
      <c r="D16" s="84" t="s">
        <v>110</v>
      </c>
      <c r="E16" s="86">
        <v>121.14</v>
      </c>
      <c r="F16" s="87">
        <f>SUM(E16*156/100)</f>
        <v>188.97839999999999</v>
      </c>
      <c r="G16" s="87">
        <v>175.38</v>
      </c>
      <c r="H16" s="88">
        <f t="shared" ref="H16:H25" si="0">SUM(F16*G16/1000)</f>
        <v>33.143031792000002</v>
      </c>
      <c r="I16" s="10">
        <f>F16/12*G16</f>
        <v>2761.9193159999995</v>
      </c>
    </row>
    <row r="17" spans="1:9" ht="31.5" customHeight="1">
      <c r="A17" s="22">
        <v>2</v>
      </c>
      <c r="B17" s="84" t="s">
        <v>111</v>
      </c>
      <c r="C17" s="85" t="s">
        <v>93</v>
      </c>
      <c r="D17" s="84" t="s">
        <v>112</v>
      </c>
      <c r="E17" s="86">
        <v>484.56</v>
      </c>
      <c r="F17" s="87">
        <f>SUM(E17*104/100)</f>
        <v>503.94239999999996</v>
      </c>
      <c r="G17" s="87">
        <v>175.38</v>
      </c>
      <c r="H17" s="88">
        <f t="shared" si="0"/>
        <v>88.381418111999992</v>
      </c>
      <c r="I17" s="10">
        <f>F17/12*G17</f>
        <v>7365.118175999999</v>
      </c>
    </row>
    <row r="18" spans="1:9" ht="31.5" customHeight="1">
      <c r="A18" s="22">
        <v>3</v>
      </c>
      <c r="B18" s="84" t="s">
        <v>113</v>
      </c>
      <c r="C18" s="85" t="s">
        <v>93</v>
      </c>
      <c r="D18" s="84" t="s">
        <v>129</v>
      </c>
      <c r="E18" s="86">
        <f>SUM(E16+E17)</f>
        <v>605.70000000000005</v>
      </c>
      <c r="F18" s="87">
        <f>SUM(E18*24/100)</f>
        <v>145.36800000000002</v>
      </c>
      <c r="G18" s="87">
        <v>504.5</v>
      </c>
      <c r="H18" s="88">
        <f t="shared" si="0"/>
        <v>73.338156000000012</v>
      </c>
      <c r="I18" s="10">
        <f>F18/12*G18</f>
        <v>6111.5130000000008</v>
      </c>
    </row>
    <row r="19" spans="1:9" ht="15.75" hidden="1" customHeight="1">
      <c r="A19" s="22"/>
      <c r="B19" s="84" t="s">
        <v>114</v>
      </c>
      <c r="C19" s="85" t="s">
        <v>115</v>
      </c>
      <c r="D19" s="84" t="s">
        <v>116</v>
      </c>
      <c r="E19" s="86">
        <v>38.4</v>
      </c>
      <c r="F19" s="87">
        <f>SUM(E19/10)</f>
        <v>3.84</v>
      </c>
      <c r="G19" s="87">
        <v>170.16</v>
      </c>
      <c r="H19" s="88">
        <f t="shared" si="0"/>
        <v>0.65341439999999995</v>
      </c>
      <c r="I19" s="10">
        <v>0</v>
      </c>
    </row>
    <row r="20" spans="1:9" ht="15.75" customHeight="1">
      <c r="A20" s="22">
        <v>4</v>
      </c>
      <c r="B20" s="84" t="s">
        <v>117</v>
      </c>
      <c r="C20" s="85" t="s">
        <v>93</v>
      </c>
      <c r="D20" s="84" t="s">
        <v>30</v>
      </c>
      <c r="E20" s="86">
        <v>58.4</v>
      </c>
      <c r="F20" s="87">
        <f>SUM(E20*12/100)</f>
        <v>7.0079999999999991</v>
      </c>
      <c r="G20" s="87">
        <v>217.88</v>
      </c>
      <c r="H20" s="88">
        <f t="shared" si="0"/>
        <v>1.5269030399999997</v>
      </c>
      <c r="I20" s="10">
        <f>F20/12*G20</f>
        <v>127.24191999999999</v>
      </c>
    </row>
    <row r="21" spans="1:9" ht="15.75" customHeight="1">
      <c r="A21" s="22">
        <v>5</v>
      </c>
      <c r="B21" s="84" t="s">
        <v>118</v>
      </c>
      <c r="C21" s="85" t="s">
        <v>93</v>
      </c>
      <c r="D21" s="84" t="s">
        <v>30</v>
      </c>
      <c r="E21" s="86">
        <v>9.08</v>
      </c>
      <c r="F21" s="87">
        <f>SUM(E21*12/100)</f>
        <v>1.0896000000000001</v>
      </c>
      <c r="G21" s="87">
        <v>216.12</v>
      </c>
      <c r="H21" s="88">
        <f t="shared" si="0"/>
        <v>0.23548435200000004</v>
      </c>
      <c r="I21" s="10">
        <f>F21/12*G21</f>
        <v>19.623696000000002</v>
      </c>
    </row>
    <row r="22" spans="1:9" ht="15.75" hidden="1" customHeight="1">
      <c r="A22" s="22"/>
      <c r="B22" s="84" t="s">
        <v>120</v>
      </c>
      <c r="C22" s="85" t="s">
        <v>54</v>
      </c>
      <c r="D22" s="84" t="s">
        <v>116</v>
      </c>
      <c r="E22" s="86">
        <v>714</v>
      </c>
      <c r="F22" s="87">
        <f>SUM(E22/100)</f>
        <v>7.14</v>
      </c>
      <c r="G22" s="87">
        <v>269.26</v>
      </c>
      <c r="H22" s="88">
        <f t="shared" si="0"/>
        <v>1.9225163999999997</v>
      </c>
      <c r="I22" s="10">
        <v>0</v>
      </c>
    </row>
    <row r="23" spans="1:9" ht="15.75" hidden="1" customHeight="1">
      <c r="A23" s="22"/>
      <c r="B23" s="84" t="s">
        <v>121</v>
      </c>
      <c r="C23" s="85" t="s">
        <v>54</v>
      </c>
      <c r="D23" s="84" t="s">
        <v>116</v>
      </c>
      <c r="E23" s="89">
        <v>96.6</v>
      </c>
      <c r="F23" s="87">
        <f>SUM(E23/100)</f>
        <v>0.96599999999999997</v>
      </c>
      <c r="G23" s="87">
        <v>44.29</v>
      </c>
      <c r="H23" s="88">
        <f t="shared" si="0"/>
        <v>4.2784139999999998E-2</v>
      </c>
      <c r="I23" s="10">
        <v>0</v>
      </c>
    </row>
    <row r="24" spans="1:9" ht="15.75" customHeight="1">
      <c r="A24" s="22">
        <v>6</v>
      </c>
      <c r="B24" s="84" t="s">
        <v>122</v>
      </c>
      <c r="C24" s="85" t="s">
        <v>54</v>
      </c>
      <c r="D24" s="84" t="s">
        <v>141</v>
      </c>
      <c r="E24" s="86">
        <v>32</v>
      </c>
      <c r="F24" s="87">
        <f>E24*12/100</f>
        <v>3.84</v>
      </c>
      <c r="G24" s="87">
        <v>389.42</v>
      </c>
      <c r="H24" s="88">
        <f t="shared" si="0"/>
        <v>1.4953728000000002</v>
      </c>
      <c r="I24" s="10">
        <f>F24/12*G24</f>
        <v>124.6144</v>
      </c>
    </row>
    <row r="25" spans="1:9" ht="15.75" customHeight="1">
      <c r="A25" s="22">
        <v>7</v>
      </c>
      <c r="B25" s="84" t="s">
        <v>124</v>
      </c>
      <c r="C25" s="85" t="s">
        <v>54</v>
      </c>
      <c r="D25" s="84" t="s">
        <v>142</v>
      </c>
      <c r="E25" s="86">
        <v>17</v>
      </c>
      <c r="F25" s="87">
        <f>SUM(E25*12/100)</f>
        <v>2.04</v>
      </c>
      <c r="G25" s="87">
        <v>520.79999999999995</v>
      </c>
      <c r="H25" s="88">
        <f t="shared" si="0"/>
        <v>1.062432</v>
      </c>
      <c r="I25" s="10">
        <f>F25/12*G25</f>
        <v>88.536000000000001</v>
      </c>
    </row>
    <row r="26" spans="1:9" ht="15.75" customHeight="1">
      <c r="A26" s="22">
        <v>8</v>
      </c>
      <c r="B26" s="84" t="s">
        <v>66</v>
      </c>
      <c r="C26" s="85" t="s">
        <v>33</v>
      </c>
      <c r="D26" s="84" t="s">
        <v>155</v>
      </c>
      <c r="E26" s="86">
        <v>0.1</v>
      </c>
      <c r="F26" s="87">
        <f>SUM(E26*365)</f>
        <v>36.5</v>
      </c>
      <c r="G26" s="87">
        <v>147.03</v>
      </c>
      <c r="H26" s="88">
        <f>SUM(F26*G26/1000)</f>
        <v>5.3665950000000002</v>
      </c>
      <c r="I26" s="10">
        <f>F26/12*G26</f>
        <v>447.21625</v>
      </c>
    </row>
    <row r="27" spans="1:9" ht="15.75" customHeight="1">
      <c r="A27" s="22">
        <v>9</v>
      </c>
      <c r="B27" s="93" t="s">
        <v>23</v>
      </c>
      <c r="C27" s="85" t="s">
        <v>24</v>
      </c>
      <c r="D27" s="93" t="s">
        <v>156</v>
      </c>
      <c r="E27" s="86">
        <v>4394</v>
      </c>
      <c r="F27" s="87">
        <f>SUM(E27*12)</f>
        <v>52728</v>
      </c>
      <c r="G27" s="87">
        <v>4.53</v>
      </c>
      <c r="H27" s="88">
        <f>SUM(F27*G27/1000)</f>
        <v>238.85784000000004</v>
      </c>
      <c r="I27" s="10">
        <f>F27/12*G27</f>
        <v>19904.82</v>
      </c>
    </row>
    <row r="28" spans="1:9" ht="15.75" customHeight="1">
      <c r="A28" s="153" t="s">
        <v>90</v>
      </c>
      <c r="B28" s="154"/>
      <c r="C28" s="154"/>
      <c r="D28" s="154"/>
      <c r="E28" s="154"/>
      <c r="F28" s="154"/>
      <c r="G28" s="154"/>
      <c r="H28" s="154"/>
      <c r="I28" s="155"/>
    </row>
    <row r="29" spans="1:9" ht="15.75" hidden="1" customHeight="1">
      <c r="A29" s="22"/>
      <c r="B29" s="107" t="s">
        <v>28</v>
      </c>
      <c r="C29" s="85"/>
      <c r="D29" s="84"/>
      <c r="E29" s="86"/>
      <c r="F29" s="87"/>
      <c r="G29" s="87"/>
      <c r="H29" s="88"/>
      <c r="I29" s="10"/>
    </row>
    <row r="30" spans="1:9" ht="31.5" hidden="1" customHeight="1">
      <c r="A30" s="22">
        <v>10</v>
      </c>
      <c r="B30" s="84" t="s">
        <v>101</v>
      </c>
      <c r="C30" s="85" t="s">
        <v>95</v>
      </c>
      <c r="D30" s="84" t="s">
        <v>130</v>
      </c>
      <c r="E30" s="87">
        <v>2873.1</v>
      </c>
      <c r="F30" s="87">
        <f>SUM(E30*26/1000)</f>
        <v>74.700599999999994</v>
      </c>
      <c r="G30" s="87">
        <v>155.88999999999999</v>
      </c>
      <c r="H30" s="88">
        <f t="shared" ref="H30:H35" si="1">SUM(F30*G30/1000)</f>
        <v>11.645076533999998</v>
      </c>
      <c r="I30" s="10">
        <f t="shared" ref="I30:I33" si="2">F30/6*G30</f>
        <v>1940.8460889999997</v>
      </c>
    </row>
    <row r="31" spans="1:9" ht="31.5" hidden="1" customHeight="1">
      <c r="A31" s="22">
        <v>11</v>
      </c>
      <c r="B31" s="84" t="s">
        <v>169</v>
      </c>
      <c r="C31" s="85" t="s">
        <v>95</v>
      </c>
      <c r="D31" s="84" t="s">
        <v>125</v>
      </c>
      <c r="E31" s="87">
        <v>824.5</v>
      </c>
      <c r="F31" s="87">
        <f>SUM(E31*78/1000)</f>
        <v>64.311000000000007</v>
      </c>
      <c r="G31" s="87">
        <v>258.63</v>
      </c>
      <c r="H31" s="88">
        <f t="shared" si="1"/>
        <v>16.632753930000003</v>
      </c>
      <c r="I31" s="10">
        <f t="shared" si="2"/>
        <v>2772.1256550000003</v>
      </c>
    </row>
    <row r="32" spans="1:9" ht="15.75" hidden="1" customHeight="1">
      <c r="A32" s="22"/>
      <c r="B32" s="84" t="s">
        <v>27</v>
      </c>
      <c r="C32" s="85" t="s">
        <v>95</v>
      </c>
      <c r="D32" s="84" t="s">
        <v>55</v>
      </c>
      <c r="E32" s="87">
        <v>2873.1</v>
      </c>
      <c r="F32" s="87">
        <f>SUM(E32/1000)</f>
        <v>2.8731</v>
      </c>
      <c r="G32" s="87">
        <v>3020.33</v>
      </c>
      <c r="H32" s="88">
        <f t="shared" si="1"/>
        <v>8.6777101229999989</v>
      </c>
      <c r="I32" s="10">
        <f>F32*G32</f>
        <v>8677.7101229999989</v>
      </c>
    </row>
    <row r="33" spans="1:9" ht="15.75" hidden="1" customHeight="1">
      <c r="A33" s="22">
        <v>12</v>
      </c>
      <c r="B33" s="84" t="s">
        <v>100</v>
      </c>
      <c r="C33" s="85" t="s">
        <v>31</v>
      </c>
      <c r="D33" s="84" t="s">
        <v>65</v>
      </c>
      <c r="E33" s="92">
        <v>0.33333333333333331</v>
      </c>
      <c r="F33" s="87">
        <f>155/3</f>
        <v>51.666666666666664</v>
      </c>
      <c r="G33" s="87">
        <v>56.69</v>
      </c>
      <c r="H33" s="88">
        <f>SUM(G33*155/3/1000)</f>
        <v>2.9289833333333331</v>
      </c>
      <c r="I33" s="10">
        <f t="shared" si="2"/>
        <v>488.16388888888883</v>
      </c>
    </row>
    <row r="34" spans="1:9" ht="15.75" hidden="1" customHeight="1">
      <c r="A34" s="22"/>
      <c r="B34" s="84" t="s">
        <v>67</v>
      </c>
      <c r="C34" s="85" t="s">
        <v>33</v>
      </c>
      <c r="D34" s="84" t="s">
        <v>69</v>
      </c>
      <c r="E34" s="86"/>
      <c r="F34" s="87">
        <v>2</v>
      </c>
      <c r="G34" s="87">
        <v>191.32</v>
      </c>
      <c r="H34" s="88">
        <f t="shared" si="1"/>
        <v>0.38263999999999998</v>
      </c>
      <c r="I34" s="10">
        <v>0</v>
      </c>
    </row>
    <row r="35" spans="1:9" ht="15.75" hidden="1" customHeight="1">
      <c r="A35" s="22"/>
      <c r="B35" s="84" t="s">
        <v>68</v>
      </c>
      <c r="C35" s="85" t="s">
        <v>32</v>
      </c>
      <c r="D35" s="84" t="s">
        <v>69</v>
      </c>
      <c r="E35" s="86"/>
      <c r="F35" s="87">
        <v>3</v>
      </c>
      <c r="G35" s="87">
        <v>1136.33</v>
      </c>
      <c r="H35" s="88">
        <f t="shared" si="1"/>
        <v>3.4089899999999997</v>
      </c>
      <c r="I35" s="10">
        <v>0</v>
      </c>
    </row>
    <row r="36" spans="1:9" ht="15.75" customHeight="1">
      <c r="A36" s="22"/>
      <c r="B36" s="91" t="s">
        <v>5</v>
      </c>
      <c r="C36" s="85"/>
      <c r="D36" s="84"/>
      <c r="E36" s="86"/>
      <c r="F36" s="87"/>
      <c r="G36" s="87"/>
      <c r="H36" s="88" t="s">
        <v>156</v>
      </c>
      <c r="I36" s="10"/>
    </row>
    <row r="37" spans="1:9" ht="15.75" customHeight="1">
      <c r="A37" s="22">
        <v>10</v>
      </c>
      <c r="B37" s="84" t="s">
        <v>26</v>
      </c>
      <c r="C37" s="85" t="s">
        <v>32</v>
      </c>
      <c r="D37" s="84"/>
      <c r="E37" s="86"/>
      <c r="F37" s="87">
        <v>15</v>
      </c>
      <c r="G37" s="87">
        <v>1527.22</v>
      </c>
      <c r="H37" s="88">
        <f t="shared" ref="H37:H42" si="3">SUM(F37*G37/1000)</f>
        <v>22.908300000000001</v>
      </c>
      <c r="I37" s="10">
        <f t="shared" ref="I37:I42" si="4">F37/6*G37</f>
        <v>3818.05</v>
      </c>
    </row>
    <row r="38" spans="1:9" ht="15.75" customHeight="1">
      <c r="A38" s="22">
        <v>11</v>
      </c>
      <c r="B38" s="84" t="s">
        <v>70</v>
      </c>
      <c r="C38" s="85" t="s">
        <v>29</v>
      </c>
      <c r="D38" s="84" t="s">
        <v>131</v>
      </c>
      <c r="E38" s="87">
        <v>824.5</v>
      </c>
      <c r="F38" s="87">
        <f>SUM(E38*50/1000)</f>
        <v>41.225000000000001</v>
      </c>
      <c r="G38" s="87">
        <v>2102.71</v>
      </c>
      <c r="H38" s="88">
        <f t="shared" si="3"/>
        <v>86.684219749999997</v>
      </c>
      <c r="I38" s="10">
        <f t="shared" si="4"/>
        <v>14447.369958333335</v>
      </c>
    </row>
    <row r="39" spans="1:9" ht="15.75" customHeight="1">
      <c r="A39" s="22">
        <v>12</v>
      </c>
      <c r="B39" s="84" t="s">
        <v>71</v>
      </c>
      <c r="C39" s="85" t="s">
        <v>29</v>
      </c>
      <c r="D39" s="84" t="s">
        <v>94</v>
      </c>
      <c r="E39" s="87">
        <v>188</v>
      </c>
      <c r="F39" s="87">
        <f>SUM(E39*155/1000)</f>
        <v>29.14</v>
      </c>
      <c r="G39" s="87">
        <v>350.75</v>
      </c>
      <c r="H39" s="88">
        <f t="shared" si="3"/>
        <v>10.220855</v>
      </c>
      <c r="I39" s="10">
        <f t="shared" si="4"/>
        <v>1703.4758333333332</v>
      </c>
    </row>
    <row r="40" spans="1:9" ht="47.25" customHeight="1">
      <c r="A40" s="22">
        <v>13</v>
      </c>
      <c r="B40" s="84" t="s">
        <v>89</v>
      </c>
      <c r="C40" s="85" t="s">
        <v>95</v>
      </c>
      <c r="D40" s="84" t="s">
        <v>132</v>
      </c>
      <c r="E40" s="87">
        <v>188</v>
      </c>
      <c r="F40" s="87">
        <f>SUM(E40*12/1000)</f>
        <v>2.2559999999999998</v>
      </c>
      <c r="G40" s="87">
        <v>5803.28</v>
      </c>
      <c r="H40" s="88">
        <f t="shared" si="3"/>
        <v>13.092199679999998</v>
      </c>
      <c r="I40" s="10">
        <f t="shared" si="4"/>
        <v>2182.0332799999996</v>
      </c>
    </row>
    <row r="41" spans="1:9" ht="15.75" customHeight="1">
      <c r="A41" s="22">
        <v>14</v>
      </c>
      <c r="B41" s="84" t="s">
        <v>96</v>
      </c>
      <c r="C41" s="85" t="s">
        <v>95</v>
      </c>
      <c r="D41" s="84" t="s">
        <v>72</v>
      </c>
      <c r="E41" s="87">
        <v>188</v>
      </c>
      <c r="F41" s="87">
        <f>SUM(E41*45/1000)</f>
        <v>8.4600000000000009</v>
      </c>
      <c r="G41" s="87">
        <v>428.7</v>
      </c>
      <c r="H41" s="88">
        <f t="shared" si="3"/>
        <v>3.6268020000000001</v>
      </c>
      <c r="I41" s="10">
        <f t="shared" si="4"/>
        <v>604.4670000000001</v>
      </c>
    </row>
    <row r="42" spans="1:9" ht="15.75" customHeight="1">
      <c r="A42" s="22">
        <v>15</v>
      </c>
      <c r="B42" s="84" t="s">
        <v>73</v>
      </c>
      <c r="C42" s="85" t="s">
        <v>33</v>
      </c>
      <c r="D42" s="84"/>
      <c r="E42" s="86"/>
      <c r="F42" s="87">
        <v>0.9</v>
      </c>
      <c r="G42" s="87">
        <v>798</v>
      </c>
      <c r="H42" s="88">
        <f t="shared" si="3"/>
        <v>0.71820000000000006</v>
      </c>
      <c r="I42" s="10">
        <f t="shared" si="4"/>
        <v>119.69999999999999</v>
      </c>
    </row>
    <row r="43" spans="1:9" ht="15.75" hidden="1" customHeight="1">
      <c r="A43" s="153" t="s">
        <v>148</v>
      </c>
      <c r="B43" s="154"/>
      <c r="C43" s="154"/>
      <c r="D43" s="154"/>
      <c r="E43" s="154"/>
      <c r="F43" s="154"/>
      <c r="G43" s="154"/>
      <c r="H43" s="154"/>
      <c r="I43" s="155"/>
    </row>
    <row r="44" spans="1:9" ht="15.75" hidden="1" customHeight="1">
      <c r="A44" s="22"/>
      <c r="B44" s="84" t="s">
        <v>157</v>
      </c>
      <c r="C44" s="85" t="s">
        <v>95</v>
      </c>
      <c r="D44" s="84" t="s">
        <v>43</v>
      </c>
      <c r="E44" s="86">
        <v>1609.3</v>
      </c>
      <c r="F44" s="87">
        <f>SUM(E44*2/1000)</f>
        <v>3.2185999999999999</v>
      </c>
      <c r="G44" s="10">
        <v>910.17</v>
      </c>
      <c r="H44" s="88">
        <f t="shared" ref="H44:H53" si="5">SUM(F44*G44/1000)</f>
        <v>2.9294731619999999</v>
      </c>
      <c r="I44" s="10">
        <v>0</v>
      </c>
    </row>
    <row r="45" spans="1:9" ht="15.75" hidden="1" customHeight="1">
      <c r="A45" s="22"/>
      <c r="B45" s="84" t="s">
        <v>36</v>
      </c>
      <c r="C45" s="85" t="s">
        <v>95</v>
      </c>
      <c r="D45" s="84" t="s">
        <v>43</v>
      </c>
      <c r="E45" s="86">
        <v>742</v>
      </c>
      <c r="F45" s="87">
        <f>SUM(E45*2/1000)</f>
        <v>1.484</v>
      </c>
      <c r="G45" s="10">
        <v>579.48</v>
      </c>
      <c r="H45" s="88">
        <f t="shared" si="5"/>
        <v>0.85994831999999999</v>
      </c>
      <c r="I45" s="10">
        <v>0</v>
      </c>
    </row>
    <row r="46" spans="1:9" ht="15.75" hidden="1" customHeight="1">
      <c r="A46" s="22"/>
      <c r="B46" s="84" t="s">
        <v>37</v>
      </c>
      <c r="C46" s="85" t="s">
        <v>95</v>
      </c>
      <c r="D46" s="84" t="s">
        <v>43</v>
      </c>
      <c r="E46" s="86">
        <v>4989.8100000000004</v>
      </c>
      <c r="F46" s="87">
        <f>SUM(E46*2/1000)</f>
        <v>9.9796200000000006</v>
      </c>
      <c r="G46" s="10">
        <v>579.48</v>
      </c>
      <c r="H46" s="88">
        <f t="shared" si="5"/>
        <v>5.7829901976000002</v>
      </c>
      <c r="I46" s="10">
        <v>0</v>
      </c>
    </row>
    <row r="47" spans="1:9" ht="15.75" hidden="1" customHeight="1">
      <c r="A47" s="22"/>
      <c r="B47" s="84" t="s">
        <v>38</v>
      </c>
      <c r="C47" s="85" t="s">
        <v>95</v>
      </c>
      <c r="D47" s="84" t="s">
        <v>43</v>
      </c>
      <c r="E47" s="86">
        <v>2654.21</v>
      </c>
      <c r="F47" s="87">
        <f>SUM(E47*2/1000)</f>
        <v>5.3084199999999999</v>
      </c>
      <c r="G47" s="10">
        <v>606.77</v>
      </c>
      <c r="H47" s="88">
        <f t="shared" si="5"/>
        <v>3.2209900033999999</v>
      </c>
      <c r="I47" s="10">
        <v>0</v>
      </c>
    </row>
    <row r="48" spans="1:9" ht="15.75" hidden="1" customHeight="1">
      <c r="A48" s="22"/>
      <c r="B48" s="84" t="s">
        <v>34</v>
      </c>
      <c r="C48" s="85" t="s">
        <v>35</v>
      </c>
      <c r="D48" s="84" t="s">
        <v>43</v>
      </c>
      <c r="E48" s="86">
        <v>128.53</v>
      </c>
      <c r="F48" s="87">
        <f>SUM(E48*2/100)</f>
        <v>2.5706000000000002</v>
      </c>
      <c r="G48" s="10">
        <v>72.81</v>
      </c>
      <c r="H48" s="88">
        <f t="shared" si="5"/>
        <v>0.18716538600000002</v>
      </c>
      <c r="I48" s="10">
        <v>0</v>
      </c>
    </row>
    <row r="49" spans="1:9" ht="15.75" hidden="1" customHeight="1">
      <c r="A49" s="22">
        <v>16</v>
      </c>
      <c r="B49" s="84" t="s">
        <v>58</v>
      </c>
      <c r="C49" s="85" t="s">
        <v>95</v>
      </c>
      <c r="D49" s="84" t="s">
        <v>170</v>
      </c>
      <c r="E49" s="86">
        <v>2026.8</v>
      </c>
      <c r="F49" s="87">
        <f>SUM(E49*5/1000)</f>
        <v>10.134</v>
      </c>
      <c r="G49" s="10">
        <v>1213.55</v>
      </c>
      <c r="H49" s="88">
        <f t="shared" si="5"/>
        <v>12.2981157</v>
      </c>
      <c r="I49" s="10">
        <f>F49/5*G49</f>
        <v>2459.6231400000001</v>
      </c>
    </row>
    <row r="50" spans="1:9" ht="31.5" hidden="1" customHeight="1">
      <c r="A50" s="22"/>
      <c r="B50" s="84" t="s">
        <v>97</v>
      </c>
      <c r="C50" s="85" t="s">
        <v>95</v>
      </c>
      <c r="D50" s="84" t="s">
        <v>43</v>
      </c>
      <c r="E50" s="86">
        <v>2026.8</v>
      </c>
      <c r="F50" s="87">
        <f>SUM(E50*2/1000)</f>
        <v>4.0536000000000003</v>
      </c>
      <c r="G50" s="10">
        <v>1213.55</v>
      </c>
      <c r="H50" s="88">
        <f t="shared" si="5"/>
        <v>4.9192462800000003</v>
      </c>
      <c r="I50" s="10">
        <v>0</v>
      </c>
    </row>
    <row r="51" spans="1:9" ht="31.5" hidden="1" customHeight="1">
      <c r="A51" s="22"/>
      <c r="B51" s="84" t="s">
        <v>98</v>
      </c>
      <c r="C51" s="85" t="s">
        <v>39</v>
      </c>
      <c r="D51" s="84" t="s">
        <v>43</v>
      </c>
      <c r="E51" s="86">
        <v>40</v>
      </c>
      <c r="F51" s="87">
        <f>SUM(E51*2/100)</f>
        <v>0.8</v>
      </c>
      <c r="G51" s="10">
        <v>2730.49</v>
      </c>
      <c r="H51" s="88">
        <f t="shared" si="5"/>
        <v>2.1843919999999999</v>
      </c>
      <c r="I51" s="10">
        <v>0</v>
      </c>
    </row>
    <row r="52" spans="1:9" ht="15.75" hidden="1" customHeight="1">
      <c r="A52" s="22"/>
      <c r="B52" s="84" t="s">
        <v>40</v>
      </c>
      <c r="C52" s="85" t="s">
        <v>41</v>
      </c>
      <c r="D52" s="84" t="s">
        <v>43</v>
      </c>
      <c r="E52" s="86">
        <v>1</v>
      </c>
      <c r="F52" s="87">
        <v>0.02</v>
      </c>
      <c r="G52" s="10">
        <v>5652.13</v>
      </c>
      <c r="H52" s="88">
        <f t="shared" si="5"/>
        <v>0.11304260000000001</v>
      </c>
      <c r="I52" s="10">
        <v>0</v>
      </c>
    </row>
    <row r="53" spans="1:9" ht="15.75" hidden="1" customHeight="1">
      <c r="A53" s="22">
        <v>16</v>
      </c>
      <c r="B53" s="84" t="s">
        <v>42</v>
      </c>
      <c r="C53" s="85" t="s">
        <v>102</v>
      </c>
      <c r="D53" s="84" t="s">
        <v>74</v>
      </c>
      <c r="E53" s="86">
        <v>160</v>
      </c>
      <c r="F53" s="87">
        <f>SUM(E53)*3</f>
        <v>480</v>
      </c>
      <c r="G53" s="10">
        <v>65.67</v>
      </c>
      <c r="H53" s="88">
        <f t="shared" si="5"/>
        <v>31.521600000000003</v>
      </c>
      <c r="I53" s="10">
        <f>E53*G53</f>
        <v>10507.2</v>
      </c>
    </row>
    <row r="54" spans="1:9" ht="15.75" customHeight="1">
      <c r="A54" s="153" t="s">
        <v>152</v>
      </c>
      <c r="B54" s="154"/>
      <c r="C54" s="154"/>
      <c r="D54" s="154"/>
      <c r="E54" s="154"/>
      <c r="F54" s="154"/>
      <c r="G54" s="154"/>
      <c r="H54" s="154"/>
      <c r="I54" s="155"/>
    </row>
    <row r="55" spans="1:9" ht="15.75" customHeight="1">
      <c r="A55" s="22"/>
      <c r="B55" s="107" t="s">
        <v>44</v>
      </c>
      <c r="C55" s="85"/>
      <c r="D55" s="84"/>
      <c r="E55" s="86"/>
      <c r="F55" s="87"/>
      <c r="G55" s="87"/>
      <c r="H55" s="88"/>
      <c r="I55" s="10"/>
    </row>
    <row r="56" spans="1:9" ht="31.5" customHeight="1">
      <c r="A56" s="22">
        <v>16</v>
      </c>
      <c r="B56" s="84" t="s">
        <v>158</v>
      </c>
      <c r="C56" s="85" t="s">
        <v>93</v>
      </c>
      <c r="D56" s="84" t="s">
        <v>126</v>
      </c>
      <c r="E56" s="86">
        <v>176.93</v>
      </c>
      <c r="F56" s="87">
        <f>SUM(E56*6/100)</f>
        <v>10.6158</v>
      </c>
      <c r="G56" s="10">
        <v>1547.28</v>
      </c>
      <c r="H56" s="88">
        <f>SUM(F56*G56/1000)</f>
        <v>16.425615023999999</v>
      </c>
      <c r="I56" s="10">
        <f>F56/6*G56</f>
        <v>2737.602504</v>
      </c>
    </row>
    <row r="57" spans="1:9" ht="15.75" customHeight="1">
      <c r="A57" s="22"/>
      <c r="B57" s="107" t="s">
        <v>45</v>
      </c>
      <c r="C57" s="85"/>
      <c r="D57" s="84"/>
      <c r="E57" s="86"/>
      <c r="F57" s="87"/>
      <c r="G57" s="109"/>
      <c r="H57" s="88"/>
      <c r="I57" s="10"/>
    </row>
    <row r="58" spans="1:9" ht="15.75" hidden="1" customHeight="1">
      <c r="A58" s="22"/>
      <c r="B58" s="84" t="s">
        <v>46</v>
      </c>
      <c r="C58" s="85" t="s">
        <v>93</v>
      </c>
      <c r="D58" s="84" t="s">
        <v>55</v>
      </c>
      <c r="E58" s="86">
        <v>2026.8</v>
      </c>
      <c r="F58" s="88">
        <v>20.268000000000001</v>
      </c>
      <c r="G58" s="10">
        <v>793.61</v>
      </c>
      <c r="H58" s="94">
        <v>16.085000000000001</v>
      </c>
      <c r="I58" s="10">
        <v>0</v>
      </c>
    </row>
    <row r="59" spans="1:9" ht="15.75" customHeight="1">
      <c r="A59" s="22">
        <v>17</v>
      </c>
      <c r="B59" s="84" t="s">
        <v>138</v>
      </c>
      <c r="C59" s="85" t="s">
        <v>25</v>
      </c>
      <c r="D59" s="84" t="s">
        <v>139</v>
      </c>
      <c r="E59" s="86">
        <v>325</v>
      </c>
      <c r="F59" s="87">
        <f>E59*12</f>
        <v>3900</v>
      </c>
      <c r="G59" s="110">
        <v>2.59</v>
      </c>
      <c r="H59" s="88">
        <f>F59*G59/1000</f>
        <v>10.101000000000001</v>
      </c>
      <c r="I59" s="10">
        <f>F59/12*G59</f>
        <v>841.75</v>
      </c>
    </row>
    <row r="60" spans="1:9" ht="15.75" hidden="1" customHeight="1">
      <c r="A60" s="22"/>
      <c r="B60" s="107" t="s">
        <v>159</v>
      </c>
      <c r="C60" s="85"/>
      <c r="D60" s="84"/>
      <c r="E60" s="86"/>
      <c r="F60" s="87"/>
      <c r="G60" s="87"/>
      <c r="H60" s="88" t="s">
        <v>156</v>
      </c>
      <c r="I60" s="10"/>
    </row>
    <row r="61" spans="1:9" ht="15.75" hidden="1" customHeight="1">
      <c r="A61" s="22"/>
      <c r="B61" s="84" t="s">
        <v>171</v>
      </c>
      <c r="C61" s="85" t="s">
        <v>102</v>
      </c>
      <c r="D61" s="84" t="s">
        <v>55</v>
      </c>
      <c r="E61" s="86">
        <v>4</v>
      </c>
      <c r="F61" s="87">
        <f>SUM(E61)</f>
        <v>4</v>
      </c>
      <c r="G61" s="95">
        <v>237.75</v>
      </c>
      <c r="H61" s="88">
        <f t="shared" ref="H61:H79" si="6">SUM(F61*G61/1000)</f>
        <v>0.95099999999999996</v>
      </c>
      <c r="I61" s="10">
        <v>0</v>
      </c>
    </row>
    <row r="62" spans="1:9" ht="15.75" hidden="1" customHeight="1">
      <c r="A62" s="22"/>
      <c r="B62" s="108" t="s">
        <v>47</v>
      </c>
      <c r="C62" s="96"/>
      <c r="D62" s="97"/>
      <c r="E62" s="98"/>
      <c r="F62" s="99"/>
      <c r="G62" s="99"/>
      <c r="H62" s="100" t="s">
        <v>156</v>
      </c>
      <c r="I62" s="10"/>
    </row>
    <row r="63" spans="1:9" ht="15.75" hidden="1" customHeight="1">
      <c r="A63" s="22">
        <v>20</v>
      </c>
      <c r="B63" s="11" t="s">
        <v>48</v>
      </c>
      <c r="C63" s="13" t="s">
        <v>102</v>
      </c>
      <c r="D63" s="11" t="s">
        <v>69</v>
      </c>
      <c r="E63" s="16">
        <v>30</v>
      </c>
      <c r="F63" s="87">
        <v>30</v>
      </c>
      <c r="G63" s="10">
        <v>222.4</v>
      </c>
      <c r="H63" s="82">
        <f t="shared" si="6"/>
        <v>6.6719999999999997</v>
      </c>
      <c r="I63" s="10">
        <f>G63</f>
        <v>222.4</v>
      </c>
    </row>
    <row r="64" spans="1:9" ht="15.75" hidden="1" customHeight="1">
      <c r="A64" s="22">
        <v>21</v>
      </c>
      <c r="B64" s="11" t="s">
        <v>49</v>
      </c>
      <c r="C64" s="13" t="s">
        <v>102</v>
      </c>
      <c r="D64" s="11" t="s">
        <v>69</v>
      </c>
      <c r="E64" s="16">
        <v>5</v>
      </c>
      <c r="F64" s="87">
        <v>5</v>
      </c>
      <c r="G64" s="10">
        <v>76.25</v>
      </c>
      <c r="H64" s="82">
        <f t="shared" si="6"/>
        <v>0.38124999999999998</v>
      </c>
      <c r="I64" s="10">
        <f>G64</f>
        <v>76.25</v>
      </c>
    </row>
    <row r="65" spans="1:9" ht="15.75" hidden="1" customHeight="1">
      <c r="A65" s="22"/>
      <c r="B65" s="11" t="s">
        <v>50</v>
      </c>
      <c r="C65" s="13" t="s">
        <v>103</v>
      </c>
      <c r="D65" s="11" t="s">
        <v>55</v>
      </c>
      <c r="E65" s="86">
        <v>24063</v>
      </c>
      <c r="F65" s="10">
        <f>SUM(E65/100)</f>
        <v>240.63</v>
      </c>
      <c r="G65" s="10">
        <v>212.15</v>
      </c>
      <c r="H65" s="82">
        <f t="shared" si="6"/>
        <v>51.049654499999995</v>
      </c>
      <c r="I65" s="10">
        <v>0</v>
      </c>
    </row>
    <row r="66" spans="1:9" ht="15.75" hidden="1" customHeight="1">
      <c r="A66" s="22"/>
      <c r="B66" s="11" t="s">
        <v>51</v>
      </c>
      <c r="C66" s="13" t="s">
        <v>104</v>
      </c>
      <c r="D66" s="11"/>
      <c r="E66" s="86">
        <v>24063</v>
      </c>
      <c r="F66" s="10">
        <f>SUM(E66/1000)</f>
        <v>24.062999999999999</v>
      </c>
      <c r="G66" s="10">
        <v>165.21</v>
      </c>
      <c r="H66" s="82">
        <f t="shared" si="6"/>
        <v>3.97544823</v>
      </c>
      <c r="I66" s="10">
        <v>0</v>
      </c>
    </row>
    <row r="67" spans="1:9" ht="15.75" hidden="1" customHeight="1">
      <c r="A67" s="22"/>
      <c r="B67" s="11" t="s">
        <v>52</v>
      </c>
      <c r="C67" s="13" t="s">
        <v>81</v>
      </c>
      <c r="D67" s="11" t="s">
        <v>55</v>
      </c>
      <c r="E67" s="86">
        <v>2730</v>
      </c>
      <c r="F67" s="10">
        <f>SUM(E67/100)</f>
        <v>27.3</v>
      </c>
      <c r="G67" s="10">
        <v>2074.63</v>
      </c>
      <c r="H67" s="82">
        <f t="shared" si="6"/>
        <v>56.637399000000002</v>
      </c>
      <c r="I67" s="10">
        <v>0</v>
      </c>
    </row>
    <row r="68" spans="1:9" ht="15.75" hidden="1" customHeight="1">
      <c r="A68" s="22"/>
      <c r="B68" s="101" t="s">
        <v>75</v>
      </c>
      <c r="C68" s="13" t="s">
        <v>33</v>
      </c>
      <c r="D68" s="11"/>
      <c r="E68" s="86">
        <v>21.4</v>
      </c>
      <c r="F68" s="10">
        <f>SUM(E68)</f>
        <v>21.4</v>
      </c>
      <c r="G68" s="10">
        <v>45.32</v>
      </c>
      <c r="H68" s="82">
        <f t="shared" si="6"/>
        <v>0.96984799999999993</v>
      </c>
      <c r="I68" s="10">
        <v>0</v>
      </c>
    </row>
    <row r="69" spans="1:9" ht="15.75" hidden="1" customHeight="1">
      <c r="A69" s="22"/>
      <c r="B69" s="101" t="s">
        <v>76</v>
      </c>
      <c r="C69" s="13" t="s">
        <v>33</v>
      </c>
      <c r="D69" s="11"/>
      <c r="E69" s="86">
        <v>21.4</v>
      </c>
      <c r="F69" s="10">
        <f>SUM(E69)</f>
        <v>21.4</v>
      </c>
      <c r="G69" s="10">
        <v>42.28</v>
      </c>
      <c r="H69" s="82">
        <f t="shared" si="6"/>
        <v>0.90479199999999993</v>
      </c>
      <c r="I69" s="10">
        <v>0</v>
      </c>
    </row>
    <row r="70" spans="1:9" ht="15.75" hidden="1" customHeight="1">
      <c r="A70" s="22">
        <v>22</v>
      </c>
      <c r="B70" s="101" t="s">
        <v>133</v>
      </c>
      <c r="C70" s="13"/>
      <c r="D70" s="11"/>
      <c r="E70" s="102"/>
      <c r="F70" s="76">
        <v>1</v>
      </c>
      <c r="G70" s="10">
        <v>5600</v>
      </c>
      <c r="H70" s="82">
        <f t="shared" si="6"/>
        <v>5.6</v>
      </c>
      <c r="I70" s="10">
        <f>F70*G70</f>
        <v>5600</v>
      </c>
    </row>
    <row r="71" spans="1:9" ht="15.75" hidden="1" customHeight="1">
      <c r="A71" s="22"/>
      <c r="B71" s="11" t="s">
        <v>59</v>
      </c>
      <c r="C71" s="13" t="s">
        <v>60</v>
      </c>
      <c r="D71" s="11" t="s">
        <v>55</v>
      </c>
      <c r="E71" s="16">
        <v>10</v>
      </c>
      <c r="F71" s="87">
        <f>SUM(E71)</f>
        <v>10</v>
      </c>
      <c r="G71" s="10">
        <v>49.88</v>
      </c>
      <c r="H71" s="82">
        <f t="shared" si="6"/>
        <v>0.49880000000000002</v>
      </c>
      <c r="I71" s="10">
        <v>0</v>
      </c>
    </row>
    <row r="72" spans="1:9" ht="15.75" hidden="1" customHeight="1">
      <c r="A72" s="22"/>
      <c r="B72" s="70" t="s">
        <v>77</v>
      </c>
      <c r="C72" s="13"/>
      <c r="D72" s="11"/>
      <c r="E72" s="16"/>
      <c r="F72" s="10"/>
      <c r="G72" s="10"/>
      <c r="H72" s="82" t="s">
        <v>156</v>
      </c>
      <c r="I72" s="10"/>
    </row>
    <row r="73" spans="1:9" ht="15.75" hidden="1" customHeight="1">
      <c r="A73" s="22">
        <v>19</v>
      </c>
      <c r="B73" s="11" t="s">
        <v>78</v>
      </c>
      <c r="C73" s="13" t="s">
        <v>79</v>
      </c>
      <c r="D73" s="11"/>
      <c r="E73" s="16">
        <v>160</v>
      </c>
      <c r="F73" s="10">
        <v>16</v>
      </c>
      <c r="G73" s="10">
        <v>501.62</v>
      </c>
      <c r="H73" s="82">
        <f t="shared" si="6"/>
        <v>8.0259199999999993</v>
      </c>
      <c r="I73" s="10">
        <f>G73*0.7</f>
        <v>351.13399999999996</v>
      </c>
    </row>
    <row r="74" spans="1:9" ht="15.75" hidden="1" customHeight="1">
      <c r="A74" s="22"/>
      <c r="B74" s="11" t="s">
        <v>128</v>
      </c>
      <c r="C74" s="13" t="s">
        <v>102</v>
      </c>
      <c r="D74" s="11"/>
      <c r="E74" s="16">
        <v>1</v>
      </c>
      <c r="F74" s="87">
        <f>SUM(E74)</f>
        <v>1</v>
      </c>
      <c r="G74" s="10">
        <v>358.51</v>
      </c>
      <c r="H74" s="82">
        <f t="shared" si="6"/>
        <v>0.35851</v>
      </c>
      <c r="I74" s="10">
        <v>0</v>
      </c>
    </row>
    <row r="75" spans="1:9" ht="15.75" hidden="1" customHeight="1">
      <c r="A75" s="22">
        <v>20</v>
      </c>
      <c r="B75" s="11" t="s">
        <v>134</v>
      </c>
      <c r="C75" s="13" t="s">
        <v>31</v>
      </c>
      <c r="D75" s="11"/>
      <c r="E75" s="16">
        <v>3</v>
      </c>
      <c r="F75" s="10">
        <v>3</v>
      </c>
      <c r="G75" s="10">
        <v>99.85</v>
      </c>
      <c r="H75" s="82">
        <f>F75*G75/1000</f>
        <v>0.29954999999999993</v>
      </c>
      <c r="I75" s="10">
        <f>G75*3</f>
        <v>299.54999999999995</v>
      </c>
    </row>
    <row r="76" spans="1:9" ht="15.75" hidden="1" customHeight="1">
      <c r="A76" s="22"/>
      <c r="B76" s="11" t="s">
        <v>135</v>
      </c>
      <c r="C76" s="13" t="s">
        <v>31</v>
      </c>
      <c r="D76" s="11"/>
      <c r="E76" s="16">
        <v>2</v>
      </c>
      <c r="F76" s="10">
        <v>2</v>
      </c>
      <c r="G76" s="10">
        <v>120.26</v>
      </c>
      <c r="H76" s="82">
        <f>F76*G76/1000</f>
        <v>0.24052000000000001</v>
      </c>
      <c r="I76" s="10">
        <v>0</v>
      </c>
    </row>
    <row r="77" spans="1:9" ht="15.75" hidden="1" customHeight="1">
      <c r="A77" s="22"/>
      <c r="B77" s="11" t="s">
        <v>127</v>
      </c>
      <c r="C77" s="13" t="s">
        <v>102</v>
      </c>
      <c r="D77" s="11"/>
      <c r="E77" s="16">
        <v>1</v>
      </c>
      <c r="F77" s="87">
        <f>SUM(E77)</f>
        <v>1</v>
      </c>
      <c r="G77" s="10">
        <v>911.85</v>
      </c>
      <c r="H77" s="82">
        <f t="shared" ref="H77" si="7">SUM(F77*G77/1000)</f>
        <v>0.91185000000000005</v>
      </c>
      <c r="I77" s="10">
        <v>0</v>
      </c>
    </row>
    <row r="78" spans="1:9" ht="15.75" hidden="1" customHeight="1">
      <c r="A78" s="22"/>
      <c r="B78" s="104" t="s">
        <v>80</v>
      </c>
      <c r="C78" s="13"/>
      <c r="D78" s="11"/>
      <c r="E78" s="16"/>
      <c r="F78" s="10"/>
      <c r="G78" s="10" t="s">
        <v>156</v>
      </c>
      <c r="H78" s="82" t="s">
        <v>156</v>
      </c>
      <c r="I78" s="10"/>
    </row>
    <row r="79" spans="1:9" ht="15.75" hidden="1" customHeight="1">
      <c r="A79" s="22"/>
      <c r="B79" s="49" t="s">
        <v>107</v>
      </c>
      <c r="C79" s="13" t="s">
        <v>81</v>
      </c>
      <c r="D79" s="11"/>
      <c r="E79" s="16"/>
      <c r="F79" s="10">
        <v>0.6</v>
      </c>
      <c r="G79" s="10">
        <v>2759.44</v>
      </c>
      <c r="H79" s="82">
        <f t="shared" si="6"/>
        <v>1.655664</v>
      </c>
      <c r="I79" s="10">
        <v>0</v>
      </c>
    </row>
    <row r="80" spans="1:9" ht="15.75" hidden="1" customHeight="1">
      <c r="A80" s="22"/>
      <c r="B80" s="70" t="s">
        <v>99</v>
      </c>
      <c r="C80" s="104"/>
      <c r="D80" s="24"/>
      <c r="E80" s="25"/>
      <c r="F80" s="90"/>
      <c r="G80" s="90"/>
      <c r="H80" s="105">
        <f>SUM(H56:H79)</f>
        <v>181.74382075399996</v>
      </c>
      <c r="I80" s="90"/>
    </row>
    <row r="81" spans="1:9" ht="15.75" hidden="1" customHeight="1">
      <c r="A81" s="22"/>
      <c r="B81" s="84" t="s">
        <v>105</v>
      </c>
      <c r="C81" s="13"/>
      <c r="D81" s="11"/>
      <c r="E81" s="77"/>
      <c r="F81" s="10">
        <v>1</v>
      </c>
      <c r="G81" s="10">
        <v>17508</v>
      </c>
      <c r="H81" s="82">
        <f>G81*F81/1000</f>
        <v>17.507999999999999</v>
      </c>
      <c r="I81" s="10">
        <v>0</v>
      </c>
    </row>
    <row r="82" spans="1:9" ht="15.75" customHeight="1">
      <c r="A82" s="153" t="s">
        <v>153</v>
      </c>
      <c r="B82" s="154"/>
      <c r="C82" s="154"/>
      <c r="D82" s="154"/>
      <c r="E82" s="154"/>
      <c r="F82" s="154"/>
      <c r="G82" s="154"/>
      <c r="H82" s="154"/>
      <c r="I82" s="155"/>
    </row>
    <row r="83" spans="1:9" ht="15.75" customHeight="1">
      <c r="A83" s="22">
        <v>18</v>
      </c>
      <c r="B83" s="84" t="s">
        <v>106</v>
      </c>
      <c r="C83" s="13" t="s">
        <v>56</v>
      </c>
      <c r="D83" s="106" t="s">
        <v>57</v>
      </c>
      <c r="E83" s="10">
        <v>4394.8999999999996</v>
      </c>
      <c r="F83" s="10">
        <f>SUM(E83*12)</f>
        <v>52738.799999999996</v>
      </c>
      <c r="G83" s="10">
        <v>2.1</v>
      </c>
      <c r="H83" s="82">
        <f>SUM(F83*G83/1000)</f>
        <v>110.75148</v>
      </c>
      <c r="I83" s="10">
        <f>F83/12*G83</f>
        <v>9229.2899999999991</v>
      </c>
    </row>
    <row r="84" spans="1:9" ht="31.5" customHeight="1">
      <c r="A84" s="22">
        <v>19</v>
      </c>
      <c r="B84" s="11" t="s">
        <v>82</v>
      </c>
      <c r="C84" s="13"/>
      <c r="D84" s="106" t="s">
        <v>57</v>
      </c>
      <c r="E84" s="86">
        <f>E83</f>
        <v>4394.8999999999996</v>
      </c>
      <c r="F84" s="10">
        <f>E84*12</f>
        <v>52738.799999999996</v>
      </c>
      <c r="G84" s="10">
        <v>1.63</v>
      </c>
      <c r="H84" s="82">
        <f>F84*G84/1000</f>
        <v>85.964243999999994</v>
      </c>
      <c r="I84" s="10">
        <f>F84/12*G84</f>
        <v>7163.686999999999</v>
      </c>
    </row>
    <row r="85" spans="1:9" ht="15.75" customHeight="1">
      <c r="A85" s="22"/>
      <c r="B85" s="38" t="s">
        <v>85</v>
      </c>
      <c r="C85" s="104"/>
      <c r="D85" s="103"/>
      <c r="E85" s="90"/>
      <c r="F85" s="90"/>
      <c r="G85" s="90"/>
      <c r="H85" s="105">
        <f>SUM(H84)</f>
        <v>85.964243999999994</v>
      </c>
      <c r="I85" s="90">
        <f>I16+I17+I18+I20+I21+I24+I25+I26+I27+I37+I38+I39+I40+I41+I42+I56+I59+I83+I84</f>
        <v>79798.028333666662</v>
      </c>
    </row>
    <row r="86" spans="1:9" ht="15.75" customHeight="1">
      <c r="A86" s="167" t="s">
        <v>62</v>
      </c>
      <c r="B86" s="168"/>
      <c r="C86" s="168"/>
      <c r="D86" s="168"/>
      <c r="E86" s="168"/>
      <c r="F86" s="168"/>
      <c r="G86" s="168"/>
      <c r="H86" s="168"/>
      <c r="I86" s="169"/>
    </row>
    <row r="87" spans="1:9" ht="15.75" customHeight="1">
      <c r="A87" s="22">
        <v>20</v>
      </c>
      <c r="B87" s="68" t="s">
        <v>182</v>
      </c>
      <c r="C87" s="69" t="s">
        <v>144</v>
      </c>
      <c r="D87" s="49"/>
      <c r="E87" s="10"/>
      <c r="F87" s="10">
        <f>((3+3+3+10+5+10+15+3+10+10+3+15+3+3+10)/3)</f>
        <v>35.333333333333336</v>
      </c>
      <c r="G87" s="10">
        <v>1120.8900000000001</v>
      </c>
      <c r="H87" s="82">
        <f>G87*F87/1000</f>
        <v>39.604780000000005</v>
      </c>
      <c r="I87" s="10">
        <f>G87*((3+10)/3)</f>
        <v>4857.1900000000005</v>
      </c>
    </row>
    <row r="88" spans="1:9" ht="15.75" customHeight="1">
      <c r="A88" s="22">
        <v>21</v>
      </c>
      <c r="B88" s="56" t="s">
        <v>137</v>
      </c>
      <c r="C88" s="57" t="s">
        <v>102</v>
      </c>
      <c r="D88" s="49"/>
      <c r="E88" s="10"/>
      <c r="F88" s="10">
        <v>790</v>
      </c>
      <c r="G88" s="10">
        <v>53.42</v>
      </c>
      <c r="H88" s="82">
        <f t="shared" ref="H88:H94" si="8">G88*F88/1000</f>
        <v>42.201800000000006</v>
      </c>
      <c r="I88" s="10">
        <f>G88*79</f>
        <v>4220.18</v>
      </c>
    </row>
    <row r="89" spans="1:9" ht="31.5" customHeight="1">
      <c r="A89" s="22">
        <v>22</v>
      </c>
      <c r="B89" s="56" t="s">
        <v>194</v>
      </c>
      <c r="C89" s="57" t="s">
        <v>136</v>
      </c>
      <c r="D89" s="22"/>
      <c r="E89" s="16"/>
      <c r="F89" s="16">
        <v>3</v>
      </c>
      <c r="G89" s="16">
        <v>666.24</v>
      </c>
      <c r="H89" s="82">
        <f t="shared" si="8"/>
        <v>1.9987200000000001</v>
      </c>
      <c r="I89" s="10">
        <f>G89</f>
        <v>666.24</v>
      </c>
    </row>
    <row r="90" spans="1:9" ht="31.5" customHeight="1">
      <c r="A90" s="22">
        <v>23</v>
      </c>
      <c r="B90" s="56" t="s">
        <v>161</v>
      </c>
      <c r="C90" s="57" t="s">
        <v>162</v>
      </c>
      <c r="D90" s="49"/>
      <c r="E90" s="10"/>
      <c r="F90" s="10">
        <v>2</v>
      </c>
      <c r="G90" s="10">
        <v>54.17</v>
      </c>
      <c r="H90" s="82">
        <f t="shared" si="8"/>
        <v>0.10834000000000001</v>
      </c>
      <c r="I90" s="10">
        <f t="shared" ref="I90:I91" si="9">G90</f>
        <v>54.17</v>
      </c>
    </row>
    <row r="91" spans="1:9" ht="31.5" customHeight="1">
      <c r="A91" s="22">
        <v>24</v>
      </c>
      <c r="B91" s="56" t="s">
        <v>146</v>
      </c>
      <c r="C91" s="57" t="s">
        <v>136</v>
      </c>
      <c r="D91" s="22"/>
      <c r="E91" s="16"/>
      <c r="F91" s="16">
        <v>2</v>
      </c>
      <c r="G91" s="16">
        <v>589.84</v>
      </c>
      <c r="H91" s="82">
        <f t="shared" si="8"/>
        <v>1.1796800000000001</v>
      </c>
      <c r="I91" s="10">
        <f t="shared" si="9"/>
        <v>589.84</v>
      </c>
    </row>
    <row r="92" spans="1:9" ht="15.75" customHeight="1">
      <c r="A92" s="22">
        <v>25</v>
      </c>
      <c r="B92" s="56" t="s">
        <v>183</v>
      </c>
      <c r="C92" s="57" t="s">
        <v>199</v>
      </c>
      <c r="D92" s="49"/>
      <c r="E92" s="10"/>
      <c r="F92" s="10">
        <v>4.5</v>
      </c>
      <c r="G92" s="10">
        <v>1582</v>
      </c>
      <c r="H92" s="82">
        <f t="shared" si="8"/>
        <v>7.1189999999999998</v>
      </c>
      <c r="I92" s="10">
        <f>G92*(1+2)</f>
        <v>4746</v>
      </c>
    </row>
    <row r="93" spans="1:9" ht="31.5" customHeight="1">
      <c r="A93" s="22">
        <v>26</v>
      </c>
      <c r="B93" s="56" t="s">
        <v>88</v>
      </c>
      <c r="C93" s="57" t="s">
        <v>39</v>
      </c>
      <c r="D93" s="49"/>
      <c r="E93" s="10"/>
      <c r="F93" s="10">
        <v>0.08</v>
      </c>
      <c r="G93" s="10">
        <v>3581.13</v>
      </c>
      <c r="H93" s="82">
        <f t="shared" si="8"/>
        <v>0.28649040000000003</v>
      </c>
      <c r="I93" s="10">
        <f>G93*0.02</f>
        <v>71.622600000000006</v>
      </c>
    </row>
    <row r="94" spans="1:9" ht="31.5" customHeight="1">
      <c r="A94" s="22">
        <v>27</v>
      </c>
      <c r="B94" s="56" t="s">
        <v>84</v>
      </c>
      <c r="C94" s="13" t="s">
        <v>31</v>
      </c>
      <c r="D94" s="49"/>
      <c r="E94" s="10"/>
      <c r="F94" s="10">
        <v>8</v>
      </c>
      <c r="G94" s="10">
        <v>83.36</v>
      </c>
      <c r="H94" s="82">
        <f t="shared" si="8"/>
        <v>0.66688000000000003</v>
      </c>
      <c r="I94" s="10">
        <f>G94*3</f>
        <v>250.07999999999998</v>
      </c>
    </row>
    <row r="95" spans="1:9">
      <c r="A95" s="22"/>
      <c r="B95" s="45" t="s">
        <v>53</v>
      </c>
      <c r="C95" s="41"/>
      <c r="D95" s="51"/>
      <c r="E95" s="41">
        <v>1</v>
      </c>
      <c r="F95" s="41"/>
      <c r="G95" s="41"/>
      <c r="H95" s="41"/>
      <c r="I95" s="25">
        <f>SUM(I87:I94)</f>
        <v>15455.322600000001</v>
      </c>
    </row>
    <row r="96" spans="1:9" ht="15.75" customHeight="1">
      <c r="A96" s="22"/>
      <c r="B96" s="49" t="s">
        <v>83</v>
      </c>
      <c r="C96" s="12"/>
      <c r="D96" s="12"/>
      <c r="E96" s="42"/>
      <c r="F96" s="42"/>
      <c r="G96" s="43"/>
      <c r="H96" s="43"/>
      <c r="I96" s="15">
        <v>0</v>
      </c>
    </row>
    <row r="97" spans="1:9" ht="15.75" customHeight="1">
      <c r="A97" s="52"/>
      <c r="B97" s="46" t="s">
        <v>192</v>
      </c>
      <c r="C97" s="30"/>
      <c r="D97" s="30"/>
      <c r="E97" s="30"/>
      <c r="F97" s="30"/>
      <c r="G97" s="30"/>
      <c r="H97" s="30"/>
      <c r="I97" s="44">
        <f>I85+I95</f>
        <v>95253.350933666661</v>
      </c>
    </row>
    <row r="98" spans="1:9" ht="15.75">
      <c r="A98" s="166" t="s">
        <v>203</v>
      </c>
      <c r="B98" s="166"/>
      <c r="C98" s="166"/>
      <c r="D98" s="166"/>
      <c r="E98" s="166"/>
      <c r="F98" s="166"/>
      <c r="G98" s="166"/>
      <c r="H98" s="166"/>
      <c r="I98" s="166"/>
    </row>
    <row r="99" spans="1:9" ht="15.75" customHeight="1">
      <c r="A99" s="67"/>
      <c r="B99" s="161" t="s">
        <v>204</v>
      </c>
      <c r="C99" s="161"/>
      <c r="D99" s="161"/>
      <c r="E99" s="161"/>
      <c r="F99" s="161"/>
      <c r="G99" s="161"/>
      <c r="H99" s="80"/>
      <c r="I99" s="2"/>
    </row>
    <row r="100" spans="1:9" ht="15.75" customHeight="1">
      <c r="A100" s="71"/>
      <c r="B100" s="157" t="s">
        <v>6</v>
      </c>
      <c r="C100" s="157"/>
      <c r="D100" s="157"/>
      <c r="E100" s="157"/>
      <c r="F100" s="157"/>
      <c r="G100" s="157"/>
      <c r="H100" s="17"/>
      <c r="I100" s="4"/>
    </row>
    <row r="101" spans="1:9" ht="15.75" customHeight="1">
      <c r="A101" s="7"/>
      <c r="B101" s="7"/>
      <c r="C101" s="7"/>
      <c r="D101" s="7"/>
      <c r="E101" s="7"/>
      <c r="F101" s="7"/>
      <c r="G101" s="7"/>
      <c r="H101" s="7"/>
      <c r="I101" s="7"/>
    </row>
    <row r="102" spans="1:9" ht="15.75" customHeight="1">
      <c r="A102" s="162" t="s">
        <v>7</v>
      </c>
      <c r="B102" s="162"/>
      <c r="C102" s="162"/>
      <c r="D102" s="162"/>
      <c r="E102" s="162"/>
      <c r="F102" s="162"/>
      <c r="G102" s="162"/>
      <c r="H102" s="162"/>
      <c r="I102" s="162"/>
    </row>
    <row r="103" spans="1:9" ht="15.75" customHeight="1">
      <c r="A103" s="162" t="s">
        <v>8</v>
      </c>
      <c r="B103" s="162"/>
      <c r="C103" s="162"/>
      <c r="D103" s="162"/>
      <c r="E103" s="162"/>
      <c r="F103" s="162"/>
      <c r="G103" s="162"/>
      <c r="H103" s="162"/>
      <c r="I103" s="162"/>
    </row>
    <row r="104" spans="1:9" ht="15.75">
      <c r="A104" s="163" t="s">
        <v>63</v>
      </c>
      <c r="B104" s="163"/>
      <c r="C104" s="163"/>
      <c r="D104" s="163"/>
      <c r="E104" s="163"/>
      <c r="F104" s="163"/>
      <c r="G104" s="163"/>
      <c r="H104" s="163"/>
      <c r="I104" s="163"/>
    </row>
    <row r="105" spans="1:9" ht="8.25" customHeight="1">
      <c r="A105" s="8"/>
    </row>
    <row r="106" spans="1:9" ht="15.75">
      <c r="A106" s="164" t="s">
        <v>9</v>
      </c>
      <c r="B106" s="164"/>
      <c r="C106" s="164"/>
      <c r="D106" s="164"/>
      <c r="E106" s="164"/>
      <c r="F106" s="164"/>
      <c r="G106" s="164"/>
      <c r="H106" s="164"/>
      <c r="I106" s="164"/>
    </row>
    <row r="107" spans="1:9" ht="15.75" customHeight="1">
      <c r="A107" s="3"/>
    </row>
    <row r="108" spans="1:9" ht="15.75">
      <c r="B108" s="74" t="s">
        <v>10</v>
      </c>
      <c r="C108" s="156" t="s">
        <v>150</v>
      </c>
      <c r="D108" s="156"/>
      <c r="E108" s="156"/>
      <c r="F108" s="78"/>
      <c r="I108" s="75"/>
    </row>
    <row r="109" spans="1:9">
      <c r="A109" s="71"/>
      <c r="C109" s="157" t="s">
        <v>11</v>
      </c>
      <c r="D109" s="157"/>
      <c r="E109" s="157"/>
      <c r="F109" s="17"/>
      <c r="I109" s="73" t="s">
        <v>12</v>
      </c>
    </row>
    <row r="110" spans="1:9" ht="8.25" customHeight="1">
      <c r="A110" s="18"/>
      <c r="C110" s="9"/>
      <c r="D110" s="9"/>
      <c r="G110" s="9"/>
      <c r="H110" s="9"/>
    </row>
    <row r="111" spans="1:9" ht="15.75" customHeight="1">
      <c r="B111" s="74" t="s">
        <v>13</v>
      </c>
      <c r="C111" s="158"/>
      <c r="D111" s="158"/>
      <c r="E111" s="158"/>
      <c r="F111" s="79"/>
      <c r="I111" s="75"/>
    </row>
    <row r="112" spans="1:9" ht="15.75" customHeight="1">
      <c r="A112" s="71"/>
      <c r="C112" s="159" t="s">
        <v>11</v>
      </c>
      <c r="D112" s="159"/>
      <c r="E112" s="159"/>
      <c r="F112" s="71"/>
      <c r="I112" s="73" t="s">
        <v>12</v>
      </c>
    </row>
    <row r="113" spans="1:9" ht="15.75" customHeight="1">
      <c r="A113" s="3" t="s">
        <v>14</v>
      </c>
    </row>
    <row r="114" spans="1:9">
      <c r="A114" s="160" t="s">
        <v>15</v>
      </c>
      <c r="B114" s="160"/>
      <c r="C114" s="160"/>
      <c r="D114" s="160"/>
      <c r="E114" s="160"/>
      <c r="F114" s="160"/>
      <c r="G114" s="160"/>
      <c r="H114" s="160"/>
      <c r="I114" s="160"/>
    </row>
    <row r="115" spans="1:9" ht="45" customHeight="1">
      <c r="A115" s="152" t="s">
        <v>16</v>
      </c>
      <c r="B115" s="152"/>
      <c r="C115" s="152"/>
      <c r="D115" s="152"/>
      <c r="E115" s="152"/>
      <c r="F115" s="152"/>
      <c r="G115" s="152"/>
      <c r="H115" s="152"/>
      <c r="I115" s="152"/>
    </row>
    <row r="116" spans="1:9" ht="30" customHeight="1">
      <c r="A116" s="152" t="s">
        <v>17</v>
      </c>
      <c r="B116" s="152"/>
      <c r="C116" s="152"/>
      <c r="D116" s="152"/>
      <c r="E116" s="152"/>
      <c r="F116" s="152"/>
      <c r="G116" s="152"/>
      <c r="H116" s="152"/>
      <c r="I116" s="152"/>
    </row>
    <row r="117" spans="1:9" ht="30" customHeight="1">
      <c r="A117" s="152" t="s">
        <v>21</v>
      </c>
      <c r="B117" s="152"/>
      <c r="C117" s="152"/>
      <c r="D117" s="152"/>
      <c r="E117" s="152"/>
      <c r="F117" s="152"/>
      <c r="G117" s="152"/>
      <c r="H117" s="152"/>
      <c r="I117" s="152"/>
    </row>
    <row r="118" spans="1:9" ht="15" customHeight="1">
      <c r="A118" s="152" t="s">
        <v>20</v>
      </c>
      <c r="B118" s="152"/>
      <c r="C118" s="152"/>
      <c r="D118" s="152"/>
      <c r="E118" s="152"/>
      <c r="F118" s="152"/>
      <c r="G118" s="152"/>
      <c r="H118" s="152"/>
      <c r="I118" s="152"/>
    </row>
  </sheetData>
  <mergeCells count="28">
    <mergeCell ref="A116:I116"/>
    <mergeCell ref="A117:I117"/>
    <mergeCell ref="A118:I118"/>
    <mergeCell ref="C108:E108"/>
    <mergeCell ref="C109:E109"/>
    <mergeCell ref="C111:E111"/>
    <mergeCell ref="C112:E112"/>
    <mergeCell ref="A114:I114"/>
    <mergeCell ref="A115:I115"/>
    <mergeCell ref="A106:I106"/>
    <mergeCell ref="A15:I15"/>
    <mergeCell ref="A28:I28"/>
    <mergeCell ref="A43:I43"/>
    <mergeCell ref="A54:I54"/>
    <mergeCell ref="A82:I82"/>
    <mergeCell ref="A98:I98"/>
    <mergeCell ref="B99:G99"/>
    <mergeCell ref="B100:G100"/>
    <mergeCell ref="A102:I102"/>
    <mergeCell ref="A103:I103"/>
    <mergeCell ref="A104:I104"/>
    <mergeCell ref="A86:I86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1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91</v>
      </c>
      <c r="I1" s="19"/>
    </row>
    <row r="2" spans="1:9" ht="15.75">
      <c r="A2" s="21" t="s">
        <v>64</v>
      </c>
    </row>
    <row r="3" spans="1:9" ht="15.75">
      <c r="A3" s="171" t="s">
        <v>175</v>
      </c>
      <c r="B3" s="171"/>
      <c r="C3" s="171"/>
      <c r="D3" s="171"/>
      <c r="E3" s="171"/>
      <c r="F3" s="171"/>
      <c r="G3" s="171"/>
      <c r="H3" s="171"/>
      <c r="I3" s="171"/>
    </row>
    <row r="4" spans="1:9" ht="31.5" customHeight="1">
      <c r="A4" s="172" t="s">
        <v>143</v>
      </c>
      <c r="B4" s="172"/>
      <c r="C4" s="172"/>
      <c r="D4" s="172"/>
      <c r="E4" s="172"/>
      <c r="F4" s="172"/>
      <c r="G4" s="172"/>
      <c r="H4" s="172"/>
      <c r="I4" s="172"/>
    </row>
    <row r="5" spans="1:9" ht="15.75">
      <c r="A5" s="171" t="s">
        <v>205</v>
      </c>
      <c r="B5" s="173"/>
      <c r="C5" s="173"/>
      <c r="D5" s="173"/>
      <c r="E5" s="173"/>
      <c r="F5" s="173"/>
      <c r="G5" s="173"/>
      <c r="H5" s="173"/>
      <c r="I5" s="173"/>
    </row>
    <row r="6" spans="1:9" ht="15.75">
      <c r="A6" s="1"/>
      <c r="B6" s="72"/>
      <c r="C6" s="72"/>
      <c r="D6" s="72"/>
      <c r="E6" s="72"/>
      <c r="F6" s="72"/>
      <c r="G6" s="72"/>
      <c r="H6" s="72"/>
      <c r="I6" s="23">
        <v>42886</v>
      </c>
    </row>
    <row r="7" spans="1:9" ht="15.75">
      <c r="B7" s="74"/>
      <c r="C7" s="74"/>
      <c r="D7" s="74"/>
      <c r="E7" s="2"/>
      <c r="F7" s="2"/>
      <c r="G7" s="2"/>
      <c r="H7" s="2"/>
    </row>
    <row r="8" spans="1:9" ht="78.75" customHeight="1">
      <c r="A8" s="174" t="s">
        <v>147</v>
      </c>
      <c r="B8" s="174"/>
      <c r="C8" s="174"/>
      <c r="D8" s="174"/>
      <c r="E8" s="174"/>
      <c r="F8" s="174"/>
      <c r="G8" s="174"/>
      <c r="H8" s="174"/>
      <c r="I8" s="174"/>
    </row>
    <row r="9" spans="1:9" ht="7.5" customHeight="1">
      <c r="A9" s="3"/>
    </row>
    <row r="10" spans="1:9" ht="47.25" customHeight="1">
      <c r="A10" s="175" t="s">
        <v>299</v>
      </c>
      <c r="B10" s="175"/>
      <c r="C10" s="175"/>
      <c r="D10" s="175"/>
      <c r="E10" s="175"/>
      <c r="F10" s="175"/>
      <c r="G10" s="175"/>
      <c r="H10" s="175"/>
      <c r="I10" s="175"/>
    </row>
    <row r="11" spans="1:9" ht="8.25" customHeight="1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70" t="s">
        <v>61</v>
      </c>
      <c r="B14" s="170"/>
      <c r="C14" s="170"/>
      <c r="D14" s="170"/>
      <c r="E14" s="170"/>
      <c r="F14" s="170"/>
      <c r="G14" s="170"/>
      <c r="H14" s="170"/>
      <c r="I14" s="170"/>
    </row>
    <row r="15" spans="1:9" ht="15" customHeight="1">
      <c r="A15" s="165" t="s">
        <v>4</v>
      </c>
      <c r="B15" s="165"/>
      <c r="C15" s="165"/>
      <c r="D15" s="165"/>
      <c r="E15" s="165"/>
      <c r="F15" s="165"/>
      <c r="G15" s="165"/>
      <c r="H15" s="165"/>
      <c r="I15" s="165"/>
    </row>
    <row r="16" spans="1:9" ht="31.5" customHeight="1">
      <c r="A16" s="22">
        <v>1</v>
      </c>
      <c r="B16" s="84" t="s">
        <v>109</v>
      </c>
      <c r="C16" s="85" t="s">
        <v>93</v>
      </c>
      <c r="D16" s="84" t="s">
        <v>110</v>
      </c>
      <c r="E16" s="86">
        <v>121.14</v>
      </c>
      <c r="F16" s="87">
        <f>SUM(E16*156/100)</f>
        <v>188.97839999999999</v>
      </c>
      <c r="G16" s="87">
        <v>175.38</v>
      </c>
      <c r="H16" s="88">
        <f t="shared" ref="H16:H25" si="0">SUM(F16*G16/1000)</f>
        <v>33.143031792000002</v>
      </c>
      <c r="I16" s="10">
        <f>F16/12*G16</f>
        <v>2761.9193159999995</v>
      </c>
    </row>
    <row r="17" spans="1:9" ht="31.5" customHeight="1">
      <c r="A17" s="22">
        <v>2</v>
      </c>
      <c r="B17" s="84" t="s">
        <v>111</v>
      </c>
      <c r="C17" s="85" t="s">
        <v>93</v>
      </c>
      <c r="D17" s="84" t="s">
        <v>112</v>
      </c>
      <c r="E17" s="86">
        <v>484.56</v>
      </c>
      <c r="F17" s="87">
        <f>SUM(E17*104/100)</f>
        <v>503.94239999999996</v>
      </c>
      <c r="G17" s="87">
        <v>175.38</v>
      </c>
      <c r="H17" s="88">
        <f t="shared" si="0"/>
        <v>88.381418111999992</v>
      </c>
      <c r="I17" s="10">
        <f>F17/12*G17</f>
        <v>7365.118175999999</v>
      </c>
    </row>
    <row r="18" spans="1:9" ht="31.5" customHeight="1">
      <c r="A18" s="22">
        <v>3</v>
      </c>
      <c r="B18" s="84" t="s">
        <v>113</v>
      </c>
      <c r="C18" s="85" t="s">
        <v>93</v>
      </c>
      <c r="D18" s="84" t="s">
        <v>129</v>
      </c>
      <c r="E18" s="86">
        <f>SUM(E16+E17)</f>
        <v>605.70000000000005</v>
      </c>
      <c r="F18" s="87">
        <f>SUM(E18*24/100)</f>
        <v>145.36800000000002</v>
      </c>
      <c r="G18" s="87">
        <v>504.5</v>
      </c>
      <c r="H18" s="88">
        <f t="shared" si="0"/>
        <v>73.338156000000012</v>
      </c>
      <c r="I18" s="10">
        <f>F18/12*G18</f>
        <v>6111.5130000000008</v>
      </c>
    </row>
    <row r="19" spans="1:9" ht="15.75" customHeight="1">
      <c r="A19" s="22">
        <v>4</v>
      </c>
      <c r="B19" s="84" t="s">
        <v>114</v>
      </c>
      <c r="C19" s="85" t="s">
        <v>115</v>
      </c>
      <c r="D19" s="84" t="s">
        <v>116</v>
      </c>
      <c r="E19" s="86">
        <v>38.4</v>
      </c>
      <c r="F19" s="87">
        <f>SUM(E19/10)</f>
        <v>3.84</v>
      </c>
      <c r="G19" s="87">
        <v>170.16</v>
      </c>
      <c r="H19" s="88">
        <f t="shared" si="0"/>
        <v>0.65341439999999995</v>
      </c>
      <c r="I19" s="10">
        <f>F19/2*G19</f>
        <v>326.7072</v>
      </c>
    </row>
    <row r="20" spans="1:9" ht="15.75" customHeight="1">
      <c r="A20" s="22">
        <v>5</v>
      </c>
      <c r="B20" s="84" t="s">
        <v>117</v>
      </c>
      <c r="C20" s="85" t="s">
        <v>93</v>
      </c>
      <c r="D20" s="84" t="s">
        <v>30</v>
      </c>
      <c r="E20" s="86">
        <v>58.4</v>
      </c>
      <c r="F20" s="87">
        <f>SUM(E20*12/100)</f>
        <v>7.0079999999999991</v>
      </c>
      <c r="G20" s="87">
        <v>217.88</v>
      </c>
      <c r="H20" s="88">
        <f t="shared" si="0"/>
        <v>1.5269030399999997</v>
      </c>
      <c r="I20" s="10">
        <f>F20/12*G20</f>
        <v>127.24191999999999</v>
      </c>
    </row>
    <row r="21" spans="1:9" ht="15.75" customHeight="1">
      <c r="A21" s="22">
        <v>6</v>
      </c>
      <c r="B21" s="84" t="s">
        <v>118</v>
      </c>
      <c r="C21" s="85" t="s">
        <v>93</v>
      </c>
      <c r="D21" s="84" t="s">
        <v>30</v>
      </c>
      <c r="E21" s="86">
        <v>9.08</v>
      </c>
      <c r="F21" s="87">
        <f>SUM(E21*12/100)</f>
        <v>1.0896000000000001</v>
      </c>
      <c r="G21" s="87">
        <v>216.12</v>
      </c>
      <c r="H21" s="88">
        <f t="shared" si="0"/>
        <v>0.23548435200000004</v>
      </c>
      <c r="I21" s="10">
        <f>F21/12*G21</f>
        <v>19.623696000000002</v>
      </c>
    </row>
    <row r="22" spans="1:9" ht="15.75" customHeight="1">
      <c r="A22" s="22">
        <v>7</v>
      </c>
      <c r="B22" s="84" t="s">
        <v>120</v>
      </c>
      <c r="C22" s="85" t="s">
        <v>54</v>
      </c>
      <c r="D22" s="84" t="s">
        <v>116</v>
      </c>
      <c r="E22" s="86">
        <v>714</v>
      </c>
      <c r="F22" s="87">
        <f>SUM(E22/100)</f>
        <v>7.14</v>
      </c>
      <c r="G22" s="87">
        <v>269.26</v>
      </c>
      <c r="H22" s="88">
        <f t="shared" si="0"/>
        <v>1.9225163999999997</v>
      </c>
      <c r="I22" s="10">
        <f>F22*G22</f>
        <v>1922.5163999999997</v>
      </c>
    </row>
    <row r="23" spans="1:9" ht="15.75" customHeight="1">
      <c r="A23" s="22">
        <v>8</v>
      </c>
      <c r="B23" s="84" t="s">
        <v>121</v>
      </c>
      <c r="C23" s="85" t="s">
        <v>54</v>
      </c>
      <c r="D23" s="84" t="s">
        <v>116</v>
      </c>
      <c r="E23" s="89">
        <v>96.6</v>
      </c>
      <c r="F23" s="87">
        <f>SUM(E23/100)</f>
        <v>0.96599999999999997</v>
      </c>
      <c r="G23" s="87">
        <v>44.29</v>
      </c>
      <c r="H23" s="88">
        <f t="shared" si="0"/>
        <v>4.2784139999999998E-2</v>
      </c>
      <c r="I23" s="10">
        <f>F23*G23</f>
        <v>42.784140000000001</v>
      </c>
    </row>
    <row r="24" spans="1:9" ht="15.75" customHeight="1">
      <c r="A24" s="22">
        <v>9</v>
      </c>
      <c r="B24" s="84" t="s">
        <v>122</v>
      </c>
      <c r="C24" s="85" t="s">
        <v>54</v>
      </c>
      <c r="D24" s="84" t="s">
        <v>141</v>
      </c>
      <c r="E24" s="86">
        <v>32</v>
      </c>
      <c r="F24" s="87">
        <f>E24*12/100</f>
        <v>3.84</v>
      </c>
      <c r="G24" s="87">
        <v>389.42</v>
      </c>
      <c r="H24" s="88">
        <f t="shared" si="0"/>
        <v>1.4953728000000002</v>
      </c>
      <c r="I24" s="10">
        <f>F24/12*G24</f>
        <v>124.6144</v>
      </c>
    </row>
    <row r="25" spans="1:9" ht="15.75" customHeight="1">
      <c r="A25" s="22">
        <v>10</v>
      </c>
      <c r="B25" s="84" t="s">
        <v>124</v>
      </c>
      <c r="C25" s="85" t="s">
        <v>54</v>
      </c>
      <c r="D25" s="84" t="s">
        <v>142</v>
      </c>
      <c r="E25" s="86">
        <v>17</v>
      </c>
      <c r="F25" s="87">
        <f>SUM(E25*12/100)</f>
        <v>2.04</v>
      </c>
      <c r="G25" s="87">
        <v>520.79999999999995</v>
      </c>
      <c r="H25" s="88">
        <f t="shared" si="0"/>
        <v>1.062432</v>
      </c>
      <c r="I25" s="10">
        <f>F25/12*G25</f>
        <v>88.536000000000001</v>
      </c>
    </row>
    <row r="26" spans="1:9" ht="15.75" customHeight="1">
      <c r="A26" s="22">
        <v>11</v>
      </c>
      <c r="B26" s="84" t="s">
        <v>66</v>
      </c>
      <c r="C26" s="85" t="s">
        <v>33</v>
      </c>
      <c r="D26" s="84" t="s">
        <v>155</v>
      </c>
      <c r="E26" s="86">
        <v>0.1</v>
      </c>
      <c r="F26" s="87">
        <f>SUM(E26*365)</f>
        <v>36.5</v>
      </c>
      <c r="G26" s="87">
        <v>147.03</v>
      </c>
      <c r="H26" s="88">
        <f>SUM(F26*G26/1000)</f>
        <v>5.3665950000000002</v>
      </c>
      <c r="I26" s="10">
        <f>F26/12*G26</f>
        <v>447.21625</v>
      </c>
    </row>
    <row r="27" spans="1:9" ht="15.75" customHeight="1">
      <c r="A27" s="22">
        <v>12</v>
      </c>
      <c r="B27" s="93" t="s">
        <v>23</v>
      </c>
      <c r="C27" s="85" t="s">
        <v>24</v>
      </c>
      <c r="D27" s="93" t="s">
        <v>156</v>
      </c>
      <c r="E27" s="86">
        <v>4394</v>
      </c>
      <c r="F27" s="87">
        <f>SUM(E27*12)</f>
        <v>52728</v>
      </c>
      <c r="G27" s="87">
        <v>4.53</v>
      </c>
      <c r="H27" s="88">
        <f>SUM(F27*G27/1000)</f>
        <v>238.85784000000004</v>
      </c>
      <c r="I27" s="10">
        <f>F27/12*G27</f>
        <v>19904.82</v>
      </c>
    </row>
    <row r="28" spans="1:9" ht="15.75" customHeight="1">
      <c r="A28" s="153" t="s">
        <v>90</v>
      </c>
      <c r="B28" s="154"/>
      <c r="C28" s="154"/>
      <c r="D28" s="154"/>
      <c r="E28" s="154"/>
      <c r="F28" s="154"/>
      <c r="G28" s="154"/>
      <c r="H28" s="154"/>
      <c r="I28" s="155"/>
    </row>
    <row r="29" spans="1:9" ht="15.75" customHeight="1">
      <c r="A29" s="22"/>
      <c r="B29" s="107" t="s">
        <v>28</v>
      </c>
      <c r="C29" s="85"/>
      <c r="D29" s="84"/>
      <c r="E29" s="86"/>
      <c r="F29" s="87"/>
      <c r="G29" s="87"/>
      <c r="H29" s="88"/>
      <c r="I29" s="10"/>
    </row>
    <row r="30" spans="1:9" ht="31.5" customHeight="1">
      <c r="A30" s="22">
        <v>13</v>
      </c>
      <c r="B30" s="84" t="s">
        <v>101</v>
      </c>
      <c r="C30" s="85" t="s">
        <v>95</v>
      </c>
      <c r="D30" s="84" t="s">
        <v>130</v>
      </c>
      <c r="E30" s="87">
        <v>2873.1</v>
      </c>
      <c r="F30" s="87">
        <f>SUM(E30*26/1000)</f>
        <v>74.700599999999994</v>
      </c>
      <c r="G30" s="87">
        <v>155.88999999999999</v>
      </c>
      <c r="H30" s="88">
        <f t="shared" ref="H30:H35" si="1">SUM(F30*G30/1000)</f>
        <v>11.645076533999998</v>
      </c>
      <c r="I30" s="10">
        <f t="shared" ref="I30:I33" si="2">F30/6*G30</f>
        <v>1940.8460889999997</v>
      </c>
    </row>
    <row r="31" spans="1:9" ht="31.5" customHeight="1">
      <c r="A31" s="22">
        <v>14</v>
      </c>
      <c r="B31" s="84" t="s">
        <v>169</v>
      </c>
      <c r="C31" s="85" t="s">
        <v>95</v>
      </c>
      <c r="D31" s="84" t="s">
        <v>125</v>
      </c>
      <c r="E31" s="87">
        <v>824.5</v>
      </c>
      <c r="F31" s="87">
        <f>SUM(E31*78/1000)</f>
        <v>64.311000000000007</v>
      </c>
      <c r="G31" s="87">
        <v>258.63</v>
      </c>
      <c r="H31" s="88">
        <f t="shared" si="1"/>
        <v>16.632753930000003</v>
      </c>
      <c r="I31" s="10">
        <f t="shared" si="2"/>
        <v>2772.1256550000003</v>
      </c>
    </row>
    <row r="32" spans="1:9" ht="15.75" customHeight="1">
      <c r="A32" s="22">
        <v>15</v>
      </c>
      <c r="B32" s="84" t="s">
        <v>27</v>
      </c>
      <c r="C32" s="85" t="s">
        <v>95</v>
      </c>
      <c r="D32" s="84" t="s">
        <v>55</v>
      </c>
      <c r="E32" s="87">
        <v>2873.1</v>
      </c>
      <c r="F32" s="87">
        <f>SUM(E32/1000)</f>
        <v>2.8731</v>
      </c>
      <c r="G32" s="87">
        <v>3020.33</v>
      </c>
      <c r="H32" s="88">
        <f t="shared" si="1"/>
        <v>8.6777101229999989</v>
      </c>
      <c r="I32" s="10">
        <f>F32*G32</f>
        <v>8677.7101229999989</v>
      </c>
    </row>
    <row r="33" spans="1:9" ht="15.75" customHeight="1">
      <c r="A33" s="22">
        <v>16</v>
      </c>
      <c r="B33" s="84" t="s">
        <v>100</v>
      </c>
      <c r="C33" s="85" t="s">
        <v>31</v>
      </c>
      <c r="D33" s="84" t="s">
        <v>65</v>
      </c>
      <c r="E33" s="92">
        <v>0.33333333333333331</v>
      </c>
      <c r="F33" s="87">
        <f>155/3</f>
        <v>51.666666666666664</v>
      </c>
      <c r="G33" s="87">
        <v>56.69</v>
      </c>
      <c r="H33" s="88">
        <f>SUM(G33*155/3/1000)</f>
        <v>2.9289833333333331</v>
      </c>
      <c r="I33" s="10">
        <f t="shared" si="2"/>
        <v>488.16388888888883</v>
      </c>
    </row>
    <row r="34" spans="1:9" ht="15.75" hidden="1" customHeight="1">
      <c r="A34" s="22"/>
      <c r="B34" s="84" t="s">
        <v>67</v>
      </c>
      <c r="C34" s="85" t="s">
        <v>33</v>
      </c>
      <c r="D34" s="84" t="s">
        <v>69</v>
      </c>
      <c r="E34" s="86"/>
      <c r="F34" s="87">
        <v>2</v>
      </c>
      <c r="G34" s="87">
        <v>191.32</v>
      </c>
      <c r="H34" s="88">
        <f t="shared" si="1"/>
        <v>0.38263999999999998</v>
      </c>
      <c r="I34" s="10">
        <v>0</v>
      </c>
    </row>
    <row r="35" spans="1:9" ht="15.75" hidden="1" customHeight="1">
      <c r="A35" s="22"/>
      <c r="B35" s="84" t="s">
        <v>68</v>
      </c>
      <c r="C35" s="85" t="s">
        <v>32</v>
      </c>
      <c r="D35" s="84" t="s">
        <v>69</v>
      </c>
      <c r="E35" s="86"/>
      <c r="F35" s="87">
        <v>3</v>
      </c>
      <c r="G35" s="87">
        <v>1136.33</v>
      </c>
      <c r="H35" s="88">
        <f t="shared" si="1"/>
        <v>3.4089899999999997</v>
      </c>
      <c r="I35" s="10">
        <v>0</v>
      </c>
    </row>
    <row r="36" spans="1:9" ht="15.75" hidden="1" customHeight="1">
      <c r="A36" s="22"/>
      <c r="B36" s="91" t="s">
        <v>5</v>
      </c>
      <c r="C36" s="85"/>
      <c r="D36" s="84"/>
      <c r="E36" s="86"/>
      <c r="F36" s="87"/>
      <c r="G36" s="87"/>
      <c r="H36" s="88" t="s">
        <v>156</v>
      </c>
      <c r="I36" s="10"/>
    </row>
    <row r="37" spans="1:9" ht="15.75" hidden="1" customHeight="1">
      <c r="A37" s="22">
        <v>10</v>
      </c>
      <c r="B37" s="84" t="s">
        <v>26</v>
      </c>
      <c r="C37" s="85" t="s">
        <v>32</v>
      </c>
      <c r="D37" s="84"/>
      <c r="E37" s="86"/>
      <c r="F37" s="87">
        <v>15</v>
      </c>
      <c r="G37" s="87">
        <v>1527.22</v>
      </c>
      <c r="H37" s="88">
        <f t="shared" ref="H37:H42" si="3">SUM(F37*G37/1000)</f>
        <v>22.908300000000001</v>
      </c>
      <c r="I37" s="10">
        <f t="shared" ref="I37:I42" si="4">F37/6*G37</f>
        <v>3818.05</v>
      </c>
    </row>
    <row r="38" spans="1:9" ht="15.75" hidden="1" customHeight="1">
      <c r="A38" s="22">
        <v>11</v>
      </c>
      <c r="B38" s="84" t="s">
        <v>70</v>
      </c>
      <c r="C38" s="85" t="s">
        <v>29</v>
      </c>
      <c r="D38" s="84" t="s">
        <v>131</v>
      </c>
      <c r="E38" s="87">
        <v>824.5</v>
      </c>
      <c r="F38" s="87">
        <f>SUM(E38*50/1000)</f>
        <v>41.225000000000001</v>
      </c>
      <c r="G38" s="87">
        <v>2102.71</v>
      </c>
      <c r="H38" s="88">
        <f t="shared" si="3"/>
        <v>86.684219749999997</v>
      </c>
      <c r="I38" s="10">
        <f t="shared" si="4"/>
        <v>14447.369958333335</v>
      </c>
    </row>
    <row r="39" spans="1:9" ht="15.75" hidden="1" customHeight="1">
      <c r="A39" s="22">
        <v>12</v>
      </c>
      <c r="B39" s="84" t="s">
        <v>71</v>
      </c>
      <c r="C39" s="85" t="s">
        <v>29</v>
      </c>
      <c r="D39" s="84" t="s">
        <v>94</v>
      </c>
      <c r="E39" s="87">
        <v>188</v>
      </c>
      <c r="F39" s="87">
        <f>SUM(E39*155/1000)</f>
        <v>29.14</v>
      </c>
      <c r="G39" s="87">
        <v>350.75</v>
      </c>
      <c r="H39" s="88">
        <f t="shared" si="3"/>
        <v>10.220855</v>
      </c>
      <c r="I39" s="10">
        <f t="shared" si="4"/>
        <v>1703.4758333333332</v>
      </c>
    </row>
    <row r="40" spans="1:9" ht="47.25" hidden="1" customHeight="1">
      <c r="A40" s="22">
        <v>13</v>
      </c>
      <c r="B40" s="84" t="s">
        <v>89</v>
      </c>
      <c r="C40" s="85" t="s">
        <v>95</v>
      </c>
      <c r="D40" s="84" t="s">
        <v>132</v>
      </c>
      <c r="E40" s="87">
        <v>188</v>
      </c>
      <c r="F40" s="87">
        <f>SUM(E40*12/1000)</f>
        <v>2.2559999999999998</v>
      </c>
      <c r="G40" s="87">
        <v>5803.28</v>
      </c>
      <c r="H40" s="88">
        <f t="shared" si="3"/>
        <v>13.092199679999998</v>
      </c>
      <c r="I40" s="10">
        <f t="shared" si="4"/>
        <v>2182.0332799999996</v>
      </c>
    </row>
    <row r="41" spans="1:9" ht="15.75" hidden="1" customHeight="1">
      <c r="A41" s="22">
        <v>14</v>
      </c>
      <c r="B41" s="84" t="s">
        <v>96</v>
      </c>
      <c r="C41" s="85" t="s">
        <v>95</v>
      </c>
      <c r="D41" s="84" t="s">
        <v>72</v>
      </c>
      <c r="E41" s="87">
        <v>188</v>
      </c>
      <c r="F41" s="87">
        <f>SUM(E41*45/1000)</f>
        <v>8.4600000000000009</v>
      </c>
      <c r="G41" s="87">
        <v>428.7</v>
      </c>
      <c r="H41" s="88">
        <f t="shared" si="3"/>
        <v>3.6268020000000001</v>
      </c>
      <c r="I41" s="10">
        <f t="shared" si="4"/>
        <v>604.4670000000001</v>
      </c>
    </row>
    <row r="42" spans="1:9" ht="15.75" hidden="1" customHeight="1">
      <c r="A42" s="22">
        <v>15</v>
      </c>
      <c r="B42" s="84" t="s">
        <v>73</v>
      </c>
      <c r="C42" s="85" t="s">
        <v>33</v>
      </c>
      <c r="D42" s="84"/>
      <c r="E42" s="86"/>
      <c r="F42" s="87">
        <v>0.9</v>
      </c>
      <c r="G42" s="87">
        <v>798</v>
      </c>
      <c r="H42" s="88">
        <f t="shared" si="3"/>
        <v>0.71820000000000006</v>
      </c>
      <c r="I42" s="10">
        <f t="shared" si="4"/>
        <v>119.69999999999999</v>
      </c>
    </row>
    <row r="43" spans="1:9" ht="15.75" customHeight="1">
      <c r="A43" s="153" t="s">
        <v>148</v>
      </c>
      <c r="B43" s="154"/>
      <c r="C43" s="154"/>
      <c r="D43" s="154"/>
      <c r="E43" s="154"/>
      <c r="F43" s="154"/>
      <c r="G43" s="154"/>
      <c r="H43" s="154"/>
      <c r="I43" s="155"/>
    </row>
    <row r="44" spans="1:9" ht="15.75" customHeight="1">
      <c r="A44" s="22">
        <v>17</v>
      </c>
      <c r="B44" s="84" t="s">
        <v>157</v>
      </c>
      <c r="C44" s="85" t="s">
        <v>95</v>
      </c>
      <c r="D44" s="84" t="s">
        <v>43</v>
      </c>
      <c r="E44" s="86">
        <v>1609.3</v>
      </c>
      <c r="F44" s="87">
        <f>SUM(E44*2/1000)</f>
        <v>3.2185999999999999</v>
      </c>
      <c r="G44" s="10">
        <v>910.17</v>
      </c>
      <c r="H44" s="88">
        <f t="shared" ref="H44:H53" si="5">SUM(F44*G44/1000)</f>
        <v>2.9294731619999999</v>
      </c>
      <c r="I44" s="10">
        <f t="shared" ref="I44:I47" si="6">F44/2*G44</f>
        <v>1464.7365809999999</v>
      </c>
    </row>
    <row r="45" spans="1:9" ht="15.75" customHeight="1">
      <c r="A45" s="22">
        <v>18</v>
      </c>
      <c r="B45" s="84" t="s">
        <v>36</v>
      </c>
      <c r="C45" s="85" t="s">
        <v>95</v>
      </c>
      <c r="D45" s="84" t="s">
        <v>43</v>
      </c>
      <c r="E45" s="86">
        <v>742</v>
      </c>
      <c r="F45" s="87">
        <f>SUM(E45*2/1000)</f>
        <v>1.484</v>
      </c>
      <c r="G45" s="10">
        <v>579.48</v>
      </c>
      <c r="H45" s="88">
        <f t="shared" si="5"/>
        <v>0.85994831999999999</v>
      </c>
      <c r="I45" s="10">
        <f t="shared" si="6"/>
        <v>429.97415999999998</v>
      </c>
    </row>
    <row r="46" spans="1:9" ht="15.75" customHeight="1">
      <c r="A46" s="22">
        <v>19</v>
      </c>
      <c r="B46" s="84" t="s">
        <v>37</v>
      </c>
      <c r="C46" s="85" t="s">
        <v>95</v>
      </c>
      <c r="D46" s="84" t="s">
        <v>43</v>
      </c>
      <c r="E46" s="86">
        <v>4989.8100000000004</v>
      </c>
      <c r="F46" s="87">
        <f>SUM(E46*2/1000)</f>
        <v>9.9796200000000006</v>
      </c>
      <c r="G46" s="10">
        <v>579.48</v>
      </c>
      <c r="H46" s="88">
        <f t="shared" si="5"/>
        <v>5.7829901976000002</v>
      </c>
      <c r="I46" s="10">
        <f t="shared" si="6"/>
        <v>2891.4950988000001</v>
      </c>
    </row>
    <row r="47" spans="1:9" ht="15.75" customHeight="1">
      <c r="A47" s="22">
        <v>20</v>
      </c>
      <c r="B47" s="84" t="s">
        <v>38</v>
      </c>
      <c r="C47" s="85" t="s">
        <v>95</v>
      </c>
      <c r="D47" s="84" t="s">
        <v>43</v>
      </c>
      <c r="E47" s="86">
        <v>2654.21</v>
      </c>
      <c r="F47" s="87">
        <f>SUM(E47*2/1000)</f>
        <v>5.3084199999999999</v>
      </c>
      <c r="G47" s="10">
        <v>606.77</v>
      </c>
      <c r="H47" s="88">
        <f t="shared" si="5"/>
        <v>3.2209900033999999</v>
      </c>
      <c r="I47" s="10">
        <f t="shared" si="6"/>
        <v>1610.4950016999999</v>
      </c>
    </row>
    <row r="48" spans="1:9" ht="15.75" customHeight="1">
      <c r="A48" s="22">
        <v>21</v>
      </c>
      <c r="B48" s="84" t="s">
        <v>34</v>
      </c>
      <c r="C48" s="85" t="s">
        <v>35</v>
      </c>
      <c r="D48" s="84" t="s">
        <v>43</v>
      </c>
      <c r="E48" s="86">
        <v>128.53</v>
      </c>
      <c r="F48" s="87">
        <f>SUM(E48*2/100)</f>
        <v>2.5706000000000002</v>
      </c>
      <c r="G48" s="10">
        <v>72.81</v>
      </c>
      <c r="H48" s="88">
        <f t="shared" si="5"/>
        <v>0.18716538600000002</v>
      </c>
      <c r="I48" s="10">
        <f>F48/2*G48</f>
        <v>93.582693000000006</v>
      </c>
    </row>
    <row r="49" spans="1:9" ht="15.75" customHeight="1">
      <c r="A49" s="22">
        <v>22</v>
      </c>
      <c r="B49" s="84" t="s">
        <v>58</v>
      </c>
      <c r="C49" s="85" t="s">
        <v>95</v>
      </c>
      <c r="D49" s="84" t="s">
        <v>170</v>
      </c>
      <c r="E49" s="86">
        <v>2026.8</v>
      </c>
      <c r="F49" s="87">
        <f>SUM(E49*5/1000)</f>
        <v>10.134</v>
      </c>
      <c r="G49" s="10">
        <v>1213.55</v>
      </c>
      <c r="H49" s="88">
        <f t="shared" si="5"/>
        <v>12.2981157</v>
      </c>
      <c r="I49" s="10">
        <f>F49/5*G49</f>
        <v>2459.6231400000001</v>
      </c>
    </row>
    <row r="50" spans="1:9" ht="31.5" customHeight="1">
      <c r="A50" s="22">
        <v>23</v>
      </c>
      <c r="B50" s="84" t="s">
        <v>97</v>
      </c>
      <c r="C50" s="85" t="s">
        <v>95</v>
      </c>
      <c r="D50" s="84" t="s">
        <v>43</v>
      </c>
      <c r="E50" s="86">
        <v>2026.8</v>
      </c>
      <c r="F50" s="87">
        <f>SUM(E50*2/1000)</f>
        <v>4.0536000000000003</v>
      </c>
      <c r="G50" s="10">
        <v>1213.55</v>
      </c>
      <c r="H50" s="88">
        <f t="shared" si="5"/>
        <v>4.9192462800000003</v>
      </c>
      <c r="I50" s="10">
        <f>F50/2*G50</f>
        <v>2459.6231400000001</v>
      </c>
    </row>
    <row r="51" spans="1:9" ht="31.5" customHeight="1">
      <c r="A51" s="22">
        <v>24</v>
      </c>
      <c r="B51" s="84" t="s">
        <v>98</v>
      </c>
      <c r="C51" s="85" t="s">
        <v>39</v>
      </c>
      <c r="D51" s="84" t="s">
        <v>43</v>
      </c>
      <c r="E51" s="86">
        <v>40</v>
      </c>
      <c r="F51" s="87">
        <f>SUM(E51*2/100)</f>
        <v>0.8</v>
      </c>
      <c r="G51" s="10">
        <v>2730.49</v>
      </c>
      <c r="H51" s="88">
        <f t="shared" si="5"/>
        <v>2.1843919999999999</v>
      </c>
      <c r="I51" s="10">
        <f t="shared" ref="I51:I52" si="7">F51/2*G51</f>
        <v>1092.1959999999999</v>
      </c>
    </row>
    <row r="52" spans="1:9" ht="15.75" customHeight="1">
      <c r="A52" s="22">
        <v>25</v>
      </c>
      <c r="B52" s="84" t="s">
        <v>40</v>
      </c>
      <c r="C52" s="85" t="s">
        <v>41</v>
      </c>
      <c r="D52" s="84" t="s">
        <v>43</v>
      </c>
      <c r="E52" s="86">
        <v>1</v>
      </c>
      <c r="F52" s="87">
        <v>0.02</v>
      </c>
      <c r="G52" s="10">
        <v>5652.13</v>
      </c>
      <c r="H52" s="88">
        <f t="shared" si="5"/>
        <v>0.11304260000000001</v>
      </c>
      <c r="I52" s="10">
        <f t="shared" si="7"/>
        <v>56.521300000000004</v>
      </c>
    </row>
    <row r="53" spans="1:9" ht="15.75" customHeight="1">
      <c r="A53" s="22">
        <v>26</v>
      </c>
      <c r="B53" s="84" t="s">
        <v>42</v>
      </c>
      <c r="C53" s="85" t="s">
        <v>102</v>
      </c>
      <c r="D53" s="84" t="s">
        <v>74</v>
      </c>
      <c r="E53" s="86">
        <v>160</v>
      </c>
      <c r="F53" s="87">
        <f>SUM(E53)*3</f>
        <v>480</v>
      </c>
      <c r="G53" s="10">
        <v>65.67</v>
      </c>
      <c r="H53" s="88">
        <f t="shared" si="5"/>
        <v>31.521600000000003</v>
      </c>
      <c r="I53" s="10">
        <f>E53*G53</f>
        <v>10507.2</v>
      </c>
    </row>
    <row r="54" spans="1:9" ht="15.75" customHeight="1">
      <c r="A54" s="153" t="s">
        <v>149</v>
      </c>
      <c r="B54" s="154"/>
      <c r="C54" s="154"/>
      <c r="D54" s="154"/>
      <c r="E54" s="154"/>
      <c r="F54" s="154"/>
      <c r="G54" s="154"/>
      <c r="H54" s="154"/>
      <c r="I54" s="155"/>
    </row>
    <row r="55" spans="1:9" ht="15.75" hidden="1" customHeight="1">
      <c r="A55" s="22"/>
      <c r="B55" s="107" t="s">
        <v>44</v>
      </c>
      <c r="C55" s="85"/>
      <c r="D55" s="84"/>
      <c r="E55" s="86"/>
      <c r="F55" s="87"/>
      <c r="G55" s="87"/>
      <c r="H55" s="88"/>
      <c r="I55" s="10"/>
    </row>
    <row r="56" spans="1:9" ht="31.5" hidden="1" customHeight="1">
      <c r="A56" s="22">
        <v>18</v>
      </c>
      <c r="B56" s="84" t="s">
        <v>158</v>
      </c>
      <c r="C56" s="85" t="s">
        <v>93</v>
      </c>
      <c r="D56" s="84" t="s">
        <v>126</v>
      </c>
      <c r="E56" s="86">
        <v>176.93</v>
      </c>
      <c r="F56" s="87">
        <f>SUM(E56*6/100)</f>
        <v>10.6158</v>
      </c>
      <c r="G56" s="10">
        <v>1547.28</v>
      </c>
      <c r="H56" s="88">
        <f>SUM(F56*G56/1000)</f>
        <v>16.425615023999999</v>
      </c>
      <c r="I56" s="10">
        <f>F56/6*G56</f>
        <v>2737.602504</v>
      </c>
    </row>
    <row r="57" spans="1:9" ht="15.75" customHeight="1">
      <c r="A57" s="22"/>
      <c r="B57" s="107" t="s">
        <v>45</v>
      </c>
      <c r="C57" s="85"/>
      <c r="D57" s="84"/>
      <c r="E57" s="86"/>
      <c r="F57" s="87"/>
      <c r="G57" s="109"/>
      <c r="H57" s="88"/>
      <c r="I57" s="10"/>
    </row>
    <row r="58" spans="1:9" ht="15.75" hidden="1" customHeight="1">
      <c r="A58" s="22"/>
      <c r="B58" s="84" t="s">
        <v>46</v>
      </c>
      <c r="C58" s="85" t="s">
        <v>93</v>
      </c>
      <c r="D58" s="84" t="s">
        <v>55</v>
      </c>
      <c r="E58" s="86">
        <v>2026.8</v>
      </c>
      <c r="F58" s="88">
        <v>20.268000000000001</v>
      </c>
      <c r="G58" s="10">
        <v>793.61</v>
      </c>
      <c r="H58" s="94">
        <v>16.085000000000001</v>
      </c>
      <c r="I58" s="10">
        <v>0</v>
      </c>
    </row>
    <row r="59" spans="1:9" ht="15.75" customHeight="1">
      <c r="A59" s="22">
        <v>27</v>
      </c>
      <c r="B59" s="84" t="s">
        <v>138</v>
      </c>
      <c r="C59" s="85" t="s">
        <v>25</v>
      </c>
      <c r="D59" s="84" t="s">
        <v>139</v>
      </c>
      <c r="E59" s="86">
        <v>325</v>
      </c>
      <c r="F59" s="87">
        <f>E59*12</f>
        <v>3900</v>
      </c>
      <c r="G59" s="110">
        <v>2.59</v>
      </c>
      <c r="H59" s="88">
        <f>F59*G59/1000</f>
        <v>10.101000000000001</v>
      </c>
      <c r="I59" s="10">
        <f>F59/12*G59</f>
        <v>841.75</v>
      </c>
    </row>
    <row r="60" spans="1:9" ht="15.75" hidden="1" customHeight="1">
      <c r="A60" s="22"/>
      <c r="B60" s="107" t="s">
        <v>159</v>
      </c>
      <c r="C60" s="85"/>
      <c r="D60" s="84"/>
      <c r="E60" s="86"/>
      <c r="F60" s="87"/>
      <c r="G60" s="87"/>
      <c r="H60" s="88" t="s">
        <v>156</v>
      </c>
      <c r="I60" s="10"/>
    </row>
    <row r="61" spans="1:9" ht="15.75" hidden="1" customHeight="1">
      <c r="A61" s="22"/>
      <c r="B61" s="84" t="s">
        <v>171</v>
      </c>
      <c r="C61" s="85" t="s">
        <v>102</v>
      </c>
      <c r="D61" s="84" t="s">
        <v>55</v>
      </c>
      <c r="E61" s="86">
        <v>4</v>
      </c>
      <c r="F61" s="87">
        <f>SUM(E61)</f>
        <v>4</v>
      </c>
      <c r="G61" s="95">
        <v>237.75</v>
      </c>
      <c r="H61" s="88">
        <f t="shared" ref="H61:H79" si="8">SUM(F61*G61/1000)</f>
        <v>0.95099999999999996</v>
      </c>
      <c r="I61" s="10">
        <v>0</v>
      </c>
    </row>
    <row r="62" spans="1:9" ht="15.75" customHeight="1">
      <c r="A62" s="22"/>
      <c r="B62" s="108" t="s">
        <v>47</v>
      </c>
      <c r="C62" s="96"/>
      <c r="D62" s="97"/>
      <c r="E62" s="98"/>
      <c r="F62" s="99"/>
      <c r="G62" s="99"/>
      <c r="H62" s="100" t="s">
        <v>156</v>
      </c>
      <c r="I62" s="10"/>
    </row>
    <row r="63" spans="1:9" ht="15.75" hidden="1" customHeight="1">
      <c r="A63" s="22">
        <v>28</v>
      </c>
      <c r="B63" s="11" t="s">
        <v>48</v>
      </c>
      <c r="C63" s="13" t="s">
        <v>102</v>
      </c>
      <c r="D63" s="11" t="s">
        <v>69</v>
      </c>
      <c r="E63" s="16">
        <v>30</v>
      </c>
      <c r="F63" s="87">
        <v>30</v>
      </c>
      <c r="G63" s="10">
        <v>222.4</v>
      </c>
      <c r="H63" s="82">
        <f t="shared" si="8"/>
        <v>6.6719999999999997</v>
      </c>
      <c r="I63" s="10">
        <f>G63</f>
        <v>222.4</v>
      </c>
    </row>
    <row r="64" spans="1:9" ht="15.75" hidden="1" customHeight="1">
      <c r="A64" s="22">
        <v>21</v>
      </c>
      <c r="B64" s="11" t="s">
        <v>49</v>
      </c>
      <c r="C64" s="13" t="s">
        <v>102</v>
      </c>
      <c r="D64" s="11" t="s">
        <v>69</v>
      </c>
      <c r="E64" s="16">
        <v>5</v>
      </c>
      <c r="F64" s="87">
        <v>5</v>
      </c>
      <c r="G64" s="10">
        <v>76.25</v>
      </c>
      <c r="H64" s="82">
        <f t="shared" si="8"/>
        <v>0.38124999999999998</v>
      </c>
      <c r="I64" s="10">
        <f>G64</f>
        <v>76.25</v>
      </c>
    </row>
    <row r="65" spans="1:9" ht="15.75" customHeight="1">
      <c r="A65" s="22">
        <v>28</v>
      </c>
      <c r="B65" s="11" t="s">
        <v>50</v>
      </c>
      <c r="C65" s="13" t="s">
        <v>103</v>
      </c>
      <c r="D65" s="11" t="s">
        <v>55</v>
      </c>
      <c r="E65" s="86">
        <v>24063</v>
      </c>
      <c r="F65" s="10">
        <f>SUM(E65/100)</f>
        <v>240.63</v>
      </c>
      <c r="G65" s="10">
        <v>212.15</v>
      </c>
      <c r="H65" s="82">
        <f t="shared" si="8"/>
        <v>51.049654499999995</v>
      </c>
      <c r="I65" s="10">
        <f>F65*G65</f>
        <v>51049.654499999997</v>
      </c>
    </row>
    <row r="66" spans="1:9" ht="15.75" customHeight="1">
      <c r="A66" s="22">
        <v>29</v>
      </c>
      <c r="B66" s="11" t="s">
        <v>51</v>
      </c>
      <c r="C66" s="13" t="s">
        <v>104</v>
      </c>
      <c r="D66" s="11"/>
      <c r="E66" s="86">
        <v>24063</v>
      </c>
      <c r="F66" s="10">
        <f>SUM(E66/1000)</f>
        <v>24.062999999999999</v>
      </c>
      <c r="G66" s="10">
        <v>165.21</v>
      </c>
      <c r="H66" s="82">
        <f t="shared" si="8"/>
        <v>3.97544823</v>
      </c>
      <c r="I66" s="10">
        <f t="shared" ref="I66:I69" si="9">F66*G66</f>
        <v>3975.44823</v>
      </c>
    </row>
    <row r="67" spans="1:9" ht="15.75" customHeight="1">
      <c r="A67" s="22">
        <v>30</v>
      </c>
      <c r="B67" s="11" t="s">
        <v>52</v>
      </c>
      <c r="C67" s="13" t="s">
        <v>81</v>
      </c>
      <c r="D67" s="11" t="s">
        <v>55</v>
      </c>
      <c r="E67" s="86">
        <v>2730</v>
      </c>
      <c r="F67" s="10">
        <f>SUM(E67/100)</f>
        <v>27.3</v>
      </c>
      <c r="G67" s="10">
        <v>2074.63</v>
      </c>
      <c r="H67" s="82">
        <f t="shared" si="8"/>
        <v>56.637399000000002</v>
      </c>
      <c r="I67" s="10">
        <f t="shared" si="9"/>
        <v>56637.399000000005</v>
      </c>
    </row>
    <row r="68" spans="1:9" ht="15.75" customHeight="1">
      <c r="A68" s="22">
        <v>31</v>
      </c>
      <c r="B68" s="101" t="s">
        <v>75</v>
      </c>
      <c r="C68" s="13" t="s">
        <v>33</v>
      </c>
      <c r="D68" s="11"/>
      <c r="E68" s="86">
        <v>21.4</v>
      </c>
      <c r="F68" s="10">
        <f>SUM(E68)</f>
        <v>21.4</v>
      </c>
      <c r="G68" s="10">
        <v>45.32</v>
      </c>
      <c r="H68" s="82">
        <f t="shared" si="8"/>
        <v>0.96984799999999993</v>
      </c>
      <c r="I68" s="10">
        <f t="shared" si="9"/>
        <v>969.84799999999996</v>
      </c>
    </row>
    <row r="69" spans="1:9" ht="15.75" customHeight="1">
      <c r="A69" s="22">
        <v>32</v>
      </c>
      <c r="B69" s="101" t="s">
        <v>176</v>
      </c>
      <c r="C69" s="13" t="s">
        <v>33</v>
      </c>
      <c r="D69" s="11"/>
      <c r="E69" s="86">
        <v>21.4</v>
      </c>
      <c r="F69" s="10">
        <f>SUM(E69)</f>
        <v>21.4</v>
      </c>
      <c r="G69" s="10">
        <v>42.28</v>
      </c>
      <c r="H69" s="82">
        <f t="shared" si="8"/>
        <v>0.90479199999999993</v>
      </c>
      <c r="I69" s="10">
        <f t="shared" si="9"/>
        <v>904.79199999999992</v>
      </c>
    </row>
    <row r="70" spans="1:9" ht="15.75" hidden="1" customHeight="1">
      <c r="A70" s="22">
        <v>22</v>
      </c>
      <c r="B70" s="101" t="s">
        <v>133</v>
      </c>
      <c r="C70" s="13"/>
      <c r="D70" s="11"/>
      <c r="E70" s="102"/>
      <c r="F70" s="76">
        <v>1</v>
      </c>
      <c r="G70" s="10">
        <v>5600</v>
      </c>
      <c r="H70" s="82">
        <f t="shared" si="8"/>
        <v>5.6</v>
      </c>
      <c r="I70" s="10">
        <f>F70*G70</f>
        <v>5600</v>
      </c>
    </row>
    <row r="71" spans="1:9" ht="15.75" hidden="1" customHeight="1">
      <c r="A71" s="22"/>
      <c r="B71" s="11" t="s">
        <v>59</v>
      </c>
      <c r="C71" s="13" t="s">
        <v>60</v>
      </c>
      <c r="D71" s="11" t="s">
        <v>55</v>
      </c>
      <c r="E71" s="16">
        <v>10</v>
      </c>
      <c r="F71" s="87">
        <f>SUM(E71)</f>
        <v>10</v>
      </c>
      <c r="G71" s="10">
        <v>49.88</v>
      </c>
      <c r="H71" s="82">
        <f t="shared" si="8"/>
        <v>0.49880000000000002</v>
      </c>
      <c r="I71" s="10">
        <v>0</v>
      </c>
    </row>
    <row r="72" spans="1:9" ht="15.75" customHeight="1">
      <c r="A72" s="22"/>
      <c r="B72" s="70" t="s">
        <v>77</v>
      </c>
      <c r="C72" s="13"/>
      <c r="D72" s="11"/>
      <c r="E72" s="16"/>
      <c r="F72" s="10"/>
      <c r="G72" s="10"/>
      <c r="H72" s="82" t="s">
        <v>156</v>
      </c>
      <c r="I72" s="10"/>
    </row>
    <row r="73" spans="1:9" ht="15.75" customHeight="1">
      <c r="A73" s="22">
        <v>33</v>
      </c>
      <c r="B73" s="11" t="s">
        <v>78</v>
      </c>
      <c r="C73" s="13" t="s">
        <v>79</v>
      </c>
      <c r="D73" s="11"/>
      <c r="E73" s="16">
        <v>160</v>
      </c>
      <c r="F73" s="10">
        <v>16</v>
      </c>
      <c r="G73" s="10">
        <v>501.62</v>
      </c>
      <c r="H73" s="82">
        <f t="shared" si="8"/>
        <v>8.0259199999999993</v>
      </c>
      <c r="I73" s="10">
        <f>G73*1.6</f>
        <v>802.5920000000001</v>
      </c>
    </row>
    <row r="74" spans="1:9" ht="15.75" hidden="1" customHeight="1">
      <c r="A74" s="22"/>
      <c r="B74" s="11" t="s">
        <v>128</v>
      </c>
      <c r="C74" s="13" t="s">
        <v>102</v>
      </c>
      <c r="D74" s="11"/>
      <c r="E74" s="16">
        <v>1</v>
      </c>
      <c r="F74" s="87">
        <f>SUM(E74)</f>
        <v>1</v>
      </c>
      <c r="G74" s="10">
        <v>358.51</v>
      </c>
      <c r="H74" s="82">
        <f t="shared" si="8"/>
        <v>0.35851</v>
      </c>
      <c r="I74" s="10">
        <v>0</v>
      </c>
    </row>
    <row r="75" spans="1:9" ht="15.75" hidden="1" customHeight="1">
      <c r="A75" s="22"/>
      <c r="B75" s="11" t="s">
        <v>134</v>
      </c>
      <c r="C75" s="13" t="s">
        <v>31</v>
      </c>
      <c r="D75" s="11"/>
      <c r="E75" s="16">
        <v>3</v>
      </c>
      <c r="F75" s="10">
        <v>3</v>
      </c>
      <c r="G75" s="10">
        <v>99.85</v>
      </c>
      <c r="H75" s="82">
        <f>F75*G75/1000</f>
        <v>0.29954999999999993</v>
      </c>
      <c r="I75" s="10">
        <v>0</v>
      </c>
    </row>
    <row r="76" spans="1:9" ht="15.75" hidden="1" customHeight="1">
      <c r="A76" s="22"/>
      <c r="B76" s="11" t="s">
        <v>135</v>
      </c>
      <c r="C76" s="13" t="s">
        <v>31</v>
      </c>
      <c r="D76" s="11"/>
      <c r="E76" s="16">
        <v>2</v>
      </c>
      <c r="F76" s="10">
        <v>2</v>
      </c>
      <c r="G76" s="10">
        <v>120.26</v>
      </c>
      <c r="H76" s="82">
        <f>F76*G76/1000</f>
        <v>0.24052000000000001</v>
      </c>
      <c r="I76" s="10">
        <v>0</v>
      </c>
    </row>
    <row r="77" spans="1:9" ht="15.75" hidden="1" customHeight="1">
      <c r="A77" s="22"/>
      <c r="B77" s="11" t="s">
        <v>127</v>
      </c>
      <c r="C77" s="13" t="s">
        <v>102</v>
      </c>
      <c r="D77" s="11"/>
      <c r="E77" s="16">
        <v>1</v>
      </c>
      <c r="F77" s="87">
        <f>SUM(E77)</f>
        <v>1</v>
      </c>
      <c r="G77" s="10">
        <v>911.85</v>
      </c>
      <c r="H77" s="82">
        <f t="shared" ref="H77" si="10">SUM(F77*G77/1000)</f>
        <v>0.91185000000000005</v>
      </c>
      <c r="I77" s="10">
        <v>0</v>
      </c>
    </row>
    <row r="78" spans="1:9" ht="15.75" hidden="1" customHeight="1">
      <c r="A78" s="22"/>
      <c r="B78" s="104" t="s">
        <v>80</v>
      </c>
      <c r="C78" s="13"/>
      <c r="D78" s="11"/>
      <c r="E78" s="16"/>
      <c r="F78" s="10"/>
      <c r="G78" s="10" t="s">
        <v>156</v>
      </c>
      <c r="H78" s="82" t="s">
        <v>156</v>
      </c>
      <c r="I78" s="10"/>
    </row>
    <row r="79" spans="1:9" ht="15.75" hidden="1" customHeight="1">
      <c r="A79" s="22"/>
      <c r="B79" s="49" t="s">
        <v>107</v>
      </c>
      <c r="C79" s="13" t="s">
        <v>81</v>
      </c>
      <c r="D79" s="11"/>
      <c r="E79" s="16"/>
      <c r="F79" s="10">
        <v>0.6</v>
      </c>
      <c r="G79" s="10">
        <v>2759.44</v>
      </c>
      <c r="H79" s="82">
        <f t="shared" si="8"/>
        <v>1.655664</v>
      </c>
      <c r="I79" s="10">
        <v>0</v>
      </c>
    </row>
    <row r="80" spans="1:9" ht="15.75" hidden="1" customHeight="1">
      <c r="A80" s="22"/>
      <c r="B80" s="70" t="s">
        <v>99</v>
      </c>
      <c r="C80" s="104"/>
      <c r="D80" s="24"/>
      <c r="E80" s="25"/>
      <c r="F80" s="90"/>
      <c r="G80" s="90"/>
      <c r="H80" s="105">
        <f>SUM(H56:H79)</f>
        <v>181.74382075399996</v>
      </c>
      <c r="I80" s="90"/>
    </row>
    <row r="81" spans="1:9" ht="15.75" hidden="1" customHeight="1">
      <c r="A81" s="22"/>
      <c r="B81" s="84" t="s">
        <v>105</v>
      </c>
      <c r="C81" s="13"/>
      <c r="D81" s="11"/>
      <c r="E81" s="77"/>
      <c r="F81" s="10">
        <v>1</v>
      </c>
      <c r="G81" s="10">
        <v>17508</v>
      </c>
      <c r="H81" s="82">
        <f>G81*F81/1000</f>
        <v>17.507999999999999</v>
      </c>
      <c r="I81" s="10">
        <v>0</v>
      </c>
    </row>
    <row r="82" spans="1:9" ht="15.75" customHeight="1">
      <c r="A82" s="153" t="s">
        <v>151</v>
      </c>
      <c r="B82" s="154"/>
      <c r="C82" s="154"/>
      <c r="D82" s="154"/>
      <c r="E82" s="154"/>
      <c r="F82" s="154"/>
      <c r="G82" s="154"/>
      <c r="H82" s="154"/>
      <c r="I82" s="155"/>
    </row>
    <row r="83" spans="1:9" ht="15.75" customHeight="1">
      <c r="A83" s="22">
        <v>34</v>
      </c>
      <c r="B83" s="84" t="s">
        <v>106</v>
      </c>
      <c r="C83" s="13" t="s">
        <v>56</v>
      </c>
      <c r="D83" s="106" t="s">
        <v>57</v>
      </c>
      <c r="E83" s="10">
        <v>4394.8999999999996</v>
      </c>
      <c r="F83" s="10">
        <f>SUM(E83*12)</f>
        <v>52738.799999999996</v>
      </c>
      <c r="G83" s="10">
        <v>2.1</v>
      </c>
      <c r="H83" s="82">
        <f>SUM(F83*G83/1000)</f>
        <v>110.75148</v>
      </c>
      <c r="I83" s="10">
        <f>F83/12*G83</f>
        <v>9229.2899999999991</v>
      </c>
    </row>
    <row r="84" spans="1:9" ht="31.5" customHeight="1">
      <c r="A84" s="22">
        <v>35</v>
      </c>
      <c r="B84" s="11" t="s">
        <v>82</v>
      </c>
      <c r="C84" s="13"/>
      <c r="D84" s="106" t="s">
        <v>57</v>
      </c>
      <c r="E84" s="86">
        <f>E83</f>
        <v>4394.8999999999996</v>
      </c>
      <c r="F84" s="10">
        <f>E84*12</f>
        <v>52738.799999999996</v>
      </c>
      <c r="G84" s="10">
        <v>1.63</v>
      </c>
      <c r="H84" s="82">
        <f>F84*G84/1000</f>
        <v>85.964243999999994</v>
      </c>
      <c r="I84" s="10">
        <f>F84/12*G84</f>
        <v>7163.686999999999</v>
      </c>
    </row>
    <row r="85" spans="1:9" ht="15.75" customHeight="1">
      <c r="A85" s="22"/>
      <c r="B85" s="38" t="s">
        <v>85</v>
      </c>
      <c r="C85" s="104"/>
      <c r="D85" s="103"/>
      <c r="E85" s="90"/>
      <c r="F85" s="90"/>
      <c r="G85" s="90"/>
      <c r="H85" s="105">
        <f>SUM(H84)</f>
        <v>85.964243999999994</v>
      </c>
      <c r="I85" s="90">
        <f>I16+I17+I18+I19+I20+I21+I22+I23+I24+I25+I26+I27+I30+I31+I32+I33+I44+I45+I46+I47+I48+I49+I50+I51+I52+I53+I59+I65+I66+I67+I68+I69+I73+I83+I84</f>
        <v>207761.36409838888</v>
      </c>
    </row>
    <row r="86" spans="1:9" ht="15.75" customHeight="1">
      <c r="A86" s="167" t="s">
        <v>62</v>
      </c>
      <c r="B86" s="168"/>
      <c r="C86" s="168"/>
      <c r="D86" s="168"/>
      <c r="E86" s="168"/>
      <c r="F86" s="168"/>
      <c r="G86" s="168"/>
      <c r="H86" s="168"/>
      <c r="I86" s="169"/>
    </row>
    <row r="87" spans="1:9" ht="15.75" customHeight="1">
      <c r="A87" s="22">
        <v>36</v>
      </c>
      <c r="B87" s="68" t="s">
        <v>182</v>
      </c>
      <c r="C87" s="69" t="s">
        <v>144</v>
      </c>
      <c r="D87" s="49"/>
      <c r="E87" s="10"/>
      <c r="F87" s="10">
        <f>((3+3+3+10+5+10+15+3+10+10+3+15+3+3+10)/3)</f>
        <v>35.333333333333336</v>
      </c>
      <c r="G87" s="10">
        <v>1120.8900000000001</v>
      </c>
      <c r="H87" s="82">
        <f>G87*F87/1000</f>
        <v>39.604780000000005</v>
      </c>
      <c r="I87" s="10">
        <f>G87*((10+3)/3)</f>
        <v>4857.1900000000005</v>
      </c>
    </row>
    <row r="88" spans="1:9" ht="15.75" customHeight="1">
      <c r="A88" s="22">
        <v>37</v>
      </c>
      <c r="B88" s="56" t="s">
        <v>137</v>
      </c>
      <c r="C88" s="57" t="s">
        <v>102</v>
      </c>
      <c r="D88" s="49"/>
      <c r="E88" s="10"/>
      <c r="F88" s="10">
        <v>790</v>
      </c>
      <c r="G88" s="10">
        <v>53.42</v>
      </c>
      <c r="H88" s="82">
        <f t="shared" ref="H88:H91" si="11">G88*F88/1000</f>
        <v>42.201800000000006</v>
      </c>
      <c r="I88" s="10">
        <f>G88*79</f>
        <v>4220.18</v>
      </c>
    </row>
    <row r="89" spans="1:9" ht="15.75" customHeight="1">
      <c r="A89" s="22">
        <v>38</v>
      </c>
      <c r="B89" s="56" t="s">
        <v>198</v>
      </c>
      <c r="C89" s="57" t="s">
        <v>163</v>
      </c>
      <c r="D89" s="49"/>
      <c r="E89" s="10"/>
      <c r="F89" s="10">
        <v>0.02</v>
      </c>
      <c r="G89" s="10">
        <v>7412.92</v>
      </c>
      <c r="H89" s="82">
        <f t="shared" si="11"/>
        <v>0.14825839999999998</v>
      </c>
      <c r="I89" s="10">
        <f>G89*0.01</f>
        <v>74.129199999999997</v>
      </c>
    </row>
    <row r="90" spans="1:9" ht="31.5" customHeight="1">
      <c r="A90" s="22">
        <v>39</v>
      </c>
      <c r="B90" s="56" t="s">
        <v>186</v>
      </c>
      <c r="C90" s="57" t="s">
        <v>29</v>
      </c>
      <c r="D90" s="49"/>
      <c r="E90" s="10"/>
      <c r="F90" s="10">
        <v>8.9999999999999993E-3</v>
      </c>
      <c r="G90" s="10">
        <v>1591.6</v>
      </c>
      <c r="H90" s="82">
        <f t="shared" si="11"/>
        <v>1.4324399999999999E-2</v>
      </c>
      <c r="I90" s="10">
        <f>G90*0.001</f>
        <v>1.5915999999999999</v>
      </c>
    </row>
    <row r="91" spans="1:9" ht="15.75" customHeight="1">
      <c r="A91" s="22">
        <v>40</v>
      </c>
      <c r="B91" s="56" t="s">
        <v>87</v>
      </c>
      <c r="C91" s="57" t="s">
        <v>102</v>
      </c>
      <c r="D91" s="22"/>
      <c r="E91" s="16"/>
      <c r="F91" s="16">
        <v>13</v>
      </c>
      <c r="G91" s="16">
        <v>189.88</v>
      </c>
      <c r="H91" s="82">
        <f t="shared" si="11"/>
        <v>2.4684400000000002</v>
      </c>
      <c r="I91" s="10">
        <f>G91*2</f>
        <v>379.76</v>
      </c>
    </row>
    <row r="92" spans="1:9">
      <c r="A92" s="22"/>
      <c r="B92" s="45" t="s">
        <v>53</v>
      </c>
      <c r="C92" s="41"/>
      <c r="D92" s="51"/>
      <c r="E92" s="41">
        <v>1</v>
      </c>
      <c r="F92" s="41"/>
      <c r="G92" s="41"/>
      <c r="H92" s="41"/>
      <c r="I92" s="25">
        <f>SUM(I87:I91)</f>
        <v>9532.8508000000002</v>
      </c>
    </row>
    <row r="93" spans="1:9" ht="15.75" customHeight="1">
      <c r="A93" s="22"/>
      <c r="B93" s="49" t="s">
        <v>83</v>
      </c>
      <c r="C93" s="12"/>
      <c r="D93" s="12"/>
      <c r="E93" s="42"/>
      <c r="F93" s="42"/>
      <c r="G93" s="43"/>
      <c r="H93" s="43"/>
      <c r="I93" s="15">
        <v>0</v>
      </c>
    </row>
    <row r="94" spans="1:9" ht="15.75" customHeight="1">
      <c r="A94" s="52"/>
      <c r="B94" s="46" t="s">
        <v>192</v>
      </c>
      <c r="C94" s="30"/>
      <c r="D94" s="30"/>
      <c r="E94" s="30"/>
      <c r="F94" s="30"/>
      <c r="G94" s="30"/>
      <c r="H94" s="30"/>
      <c r="I94" s="44">
        <f>I85+I92</f>
        <v>217294.21489838889</v>
      </c>
    </row>
    <row r="95" spans="1:9" ht="15.75">
      <c r="A95" s="166" t="s">
        <v>206</v>
      </c>
      <c r="B95" s="166"/>
      <c r="C95" s="166"/>
      <c r="D95" s="166"/>
      <c r="E95" s="166"/>
      <c r="F95" s="166"/>
      <c r="G95" s="166"/>
      <c r="H95" s="166"/>
      <c r="I95" s="166"/>
    </row>
    <row r="96" spans="1:9" ht="15.75" customHeight="1">
      <c r="A96" s="67"/>
      <c r="B96" s="161" t="s">
        <v>207</v>
      </c>
      <c r="C96" s="161"/>
      <c r="D96" s="161"/>
      <c r="E96" s="161"/>
      <c r="F96" s="161"/>
      <c r="G96" s="161"/>
      <c r="H96" s="80"/>
      <c r="I96" s="2"/>
    </row>
    <row r="97" spans="1:9" ht="15.75" customHeight="1">
      <c r="A97" s="71"/>
      <c r="B97" s="157" t="s">
        <v>6</v>
      </c>
      <c r="C97" s="157"/>
      <c r="D97" s="157"/>
      <c r="E97" s="157"/>
      <c r="F97" s="157"/>
      <c r="G97" s="157"/>
      <c r="H97" s="17"/>
      <c r="I97" s="4"/>
    </row>
    <row r="98" spans="1:9" ht="7.5" customHeight="1">
      <c r="A98" s="7"/>
      <c r="B98" s="7"/>
      <c r="C98" s="7"/>
      <c r="D98" s="7"/>
      <c r="E98" s="7"/>
      <c r="F98" s="7"/>
      <c r="G98" s="7"/>
      <c r="H98" s="7"/>
      <c r="I98" s="7"/>
    </row>
    <row r="99" spans="1:9" ht="15.75" customHeight="1">
      <c r="A99" s="162" t="s">
        <v>7</v>
      </c>
      <c r="B99" s="162"/>
      <c r="C99" s="162"/>
      <c r="D99" s="162"/>
      <c r="E99" s="162"/>
      <c r="F99" s="162"/>
      <c r="G99" s="162"/>
      <c r="H99" s="162"/>
      <c r="I99" s="162"/>
    </row>
    <row r="100" spans="1:9" ht="15.75" customHeight="1">
      <c r="A100" s="162" t="s">
        <v>8</v>
      </c>
      <c r="B100" s="162"/>
      <c r="C100" s="162"/>
      <c r="D100" s="162"/>
      <c r="E100" s="162"/>
      <c r="F100" s="162"/>
      <c r="G100" s="162"/>
      <c r="H100" s="162"/>
      <c r="I100" s="162"/>
    </row>
    <row r="101" spans="1:9" ht="15.75">
      <c r="A101" s="163" t="s">
        <v>63</v>
      </c>
      <c r="B101" s="163"/>
      <c r="C101" s="163"/>
      <c r="D101" s="163"/>
      <c r="E101" s="163"/>
      <c r="F101" s="163"/>
      <c r="G101" s="163"/>
      <c r="H101" s="163"/>
      <c r="I101" s="163"/>
    </row>
    <row r="102" spans="1:9" ht="15.75" customHeight="1">
      <c r="A102" s="8"/>
    </row>
    <row r="103" spans="1:9" ht="15.75">
      <c r="A103" s="164" t="s">
        <v>9</v>
      </c>
      <c r="B103" s="164"/>
      <c r="C103" s="164"/>
      <c r="D103" s="164"/>
      <c r="E103" s="164"/>
      <c r="F103" s="164"/>
      <c r="G103" s="164"/>
      <c r="H103" s="164"/>
      <c r="I103" s="164"/>
    </row>
    <row r="104" spans="1:9" ht="15.75" customHeight="1">
      <c r="A104" s="3"/>
    </row>
    <row r="105" spans="1:9" ht="15.75">
      <c r="B105" s="74" t="s">
        <v>10</v>
      </c>
      <c r="C105" s="156" t="s">
        <v>150</v>
      </c>
      <c r="D105" s="156"/>
      <c r="E105" s="156"/>
      <c r="F105" s="78"/>
      <c r="I105" s="75"/>
    </row>
    <row r="106" spans="1:9">
      <c r="A106" s="71"/>
      <c r="C106" s="157" t="s">
        <v>11</v>
      </c>
      <c r="D106" s="157"/>
      <c r="E106" s="157"/>
      <c r="F106" s="17"/>
      <c r="I106" s="73" t="s">
        <v>12</v>
      </c>
    </row>
    <row r="107" spans="1:9" ht="15.75">
      <c r="A107" s="18"/>
      <c r="C107" s="9"/>
      <c r="D107" s="9"/>
      <c r="G107" s="9"/>
      <c r="H107" s="9"/>
    </row>
    <row r="108" spans="1:9" ht="15.75" customHeight="1">
      <c r="B108" s="74" t="s">
        <v>13</v>
      </c>
      <c r="C108" s="158"/>
      <c r="D108" s="158"/>
      <c r="E108" s="158"/>
      <c r="F108" s="79"/>
      <c r="I108" s="75"/>
    </row>
    <row r="109" spans="1:9" ht="15.75" customHeight="1">
      <c r="A109" s="71"/>
      <c r="C109" s="159" t="s">
        <v>11</v>
      </c>
      <c r="D109" s="159"/>
      <c r="E109" s="159"/>
      <c r="F109" s="71"/>
      <c r="I109" s="73" t="s">
        <v>12</v>
      </c>
    </row>
    <row r="110" spans="1:9" ht="15.75" customHeight="1">
      <c r="A110" s="3" t="s">
        <v>14</v>
      </c>
    </row>
    <row r="111" spans="1:9">
      <c r="A111" s="160" t="s">
        <v>15</v>
      </c>
      <c r="B111" s="160"/>
      <c r="C111" s="160"/>
      <c r="D111" s="160"/>
      <c r="E111" s="160"/>
      <c r="F111" s="160"/>
      <c r="G111" s="160"/>
      <c r="H111" s="160"/>
      <c r="I111" s="160"/>
    </row>
    <row r="112" spans="1:9" ht="45" customHeight="1">
      <c r="A112" s="152" t="s">
        <v>16</v>
      </c>
      <c r="B112" s="152"/>
      <c r="C112" s="152"/>
      <c r="D112" s="152"/>
      <c r="E112" s="152"/>
      <c r="F112" s="152"/>
      <c r="G112" s="152"/>
      <c r="H112" s="152"/>
      <c r="I112" s="152"/>
    </row>
    <row r="113" spans="1:9" ht="30" customHeight="1">
      <c r="A113" s="152" t="s">
        <v>17</v>
      </c>
      <c r="B113" s="152"/>
      <c r="C113" s="152"/>
      <c r="D113" s="152"/>
      <c r="E113" s="152"/>
      <c r="F113" s="152"/>
      <c r="G113" s="152"/>
      <c r="H113" s="152"/>
      <c r="I113" s="152"/>
    </row>
    <row r="114" spans="1:9" ht="30" customHeight="1">
      <c r="A114" s="152" t="s">
        <v>21</v>
      </c>
      <c r="B114" s="152"/>
      <c r="C114" s="152"/>
      <c r="D114" s="152"/>
      <c r="E114" s="152"/>
      <c r="F114" s="152"/>
      <c r="G114" s="152"/>
      <c r="H114" s="152"/>
      <c r="I114" s="152"/>
    </row>
    <row r="115" spans="1:9" ht="15" customHeight="1">
      <c r="A115" s="152" t="s">
        <v>20</v>
      </c>
      <c r="B115" s="152"/>
      <c r="C115" s="152"/>
      <c r="D115" s="152"/>
      <c r="E115" s="152"/>
      <c r="F115" s="152"/>
      <c r="G115" s="152"/>
      <c r="H115" s="152"/>
      <c r="I115" s="152"/>
    </row>
  </sheetData>
  <mergeCells count="28">
    <mergeCell ref="A113:I113"/>
    <mergeCell ref="A114:I114"/>
    <mergeCell ref="A115:I115"/>
    <mergeCell ref="C105:E105"/>
    <mergeCell ref="C106:E106"/>
    <mergeCell ref="C108:E108"/>
    <mergeCell ref="C109:E109"/>
    <mergeCell ref="A111:I111"/>
    <mergeCell ref="A112:I112"/>
    <mergeCell ref="A103:I103"/>
    <mergeCell ref="A15:I15"/>
    <mergeCell ref="A28:I28"/>
    <mergeCell ref="A43:I43"/>
    <mergeCell ref="A54:I54"/>
    <mergeCell ref="A82:I82"/>
    <mergeCell ref="A95:I95"/>
    <mergeCell ref="B96:G96"/>
    <mergeCell ref="B97:G97"/>
    <mergeCell ref="A99:I99"/>
    <mergeCell ref="A100:I100"/>
    <mergeCell ref="A101:I101"/>
    <mergeCell ref="A86:I86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1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91</v>
      </c>
      <c r="I1" s="19"/>
    </row>
    <row r="2" spans="1:9" ht="15.75">
      <c r="A2" s="21" t="s">
        <v>64</v>
      </c>
    </row>
    <row r="3" spans="1:9" ht="15.75">
      <c r="A3" s="171" t="s">
        <v>177</v>
      </c>
      <c r="B3" s="171"/>
      <c r="C3" s="171"/>
      <c r="D3" s="171"/>
      <c r="E3" s="171"/>
      <c r="F3" s="171"/>
      <c r="G3" s="171"/>
      <c r="H3" s="171"/>
      <c r="I3" s="171"/>
    </row>
    <row r="4" spans="1:9" ht="31.5" customHeight="1">
      <c r="A4" s="172" t="s">
        <v>143</v>
      </c>
      <c r="B4" s="172"/>
      <c r="C4" s="172"/>
      <c r="D4" s="172"/>
      <c r="E4" s="172"/>
      <c r="F4" s="172"/>
      <c r="G4" s="172"/>
      <c r="H4" s="172"/>
      <c r="I4" s="172"/>
    </row>
    <row r="5" spans="1:9" ht="15.75">
      <c r="A5" s="171" t="s">
        <v>208</v>
      </c>
      <c r="B5" s="173"/>
      <c r="C5" s="173"/>
      <c r="D5" s="173"/>
      <c r="E5" s="173"/>
      <c r="F5" s="173"/>
      <c r="G5" s="173"/>
      <c r="H5" s="173"/>
      <c r="I5" s="173"/>
    </row>
    <row r="6" spans="1:9" ht="15.75">
      <c r="A6" s="1"/>
      <c r="B6" s="72"/>
      <c r="C6" s="72"/>
      <c r="D6" s="72"/>
      <c r="E6" s="72"/>
      <c r="F6" s="72"/>
      <c r="G6" s="72"/>
      <c r="H6" s="72"/>
      <c r="I6" s="23">
        <v>42916</v>
      </c>
    </row>
    <row r="7" spans="1:9" ht="15.75">
      <c r="B7" s="74"/>
      <c r="C7" s="74"/>
      <c r="D7" s="74"/>
      <c r="E7" s="2"/>
      <c r="F7" s="2"/>
      <c r="G7" s="2"/>
      <c r="H7" s="2"/>
    </row>
    <row r="8" spans="1:9" ht="78.75" customHeight="1">
      <c r="A8" s="174" t="s">
        <v>147</v>
      </c>
      <c r="B8" s="174"/>
      <c r="C8" s="174"/>
      <c r="D8" s="174"/>
      <c r="E8" s="174"/>
      <c r="F8" s="174"/>
      <c r="G8" s="174"/>
      <c r="H8" s="174"/>
      <c r="I8" s="174"/>
    </row>
    <row r="9" spans="1:9" ht="15.75">
      <c r="A9" s="3"/>
    </row>
    <row r="10" spans="1:9" ht="47.25" customHeight="1">
      <c r="A10" s="175" t="s">
        <v>299</v>
      </c>
      <c r="B10" s="175"/>
      <c r="C10" s="175"/>
      <c r="D10" s="175"/>
      <c r="E10" s="175"/>
      <c r="F10" s="175"/>
      <c r="G10" s="175"/>
      <c r="H10" s="175"/>
      <c r="I10" s="17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70" t="s">
        <v>61</v>
      </c>
      <c r="B14" s="170"/>
      <c r="C14" s="170"/>
      <c r="D14" s="170"/>
      <c r="E14" s="170"/>
      <c r="F14" s="170"/>
      <c r="G14" s="170"/>
      <c r="H14" s="170"/>
      <c r="I14" s="170"/>
    </row>
    <row r="15" spans="1:9" ht="15" customHeight="1">
      <c r="A15" s="165" t="s">
        <v>4</v>
      </c>
      <c r="B15" s="165"/>
      <c r="C15" s="165"/>
      <c r="D15" s="165"/>
      <c r="E15" s="165"/>
      <c r="F15" s="165"/>
      <c r="G15" s="165"/>
      <c r="H15" s="165"/>
      <c r="I15" s="165"/>
    </row>
    <row r="16" spans="1:9" ht="31.5" customHeight="1">
      <c r="A16" s="22">
        <v>1</v>
      </c>
      <c r="B16" s="84" t="s">
        <v>109</v>
      </c>
      <c r="C16" s="85" t="s">
        <v>93</v>
      </c>
      <c r="D16" s="84" t="s">
        <v>110</v>
      </c>
      <c r="E16" s="86">
        <v>121.14</v>
      </c>
      <c r="F16" s="87">
        <f>SUM(E16*156/100)</f>
        <v>188.97839999999999</v>
      </c>
      <c r="G16" s="87">
        <v>175.38</v>
      </c>
      <c r="H16" s="88">
        <f t="shared" ref="H16:H25" si="0">SUM(F16*G16/1000)</f>
        <v>33.143031792000002</v>
      </c>
      <c r="I16" s="10">
        <f>F16/12*G16</f>
        <v>2761.9193159999995</v>
      </c>
    </row>
    <row r="17" spans="1:9" ht="31.5" customHeight="1">
      <c r="A17" s="22">
        <v>2</v>
      </c>
      <c r="B17" s="84" t="s">
        <v>111</v>
      </c>
      <c r="C17" s="85" t="s">
        <v>93</v>
      </c>
      <c r="D17" s="84" t="s">
        <v>112</v>
      </c>
      <c r="E17" s="86">
        <v>484.56</v>
      </c>
      <c r="F17" s="87">
        <f>SUM(E17*104/100)</f>
        <v>503.94239999999996</v>
      </c>
      <c r="G17" s="87">
        <v>175.38</v>
      </c>
      <c r="H17" s="88">
        <f t="shared" si="0"/>
        <v>88.381418111999992</v>
      </c>
      <c r="I17" s="10">
        <f>F17/12*G17</f>
        <v>7365.118175999999</v>
      </c>
    </row>
    <row r="18" spans="1:9" ht="31.5" customHeight="1">
      <c r="A18" s="22">
        <v>3</v>
      </c>
      <c r="B18" s="84" t="s">
        <v>113</v>
      </c>
      <c r="C18" s="85" t="s">
        <v>93</v>
      </c>
      <c r="D18" s="84" t="s">
        <v>129</v>
      </c>
      <c r="E18" s="86">
        <f>SUM(E16+E17)</f>
        <v>605.70000000000005</v>
      </c>
      <c r="F18" s="87">
        <f>SUM(E18*24/100)</f>
        <v>145.36800000000002</v>
      </c>
      <c r="G18" s="87">
        <v>504.5</v>
      </c>
      <c r="H18" s="88">
        <f t="shared" si="0"/>
        <v>73.338156000000012</v>
      </c>
      <c r="I18" s="10">
        <f>F18/12*G18</f>
        <v>6111.5130000000008</v>
      </c>
    </row>
    <row r="19" spans="1:9" ht="15.75" hidden="1" customHeight="1">
      <c r="A19" s="22"/>
      <c r="B19" s="84" t="s">
        <v>114</v>
      </c>
      <c r="C19" s="85" t="s">
        <v>115</v>
      </c>
      <c r="D19" s="84" t="s">
        <v>116</v>
      </c>
      <c r="E19" s="86">
        <v>38.4</v>
      </c>
      <c r="F19" s="87">
        <f>SUM(E19/10)</f>
        <v>3.84</v>
      </c>
      <c r="G19" s="87">
        <v>170.16</v>
      </c>
      <c r="H19" s="88">
        <f t="shared" si="0"/>
        <v>0.65341439999999995</v>
      </c>
      <c r="I19" s="10">
        <v>0</v>
      </c>
    </row>
    <row r="20" spans="1:9" ht="15.75" customHeight="1">
      <c r="A20" s="22">
        <v>4</v>
      </c>
      <c r="B20" s="84" t="s">
        <v>117</v>
      </c>
      <c r="C20" s="85" t="s">
        <v>93</v>
      </c>
      <c r="D20" s="84" t="s">
        <v>30</v>
      </c>
      <c r="E20" s="86">
        <v>58.4</v>
      </c>
      <c r="F20" s="87">
        <f>SUM(E20*12/100)</f>
        <v>7.0079999999999991</v>
      </c>
      <c r="G20" s="87">
        <v>217.88</v>
      </c>
      <c r="H20" s="88">
        <f t="shared" si="0"/>
        <v>1.5269030399999997</v>
      </c>
      <c r="I20" s="10">
        <f>F20/12*G20</f>
        <v>127.24191999999999</v>
      </c>
    </row>
    <row r="21" spans="1:9" ht="15.75" customHeight="1">
      <c r="A21" s="22">
        <v>5</v>
      </c>
      <c r="B21" s="84" t="s">
        <v>118</v>
      </c>
      <c r="C21" s="85" t="s">
        <v>93</v>
      </c>
      <c r="D21" s="84" t="s">
        <v>30</v>
      </c>
      <c r="E21" s="86">
        <v>9.08</v>
      </c>
      <c r="F21" s="87">
        <f>SUM(E21*12/100)</f>
        <v>1.0896000000000001</v>
      </c>
      <c r="G21" s="87">
        <v>216.12</v>
      </c>
      <c r="H21" s="88">
        <f t="shared" si="0"/>
        <v>0.23548435200000004</v>
      </c>
      <c r="I21" s="10">
        <f>F21/12*G21</f>
        <v>19.623696000000002</v>
      </c>
    </row>
    <row r="22" spans="1:9" ht="15.75" hidden="1" customHeight="1">
      <c r="A22" s="22"/>
      <c r="B22" s="84" t="s">
        <v>120</v>
      </c>
      <c r="C22" s="85" t="s">
        <v>54</v>
      </c>
      <c r="D22" s="84" t="s">
        <v>116</v>
      </c>
      <c r="E22" s="86">
        <v>714</v>
      </c>
      <c r="F22" s="87">
        <f>SUM(E22/100)</f>
        <v>7.14</v>
      </c>
      <c r="G22" s="87">
        <v>269.26</v>
      </c>
      <c r="H22" s="88">
        <f t="shared" si="0"/>
        <v>1.9225163999999997</v>
      </c>
      <c r="I22" s="10">
        <v>0</v>
      </c>
    </row>
    <row r="23" spans="1:9" ht="15.75" hidden="1" customHeight="1">
      <c r="A23" s="22"/>
      <c r="B23" s="84" t="s">
        <v>121</v>
      </c>
      <c r="C23" s="85" t="s">
        <v>54</v>
      </c>
      <c r="D23" s="84" t="s">
        <v>116</v>
      </c>
      <c r="E23" s="89">
        <v>96.6</v>
      </c>
      <c r="F23" s="87">
        <f>SUM(E23/100)</f>
        <v>0.96599999999999997</v>
      </c>
      <c r="G23" s="87">
        <v>44.29</v>
      </c>
      <c r="H23" s="88">
        <f t="shared" si="0"/>
        <v>4.2784139999999998E-2</v>
      </c>
      <c r="I23" s="10">
        <v>0</v>
      </c>
    </row>
    <row r="24" spans="1:9" ht="15.75" customHeight="1">
      <c r="A24" s="22">
        <v>6</v>
      </c>
      <c r="B24" s="84" t="s">
        <v>122</v>
      </c>
      <c r="C24" s="85" t="s">
        <v>54</v>
      </c>
      <c r="D24" s="84" t="s">
        <v>141</v>
      </c>
      <c r="E24" s="86">
        <v>32</v>
      </c>
      <c r="F24" s="87">
        <f>E24*12/100</f>
        <v>3.84</v>
      </c>
      <c r="G24" s="87">
        <v>389.42</v>
      </c>
      <c r="H24" s="88">
        <f t="shared" si="0"/>
        <v>1.4953728000000002</v>
      </c>
      <c r="I24" s="10">
        <f>F24/12*G24</f>
        <v>124.6144</v>
      </c>
    </row>
    <row r="25" spans="1:9" ht="15.75" customHeight="1">
      <c r="A25" s="22">
        <v>7</v>
      </c>
      <c r="B25" s="84" t="s">
        <v>124</v>
      </c>
      <c r="C25" s="85" t="s">
        <v>54</v>
      </c>
      <c r="D25" s="84" t="s">
        <v>142</v>
      </c>
      <c r="E25" s="86">
        <v>17</v>
      </c>
      <c r="F25" s="87">
        <f>SUM(E25*12/100)</f>
        <v>2.04</v>
      </c>
      <c r="G25" s="87">
        <v>520.79999999999995</v>
      </c>
      <c r="H25" s="88">
        <f t="shared" si="0"/>
        <v>1.062432</v>
      </c>
      <c r="I25" s="10">
        <f>F25/12*G25</f>
        <v>88.536000000000001</v>
      </c>
    </row>
    <row r="26" spans="1:9" ht="15.75" customHeight="1">
      <c r="A26" s="22">
        <v>8</v>
      </c>
      <c r="B26" s="84" t="s">
        <v>66</v>
      </c>
      <c r="C26" s="85" t="s">
        <v>33</v>
      </c>
      <c r="D26" s="84" t="s">
        <v>155</v>
      </c>
      <c r="E26" s="86">
        <v>0.1</v>
      </c>
      <c r="F26" s="87">
        <f>SUM(E26*365)</f>
        <v>36.5</v>
      </c>
      <c r="G26" s="87">
        <v>147.03</v>
      </c>
      <c r="H26" s="88">
        <f>SUM(F26*G26/1000)</f>
        <v>5.3665950000000002</v>
      </c>
      <c r="I26" s="10">
        <f>F26/12*G26</f>
        <v>447.21625</v>
      </c>
    </row>
    <row r="27" spans="1:9" ht="15.75" customHeight="1">
      <c r="A27" s="22">
        <v>9</v>
      </c>
      <c r="B27" s="93" t="s">
        <v>23</v>
      </c>
      <c r="C27" s="85" t="s">
        <v>24</v>
      </c>
      <c r="D27" s="93" t="s">
        <v>156</v>
      </c>
      <c r="E27" s="86">
        <v>4394</v>
      </c>
      <c r="F27" s="87">
        <f>SUM(E27*12)</f>
        <v>52728</v>
      </c>
      <c r="G27" s="87">
        <v>4.53</v>
      </c>
      <c r="H27" s="88">
        <f>SUM(F27*G27/1000)</f>
        <v>238.85784000000004</v>
      </c>
      <c r="I27" s="10">
        <f>F27/12*G27</f>
        <v>19904.82</v>
      </c>
    </row>
    <row r="28" spans="1:9" ht="15.75" customHeight="1">
      <c r="A28" s="153" t="s">
        <v>90</v>
      </c>
      <c r="B28" s="154"/>
      <c r="C28" s="154"/>
      <c r="D28" s="154"/>
      <c r="E28" s="154"/>
      <c r="F28" s="154"/>
      <c r="G28" s="154"/>
      <c r="H28" s="154"/>
      <c r="I28" s="155"/>
    </row>
    <row r="29" spans="1:9" ht="15.75" customHeight="1">
      <c r="A29" s="22"/>
      <c r="B29" s="107" t="s">
        <v>28</v>
      </c>
      <c r="C29" s="85"/>
      <c r="D29" s="84"/>
      <c r="E29" s="86"/>
      <c r="F29" s="87"/>
      <c r="G29" s="87"/>
      <c r="H29" s="88"/>
      <c r="I29" s="10"/>
    </row>
    <row r="30" spans="1:9" ht="31.5" customHeight="1">
      <c r="A30" s="22">
        <v>10</v>
      </c>
      <c r="B30" s="84" t="s">
        <v>101</v>
      </c>
      <c r="C30" s="85" t="s">
        <v>95</v>
      </c>
      <c r="D30" s="84" t="s">
        <v>130</v>
      </c>
      <c r="E30" s="87">
        <v>2873.1</v>
      </c>
      <c r="F30" s="87">
        <f>SUM(E30*26/1000)</f>
        <v>74.700599999999994</v>
      </c>
      <c r="G30" s="87">
        <v>155.88999999999999</v>
      </c>
      <c r="H30" s="88">
        <f t="shared" ref="H30:H35" si="1">SUM(F30*G30/1000)</f>
        <v>11.645076533999998</v>
      </c>
      <c r="I30" s="10">
        <f t="shared" ref="I30:I33" si="2">F30/6*G30</f>
        <v>1940.8460889999997</v>
      </c>
    </row>
    <row r="31" spans="1:9" ht="31.5" customHeight="1">
      <c r="A31" s="22">
        <v>11</v>
      </c>
      <c r="B31" s="84" t="s">
        <v>169</v>
      </c>
      <c r="C31" s="85" t="s">
        <v>95</v>
      </c>
      <c r="D31" s="84" t="s">
        <v>125</v>
      </c>
      <c r="E31" s="87">
        <v>824.5</v>
      </c>
      <c r="F31" s="87">
        <f>SUM(E31*78/1000)</f>
        <v>64.311000000000007</v>
      </c>
      <c r="G31" s="87">
        <v>258.63</v>
      </c>
      <c r="H31" s="88">
        <f t="shared" si="1"/>
        <v>16.632753930000003</v>
      </c>
      <c r="I31" s="10">
        <f t="shared" si="2"/>
        <v>2772.1256550000003</v>
      </c>
    </row>
    <row r="32" spans="1:9" ht="15.75" hidden="1" customHeight="1">
      <c r="A32" s="22"/>
      <c r="B32" s="84" t="s">
        <v>27</v>
      </c>
      <c r="C32" s="85" t="s">
        <v>95</v>
      </c>
      <c r="D32" s="84" t="s">
        <v>55</v>
      </c>
      <c r="E32" s="87">
        <v>2873.1</v>
      </c>
      <c r="F32" s="87">
        <f>SUM(E32/1000)</f>
        <v>2.8731</v>
      </c>
      <c r="G32" s="87">
        <v>3020.33</v>
      </c>
      <c r="H32" s="88">
        <f t="shared" si="1"/>
        <v>8.6777101229999989</v>
      </c>
      <c r="I32" s="10">
        <f>F32*G32</f>
        <v>8677.7101229999989</v>
      </c>
    </row>
    <row r="33" spans="1:9" ht="15.75" customHeight="1">
      <c r="A33" s="22">
        <v>12</v>
      </c>
      <c r="B33" s="84" t="s">
        <v>100</v>
      </c>
      <c r="C33" s="85" t="s">
        <v>31</v>
      </c>
      <c r="D33" s="84" t="s">
        <v>65</v>
      </c>
      <c r="E33" s="92">
        <v>0.33333333333333331</v>
      </c>
      <c r="F33" s="87">
        <f>155/3</f>
        <v>51.666666666666664</v>
      </c>
      <c r="G33" s="87">
        <v>56.69</v>
      </c>
      <c r="H33" s="88">
        <f>SUM(G33*155/3/1000)</f>
        <v>2.9289833333333331</v>
      </c>
      <c r="I33" s="10">
        <f t="shared" si="2"/>
        <v>488.16388888888883</v>
      </c>
    </row>
    <row r="34" spans="1:9" ht="15.75" hidden="1" customHeight="1">
      <c r="A34" s="22"/>
      <c r="B34" s="84" t="s">
        <v>67</v>
      </c>
      <c r="C34" s="85" t="s">
        <v>33</v>
      </c>
      <c r="D34" s="84" t="s">
        <v>69</v>
      </c>
      <c r="E34" s="86"/>
      <c r="F34" s="87">
        <v>2</v>
      </c>
      <c r="G34" s="87">
        <v>191.32</v>
      </c>
      <c r="H34" s="88">
        <f t="shared" si="1"/>
        <v>0.38263999999999998</v>
      </c>
      <c r="I34" s="10">
        <v>0</v>
      </c>
    </row>
    <row r="35" spans="1:9" ht="15.75" hidden="1" customHeight="1">
      <c r="A35" s="22"/>
      <c r="B35" s="84" t="s">
        <v>68</v>
      </c>
      <c r="C35" s="85" t="s">
        <v>32</v>
      </c>
      <c r="D35" s="84" t="s">
        <v>69</v>
      </c>
      <c r="E35" s="86"/>
      <c r="F35" s="87">
        <v>3</v>
      </c>
      <c r="G35" s="87">
        <v>1136.33</v>
      </c>
      <c r="H35" s="88">
        <f t="shared" si="1"/>
        <v>3.4089899999999997</v>
      </c>
      <c r="I35" s="10">
        <v>0</v>
      </c>
    </row>
    <row r="36" spans="1:9" ht="15.75" hidden="1" customHeight="1">
      <c r="A36" s="22"/>
      <c r="B36" s="91" t="s">
        <v>5</v>
      </c>
      <c r="C36" s="85"/>
      <c r="D36" s="84"/>
      <c r="E36" s="86"/>
      <c r="F36" s="87"/>
      <c r="G36" s="87"/>
      <c r="H36" s="88" t="s">
        <v>156</v>
      </c>
      <c r="I36" s="10"/>
    </row>
    <row r="37" spans="1:9" ht="15.75" hidden="1" customHeight="1">
      <c r="A37" s="22">
        <v>10</v>
      </c>
      <c r="B37" s="84" t="s">
        <v>26</v>
      </c>
      <c r="C37" s="85" t="s">
        <v>32</v>
      </c>
      <c r="D37" s="84"/>
      <c r="E37" s="86"/>
      <c r="F37" s="87">
        <v>15</v>
      </c>
      <c r="G37" s="87">
        <v>1527.22</v>
      </c>
      <c r="H37" s="88">
        <f t="shared" ref="H37:H42" si="3">SUM(F37*G37/1000)</f>
        <v>22.908300000000001</v>
      </c>
      <c r="I37" s="10">
        <f t="shared" ref="I37:I42" si="4">F37/6*G37</f>
        <v>3818.05</v>
      </c>
    </row>
    <row r="38" spans="1:9" ht="15.75" hidden="1" customHeight="1">
      <c r="A38" s="22">
        <v>11</v>
      </c>
      <c r="B38" s="84" t="s">
        <v>70</v>
      </c>
      <c r="C38" s="85" t="s">
        <v>29</v>
      </c>
      <c r="D38" s="84" t="s">
        <v>131</v>
      </c>
      <c r="E38" s="87">
        <v>824.5</v>
      </c>
      <c r="F38" s="87">
        <f>SUM(E38*50/1000)</f>
        <v>41.225000000000001</v>
      </c>
      <c r="G38" s="87">
        <v>2102.71</v>
      </c>
      <c r="H38" s="88">
        <f t="shared" si="3"/>
        <v>86.684219749999997</v>
      </c>
      <c r="I38" s="10">
        <f t="shared" si="4"/>
        <v>14447.369958333335</v>
      </c>
    </row>
    <row r="39" spans="1:9" ht="15.75" hidden="1" customHeight="1">
      <c r="A39" s="22">
        <v>12</v>
      </c>
      <c r="B39" s="84" t="s">
        <v>71</v>
      </c>
      <c r="C39" s="85" t="s">
        <v>29</v>
      </c>
      <c r="D39" s="84" t="s">
        <v>94</v>
      </c>
      <c r="E39" s="87">
        <v>188</v>
      </c>
      <c r="F39" s="87">
        <f>SUM(E39*155/1000)</f>
        <v>29.14</v>
      </c>
      <c r="G39" s="87">
        <v>350.75</v>
      </c>
      <c r="H39" s="88">
        <f t="shared" si="3"/>
        <v>10.220855</v>
      </c>
      <c r="I39" s="10">
        <f t="shared" si="4"/>
        <v>1703.4758333333332</v>
      </c>
    </row>
    <row r="40" spans="1:9" ht="47.25" hidden="1" customHeight="1">
      <c r="A40" s="22">
        <v>13</v>
      </c>
      <c r="B40" s="84" t="s">
        <v>89</v>
      </c>
      <c r="C40" s="85" t="s">
        <v>95</v>
      </c>
      <c r="D40" s="84" t="s">
        <v>132</v>
      </c>
      <c r="E40" s="87">
        <v>188</v>
      </c>
      <c r="F40" s="87">
        <f>SUM(E40*12/1000)</f>
        <v>2.2559999999999998</v>
      </c>
      <c r="G40" s="87">
        <v>5803.28</v>
      </c>
      <c r="H40" s="88">
        <f t="shared" si="3"/>
        <v>13.092199679999998</v>
      </c>
      <c r="I40" s="10">
        <f t="shared" si="4"/>
        <v>2182.0332799999996</v>
      </c>
    </row>
    <row r="41" spans="1:9" ht="15.75" hidden="1" customHeight="1">
      <c r="A41" s="22">
        <v>14</v>
      </c>
      <c r="B41" s="84" t="s">
        <v>96</v>
      </c>
      <c r="C41" s="85" t="s">
        <v>95</v>
      </c>
      <c r="D41" s="84" t="s">
        <v>72</v>
      </c>
      <c r="E41" s="87">
        <v>188</v>
      </c>
      <c r="F41" s="87">
        <f>SUM(E41*45/1000)</f>
        <v>8.4600000000000009</v>
      </c>
      <c r="G41" s="87">
        <v>428.7</v>
      </c>
      <c r="H41" s="88">
        <f t="shared" si="3"/>
        <v>3.6268020000000001</v>
      </c>
      <c r="I41" s="10">
        <f t="shared" si="4"/>
        <v>604.4670000000001</v>
      </c>
    </row>
    <row r="42" spans="1:9" ht="15.75" hidden="1" customHeight="1">
      <c r="A42" s="22">
        <v>15</v>
      </c>
      <c r="B42" s="84" t="s">
        <v>73</v>
      </c>
      <c r="C42" s="85" t="s">
        <v>33</v>
      </c>
      <c r="D42" s="84"/>
      <c r="E42" s="86"/>
      <c r="F42" s="87">
        <v>0.9</v>
      </c>
      <c r="G42" s="87">
        <v>798</v>
      </c>
      <c r="H42" s="88">
        <f t="shared" si="3"/>
        <v>0.71820000000000006</v>
      </c>
      <c r="I42" s="10">
        <f t="shared" si="4"/>
        <v>119.69999999999999</v>
      </c>
    </row>
    <row r="43" spans="1:9" ht="15.75" hidden="1" customHeight="1">
      <c r="A43" s="153" t="s">
        <v>148</v>
      </c>
      <c r="B43" s="154"/>
      <c r="C43" s="154"/>
      <c r="D43" s="154"/>
      <c r="E43" s="154"/>
      <c r="F43" s="154"/>
      <c r="G43" s="154"/>
      <c r="H43" s="154"/>
      <c r="I43" s="155"/>
    </row>
    <row r="44" spans="1:9" ht="15.75" hidden="1" customHeight="1">
      <c r="A44" s="22"/>
      <c r="B44" s="84" t="s">
        <v>157</v>
      </c>
      <c r="C44" s="85" t="s">
        <v>95</v>
      </c>
      <c r="D44" s="84" t="s">
        <v>43</v>
      </c>
      <c r="E44" s="86">
        <v>1609.3</v>
      </c>
      <c r="F44" s="87">
        <f>SUM(E44*2/1000)</f>
        <v>3.2185999999999999</v>
      </c>
      <c r="G44" s="10">
        <v>910.17</v>
      </c>
      <c r="H44" s="88">
        <f t="shared" ref="H44:H53" si="5">SUM(F44*G44/1000)</f>
        <v>2.9294731619999999</v>
      </c>
      <c r="I44" s="10">
        <v>0</v>
      </c>
    </row>
    <row r="45" spans="1:9" ht="15.75" hidden="1" customHeight="1">
      <c r="A45" s="22"/>
      <c r="B45" s="84" t="s">
        <v>36</v>
      </c>
      <c r="C45" s="85" t="s">
        <v>95</v>
      </c>
      <c r="D45" s="84" t="s">
        <v>43</v>
      </c>
      <c r="E45" s="86">
        <v>742</v>
      </c>
      <c r="F45" s="87">
        <f>SUM(E45*2/1000)</f>
        <v>1.484</v>
      </c>
      <c r="G45" s="10">
        <v>579.48</v>
      </c>
      <c r="H45" s="88">
        <f t="shared" si="5"/>
        <v>0.85994831999999999</v>
      </c>
      <c r="I45" s="10">
        <v>0</v>
      </c>
    </row>
    <row r="46" spans="1:9" ht="15.75" hidden="1" customHeight="1">
      <c r="A46" s="22"/>
      <c r="B46" s="84" t="s">
        <v>37</v>
      </c>
      <c r="C46" s="85" t="s">
        <v>95</v>
      </c>
      <c r="D46" s="84" t="s">
        <v>43</v>
      </c>
      <c r="E46" s="86">
        <v>4989.8100000000004</v>
      </c>
      <c r="F46" s="87">
        <f>SUM(E46*2/1000)</f>
        <v>9.9796200000000006</v>
      </c>
      <c r="G46" s="10">
        <v>579.48</v>
      </c>
      <c r="H46" s="88">
        <f t="shared" si="5"/>
        <v>5.7829901976000002</v>
      </c>
      <c r="I46" s="10">
        <v>0</v>
      </c>
    </row>
    <row r="47" spans="1:9" ht="15.75" hidden="1" customHeight="1">
      <c r="A47" s="22"/>
      <c r="B47" s="84" t="s">
        <v>38</v>
      </c>
      <c r="C47" s="85" t="s">
        <v>95</v>
      </c>
      <c r="D47" s="84" t="s">
        <v>43</v>
      </c>
      <c r="E47" s="86">
        <v>2654.21</v>
      </c>
      <c r="F47" s="87">
        <f>SUM(E47*2/1000)</f>
        <v>5.3084199999999999</v>
      </c>
      <c r="G47" s="10">
        <v>606.77</v>
      </c>
      <c r="H47" s="88">
        <f t="shared" si="5"/>
        <v>3.2209900033999999</v>
      </c>
      <c r="I47" s="10">
        <v>0</v>
      </c>
    </row>
    <row r="48" spans="1:9" ht="15.75" hidden="1" customHeight="1">
      <c r="A48" s="22"/>
      <c r="B48" s="84" t="s">
        <v>34</v>
      </c>
      <c r="C48" s="85" t="s">
        <v>35</v>
      </c>
      <c r="D48" s="84" t="s">
        <v>43</v>
      </c>
      <c r="E48" s="86">
        <v>128.53</v>
      </c>
      <c r="F48" s="87">
        <f>SUM(E48*2/100)</f>
        <v>2.5706000000000002</v>
      </c>
      <c r="G48" s="10">
        <v>72.81</v>
      </c>
      <c r="H48" s="88">
        <f t="shared" si="5"/>
        <v>0.18716538600000002</v>
      </c>
      <c r="I48" s="10">
        <v>0</v>
      </c>
    </row>
    <row r="49" spans="1:9" ht="15.75" hidden="1" customHeight="1">
      <c r="A49" s="22">
        <v>16</v>
      </c>
      <c r="B49" s="84" t="s">
        <v>58</v>
      </c>
      <c r="C49" s="85" t="s">
        <v>95</v>
      </c>
      <c r="D49" s="84" t="s">
        <v>170</v>
      </c>
      <c r="E49" s="86">
        <v>2026.8</v>
      </c>
      <c r="F49" s="87">
        <f>SUM(E49*5/1000)</f>
        <v>10.134</v>
      </c>
      <c r="G49" s="10">
        <v>1213.55</v>
      </c>
      <c r="H49" s="88">
        <f t="shared" si="5"/>
        <v>12.2981157</v>
      </c>
      <c r="I49" s="10">
        <f>F49/5*G49</f>
        <v>2459.6231400000001</v>
      </c>
    </row>
    <row r="50" spans="1:9" ht="31.5" hidden="1" customHeight="1">
      <c r="A50" s="22"/>
      <c r="B50" s="84" t="s">
        <v>97</v>
      </c>
      <c r="C50" s="85" t="s">
        <v>95</v>
      </c>
      <c r="D50" s="84" t="s">
        <v>43</v>
      </c>
      <c r="E50" s="86">
        <v>2026.8</v>
      </c>
      <c r="F50" s="87">
        <f>SUM(E50*2/1000)</f>
        <v>4.0536000000000003</v>
      </c>
      <c r="G50" s="10">
        <v>1213.55</v>
      </c>
      <c r="H50" s="88">
        <f t="shared" si="5"/>
        <v>4.9192462800000003</v>
      </c>
      <c r="I50" s="10">
        <v>0</v>
      </c>
    </row>
    <row r="51" spans="1:9" ht="31.5" hidden="1" customHeight="1">
      <c r="A51" s="22"/>
      <c r="B51" s="84" t="s">
        <v>98</v>
      </c>
      <c r="C51" s="85" t="s">
        <v>39</v>
      </c>
      <c r="D51" s="84" t="s">
        <v>43</v>
      </c>
      <c r="E51" s="86">
        <v>40</v>
      </c>
      <c r="F51" s="87">
        <f>SUM(E51*2/100)</f>
        <v>0.8</v>
      </c>
      <c r="G51" s="10">
        <v>2730.49</v>
      </c>
      <c r="H51" s="88">
        <f t="shared" si="5"/>
        <v>2.1843919999999999</v>
      </c>
      <c r="I51" s="10">
        <v>0</v>
      </c>
    </row>
    <row r="52" spans="1:9" ht="15.75" hidden="1" customHeight="1">
      <c r="A52" s="22"/>
      <c r="B52" s="84" t="s">
        <v>40</v>
      </c>
      <c r="C52" s="85" t="s">
        <v>41</v>
      </c>
      <c r="D52" s="84" t="s">
        <v>43</v>
      </c>
      <c r="E52" s="86">
        <v>1</v>
      </c>
      <c r="F52" s="87">
        <v>0.02</v>
      </c>
      <c r="G52" s="10">
        <v>5652.13</v>
      </c>
      <c r="H52" s="88">
        <f t="shared" si="5"/>
        <v>0.11304260000000001</v>
      </c>
      <c r="I52" s="10">
        <v>0</v>
      </c>
    </row>
    <row r="53" spans="1:9" ht="15.75" hidden="1" customHeight="1">
      <c r="A53" s="22">
        <v>17</v>
      </c>
      <c r="B53" s="84" t="s">
        <v>42</v>
      </c>
      <c r="C53" s="85" t="s">
        <v>102</v>
      </c>
      <c r="D53" s="84" t="s">
        <v>74</v>
      </c>
      <c r="E53" s="86">
        <v>160</v>
      </c>
      <c r="F53" s="87">
        <f>SUM(E53)*3</f>
        <v>480</v>
      </c>
      <c r="G53" s="10">
        <v>65.67</v>
      </c>
      <c r="H53" s="88">
        <f t="shared" si="5"/>
        <v>31.521600000000003</v>
      </c>
      <c r="I53" s="10">
        <f>E53*G53</f>
        <v>10507.2</v>
      </c>
    </row>
    <row r="54" spans="1:9" ht="15.75" customHeight="1">
      <c r="A54" s="153" t="s">
        <v>152</v>
      </c>
      <c r="B54" s="154"/>
      <c r="C54" s="154"/>
      <c r="D54" s="154"/>
      <c r="E54" s="154"/>
      <c r="F54" s="154"/>
      <c r="G54" s="154"/>
      <c r="H54" s="154"/>
      <c r="I54" s="155"/>
    </row>
    <row r="55" spans="1:9" ht="15.75" hidden="1" customHeight="1">
      <c r="A55" s="22"/>
      <c r="B55" s="107" t="s">
        <v>44</v>
      </c>
      <c r="C55" s="85"/>
      <c r="D55" s="84"/>
      <c r="E55" s="86"/>
      <c r="F55" s="87"/>
      <c r="G55" s="87"/>
      <c r="H55" s="88"/>
      <c r="I55" s="10"/>
    </row>
    <row r="56" spans="1:9" ht="31.5" hidden="1" customHeight="1">
      <c r="A56" s="22">
        <v>18</v>
      </c>
      <c r="B56" s="84" t="s">
        <v>158</v>
      </c>
      <c r="C56" s="85" t="s">
        <v>93</v>
      </c>
      <c r="D56" s="84" t="s">
        <v>126</v>
      </c>
      <c r="E56" s="86">
        <v>176.93</v>
      </c>
      <c r="F56" s="87">
        <f>SUM(E56*6/100)</f>
        <v>10.6158</v>
      </c>
      <c r="G56" s="10">
        <v>1547.28</v>
      </c>
      <c r="H56" s="88">
        <f>SUM(F56*G56/1000)</f>
        <v>16.425615023999999</v>
      </c>
      <c r="I56" s="10">
        <f>F56/6*G56</f>
        <v>2737.602504</v>
      </c>
    </row>
    <row r="57" spans="1:9" ht="15.75" customHeight="1">
      <c r="A57" s="22"/>
      <c r="B57" s="107" t="s">
        <v>45</v>
      </c>
      <c r="C57" s="85"/>
      <c r="D57" s="84"/>
      <c r="E57" s="86"/>
      <c r="F57" s="87"/>
      <c r="G57" s="109"/>
      <c r="H57" s="88"/>
      <c r="I57" s="10"/>
    </row>
    <row r="58" spans="1:9" ht="15.75" hidden="1" customHeight="1">
      <c r="A58" s="22"/>
      <c r="B58" s="84" t="s">
        <v>46</v>
      </c>
      <c r="C58" s="85" t="s">
        <v>93</v>
      </c>
      <c r="D58" s="84" t="s">
        <v>55</v>
      </c>
      <c r="E58" s="86">
        <v>2026.8</v>
      </c>
      <c r="F58" s="88">
        <v>20.268000000000001</v>
      </c>
      <c r="G58" s="10">
        <v>793.61</v>
      </c>
      <c r="H58" s="94">
        <v>16.085000000000001</v>
      </c>
      <c r="I58" s="10">
        <v>0</v>
      </c>
    </row>
    <row r="59" spans="1:9" ht="15.75" customHeight="1">
      <c r="A59" s="22">
        <v>13</v>
      </c>
      <c r="B59" s="84" t="s">
        <v>138</v>
      </c>
      <c r="C59" s="85" t="s">
        <v>25</v>
      </c>
      <c r="D59" s="84" t="s">
        <v>139</v>
      </c>
      <c r="E59" s="86">
        <v>325</v>
      </c>
      <c r="F59" s="87">
        <f>E59*12</f>
        <v>3900</v>
      </c>
      <c r="G59" s="110">
        <v>2.59</v>
      </c>
      <c r="H59" s="88">
        <f>F59*G59/1000</f>
        <v>10.101000000000001</v>
      </c>
      <c r="I59" s="10">
        <f>F59/12*G59</f>
        <v>841.75</v>
      </c>
    </row>
    <row r="60" spans="1:9" ht="15.75" hidden="1" customHeight="1">
      <c r="A60" s="22"/>
      <c r="B60" s="107" t="s">
        <v>159</v>
      </c>
      <c r="C60" s="85"/>
      <c r="D60" s="84"/>
      <c r="E60" s="86"/>
      <c r="F60" s="87"/>
      <c r="G60" s="87"/>
      <c r="H60" s="88" t="s">
        <v>156</v>
      </c>
      <c r="I60" s="10"/>
    </row>
    <row r="61" spans="1:9" ht="15.75" hidden="1" customHeight="1">
      <c r="A61" s="22"/>
      <c r="B61" s="84" t="s">
        <v>171</v>
      </c>
      <c r="C61" s="85" t="s">
        <v>102</v>
      </c>
      <c r="D61" s="84" t="s">
        <v>55</v>
      </c>
      <c r="E61" s="86">
        <v>4</v>
      </c>
      <c r="F61" s="87">
        <f>SUM(E61)</f>
        <v>4</v>
      </c>
      <c r="G61" s="95">
        <v>237.75</v>
      </c>
      <c r="H61" s="88">
        <f t="shared" ref="H61:H79" si="6">SUM(F61*G61/1000)</f>
        <v>0.95099999999999996</v>
      </c>
      <c r="I61" s="10">
        <v>0</v>
      </c>
    </row>
    <row r="62" spans="1:9" ht="15.75" customHeight="1">
      <c r="A62" s="22"/>
      <c r="B62" s="108" t="s">
        <v>47</v>
      </c>
      <c r="C62" s="96"/>
      <c r="D62" s="97"/>
      <c r="E62" s="98"/>
      <c r="F62" s="99"/>
      <c r="G62" s="99"/>
      <c r="H62" s="100" t="s">
        <v>156</v>
      </c>
      <c r="I62" s="10"/>
    </row>
    <row r="63" spans="1:9" ht="15.75" customHeight="1">
      <c r="A63" s="22">
        <v>14</v>
      </c>
      <c r="B63" s="11" t="s">
        <v>48</v>
      </c>
      <c r="C63" s="13" t="s">
        <v>102</v>
      </c>
      <c r="D63" s="11" t="s">
        <v>69</v>
      </c>
      <c r="E63" s="16">
        <v>30</v>
      </c>
      <c r="F63" s="87">
        <v>30</v>
      </c>
      <c r="G63" s="10">
        <v>222.4</v>
      </c>
      <c r="H63" s="82">
        <f t="shared" si="6"/>
        <v>6.6719999999999997</v>
      </c>
      <c r="I63" s="10">
        <f>G63*3</f>
        <v>667.2</v>
      </c>
    </row>
    <row r="64" spans="1:9" ht="15.75" hidden="1" customHeight="1">
      <c r="A64" s="22">
        <v>21</v>
      </c>
      <c r="B64" s="11" t="s">
        <v>49</v>
      </c>
      <c r="C64" s="13" t="s">
        <v>102</v>
      </c>
      <c r="D64" s="11" t="s">
        <v>69</v>
      </c>
      <c r="E64" s="16">
        <v>5</v>
      </c>
      <c r="F64" s="87">
        <v>5</v>
      </c>
      <c r="G64" s="10">
        <v>76.25</v>
      </c>
      <c r="H64" s="82">
        <f t="shared" si="6"/>
        <v>0.38124999999999998</v>
      </c>
      <c r="I64" s="10">
        <f>G64</f>
        <v>76.25</v>
      </c>
    </row>
    <row r="65" spans="1:9" ht="15.75" hidden="1" customHeight="1">
      <c r="A65" s="22"/>
      <c r="B65" s="11" t="s">
        <v>50</v>
      </c>
      <c r="C65" s="13" t="s">
        <v>103</v>
      </c>
      <c r="D65" s="11" t="s">
        <v>55</v>
      </c>
      <c r="E65" s="86">
        <v>24063</v>
      </c>
      <c r="F65" s="10">
        <f>SUM(E65/100)</f>
        <v>240.63</v>
      </c>
      <c r="G65" s="10">
        <v>212.15</v>
      </c>
      <c r="H65" s="82">
        <f t="shared" si="6"/>
        <v>51.049654499999995</v>
      </c>
      <c r="I65" s="10">
        <v>0</v>
      </c>
    </row>
    <row r="66" spans="1:9" ht="15.75" hidden="1" customHeight="1">
      <c r="A66" s="22"/>
      <c r="B66" s="11" t="s">
        <v>51</v>
      </c>
      <c r="C66" s="13" t="s">
        <v>104</v>
      </c>
      <c r="D66" s="11"/>
      <c r="E66" s="86">
        <v>24063</v>
      </c>
      <c r="F66" s="10">
        <f>SUM(E66/1000)</f>
        <v>24.062999999999999</v>
      </c>
      <c r="G66" s="10">
        <v>165.21</v>
      </c>
      <c r="H66" s="82">
        <f t="shared" si="6"/>
        <v>3.97544823</v>
      </c>
      <c r="I66" s="10">
        <v>0</v>
      </c>
    </row>
    <row r="67" spans="1:9" ht="15.75" hidden="1" customHeight="1">
      <c r="A67" s="22"/>
      <c r="B67" s="11" t="s">
        <v>52</v>
      </c>
      <c r="C67" s="13" t="s">
        <v>81</v>
      </c>
      <c r="D67" s="11" t="s">
        <v>55</v>
      </c>
      <c r="E67" s="86">
        <v>2730</v>
      </c>
      <c r="F67" s="10">
        <f>SUM(E67/100)</f>
        <v>27.3</v>
      </c>
      <c r="G67" s="10">
        <v>2074.63</v>
      </c>
      <c r="H67" s="82">
        <f t="shared" si="6"/>
        <v>56.637399000000002</v>
      </c>
      <c r="I67" s="10">
        <v>0</v>
      </c>
    </row>
    <row r="68" spans="1:9" ht="15.75" hidden="1" customHeight="1">
      <c r="A68" s="22"/>
      <c r="B68" s="101" t="s">
        <v>75</v>
      </c>
      <c r="C68" s="13" t="s">
        <v>33</v>
      </c>
      <c r="D68" s="11"/>
      <c r="E68" s="86">
        <v>21.4</v>
      </c>
      <c r="F68" s="10">
        <f>SUM(E68)</f>
        <v>21.4</v>
      </c>
      <c r="G68" s="10">
        <v>45.32</v>
      </c>
      <c r="H68" s="82">
        <f t="shared" si="6"/>
        <v>0.96984799999999993</v>
      </c>
      <c r="I68" s="10">
        <v>0</v>
      </c>
    </row>
    <row r="69" spans="1:9" ht="15.75" hidden="1" customHeight="1">
      <c r="A69" s="22"/>
      <c r="B69" s="101" t="s">
        <v>76</v>
      </c>
      <c r="C69" s="13" t="s">
        <v>33</v>
      </c>
      <c r="D69" s="11"/>
      <c r="E69" s="86">
        <v>21.4</v>
      </c>
      <c r="F69" s="10">
        <f>SUM(E69)</f>
        <v>21.4</v>
      </c>
      <c r="G69" s="10">
        <v>42.28</v>
      </c>
      <c r="H69" s="82">
        <f t="shared" si="6"/>
        <v>0.90479199999999993</v>
      </c>
      <c r="I69" s="10">
        <v>0</v>
      </c>
    </row>
    <row r="70" spans="1:9" ht="15.75" hidden="1" customHeight="1">
      <c r="A70" s="22">
        <v>22</v>
      </c>
      <c r="B70" s="101" t="s">
        <v>133</v>
      </c>
      <c r="C70" s="13"/>
      <c r="D70" s="11"/>
      <c r="E70" s="102"/>
      <c r="F70" s="76">
        <v>1</v>
      </c>
      <c r="G70" s="10">
        <v>5600</v>
      </c>
      <c r="H70" s="82">
        <f t="shared" si="6"/>
        <v>5.6</v>
      </c>
      <c r="I70" s="10">
        <f>F70*G70</f>
        <v>5600</v>
      </c>
    </row>
    <row r="71" spans="1:9" ht="15.75" hidden="1" customHeight="1">
      <c r="A71" s="22"/>
      <c r="B71" s="11" t="s">
        <v>59</v>
      </c>
      <c r="C71" s="13" t="s">
        <v>60</v>
      </c>
      <c r="D71" s="11" t="s">
        <v>55</v>
      </c>
      <c r="E71" s="16">
        <v>10</v>
      </c>
      <c r="F71" s="87">
        <f>SUM(E71)</f>
        <v>10</v>
      </c>
      <c r="G71" s="10">
        <v>49.88</v>
      </c>
      <c r="H71" s="82">
        <f t="shared" si="6"/>
        <v>0.49880000000000002</v>
      </c>
      <c r="I71" s="10">
        <v>0</v>
      </c>
    </row>
    <row r="72" spans="1:9" ht="15.75" hidden="1" customHeight="1">
      <c r="A72" s="22"/>
      <c r="B72" s="70" t="s">
        <v>77</v>
      </c>
      <c r="C72" s="13"/>
      <c r="D72" s="11"/>
      <c r="E72" s="16"/>
      <c r="F72" s="10"/>
      <c r="G72" s="10"/>
      <c r="H72" s="82" t="s">
        <v>156</v>
      </c>
      <c r="I72" s="10"/>
    </row>
    <row r="73" spans="1:9" ht="15.75" hidden="1" customHeight="1">
      <c r="A73" s="22">
        <v>15</v>
      </c>
      <c r="B73" s="11" t="s">
        <v>78</v>
      </c>
      <c r="C73" s="13" t="s">
        <v>79</v>
      </c>
      <c r="D73" s="11"/>
      <c r="E73" s="16">
        <v>160</v>
      </c>
      <c r="F73" s="10">
        <v>16</v>
      </c>
      <c r="G73" s="10">
        <v>501.62</v>
      </c>
      <c r="H73" s="82">
        <f t="shared" si="6"/>
        <v>8.0259199999999993</v>
      </c>
      <c r="I73" s="10">
        <f>G73*(2.5+0.6+0.3)</f>
        <v>1705.508</v>
      </c>
    </row>
    <row r="74" spans="1:9" ht="15.75" hidden="1" customHeight="1">
      <c r="A74" s="22"/>
      <c r="B74" s="11" t="s">
        <v>128</v>
      </c>
      <c r="C74" s="13" t="s">
        <v>102</v>
      </c>
      <c r="D74" s="11"/>
      <c r="E74" s="16">
        <v>1</v>
      </c>
      <c r="F74" s="87">
        <f>SUM(E74)</f>
        <v>1</v>
      </c>
      <c r="G74" s="10">
        <v>358.51</v>
      </c>
      <c r="H74" s="82">
        <f t="shared" si="6"/>
        <v>0.35851</v>
      </c>
      <c r="I74" s="10">
        <v>0</v>
      </c>
    </row>
    <row r="75" spans="1:9" ht="15.75" hidden="1" customHeight="1">
      <c r="A75" s="22">
        <v>16</v>
      </c>
      <c r="B75" s="11" t="s">
        <v>134</v>
      </c>
      <c r="C75" s="13" t="s">
        <v>31</v>
      </c>
      <c r="D75" s="11"/>
      <c r="E75" s="16">
        <v>3</v>
      </c>
      <c r="F75" s="10">
        <v>3</v>
      </c>
      <c r="G75" s="10">
        <v>99.85</v>
      </c>
      <c r="H75" s="82">
        <f>F75*G75/1000</f>
        <v>0.29954999999999993</v>
      </c>
      <c r="I75" s="10">
        <f>G75</f>
        <v>99.85</v>
      </c>
    </row>
    <row r="76" spans="1:9" ht="15.75" hidden="1" customHeight="1">
      <c r="A76" s="22">
        <v>17</v>
      </c>
      <c r="B76" s="11" t="s">
        <v>135</v>
      </c>
      <c r="C76" s="13" t="s">
        <v>31</v>
      </c>
      <c r="D76" s="11"/>
      <c r="E76" s="16">
        <v>2</v>
      </c>
      <c r="F76" s="10">
        <v>2</v>
      </c>
      <c r="G76" s="10">
        <v>120.26</v>
      </c>
      <c r="H76" s="82">
        <f>F76*G76/1000</f>
        <v>0.24052000000000001</v>
      </c>
      <c r="I76" s="10">
        <f>G76*3</f>
        <v>360.78000000000003</v>
      </c>
    </row>
    <row r="77" spans="1:9" ht="15.75" hidden="1" customHeight="1">
      <c r="A77" s="22"/>
      <c r="B77" s="11" t="s">
        <v>127</v>
      </c>
      <c r="C77" s="13" t="s">
        <v>102</v>
      </c>
      <c r="D77" s="11"/>
      <c r="E77" s="16">
        <v>1</v>
      </c>
      <c r="F77" s="87">
        <f>SUM(E77)</f>
        <v>1</v>
      </c>
      <c r="G77" s="10">
        <v>911.85</v>
      </c>
      <c r="H77" s="82">
        <f t="shared" ref="H77" si="7">SUM(F77*G77/1000)</f>
        <v>0.91185000000000005</v>
      </c>
      <c r="I77" s="10">
        <v>0</v>
      </c>
    </row>
    <row r="78" spans="1:9" ht="15.75" hidden="1" customHeight="1">
      <c r="A78" s="22"/>
      <c r="B78" s="104" t="s">
        <v>80</v>
      </c>
      <c r="C78" s="13"/>
      <c r="D78" s="11"/>
      <c r="E78" s="16"/>
      <c r="F78" s="10"/>
      <c r="G78" s="10" t="s">
        <v>156</v>
      </c>
      <c r="H78" s="82" t="s">
        <v>156</v>
      </c>
      <c r="I78" s="10"/>
    </row>
    <row r="79" spans="1:9" ht="15.75" hidden="1" customHeight="1">
      <c r="A79" s="22"/>
      <c r="B79" s="49" t="s">
        <v>107</v>
      </c>
      <c r="C79" s="13" t="s">
        <v>81</v>
      </c>
      <c r="D79" s="11"/>
      <c r="E79" s="16"/>
      <c r="F79" s="10">
        <v>0.6</v>
      </c>
      <c r="G79" s="10">
        <v>2759.44</v>
      </c>
      <c r="H79" s="82">
        <f t="shared" si="6"/>
        <v>1.655664</v>
      </c>
      <c r="I79" s="10">
        <v>0</v>
      </c>
    </row>
    <row r="80" spans="1:9" ht="15.75" customHeight="1">
      <c r="A80" s="22"/>
      <c r="B80" s="70" t="s">
        <v>99</v>
      </c>
      <c r="C80" s="104"/>
      <c r="D80" s="24"/>
      <c r="E80" s="25"/>
      <c r="F80" s="90"/>
      <c r="G80" s="90"/>
      <c r="H80" s="105">
        <f>SUM(H56:H79)</f>
        <v>181.74382075399996</v>
      </c>
      <c r="I80" s="90"/>
    </row>
    <row r="81" spans="1:9" ht="15.75" customHeight="1">
      <c r="A81" s="22">
        <v>15</v>
      </c>
      <c r="B81" s="84" t="s">
        <v>105</v>
      </c>
      <c r="C81" s="13"/>
      <c r="D81" s="11"/>
      <c r="E81" s="77"/>
      <c r="F81" s="10">
        <v>1</v>
      </c>
      <c r="G81" s="33">
        <v>18792</v>
      </c>
      <c r="H81" s="82">
        <f>G81*F81/1000</f>
        <v>18.792000000000002</v>
      </c>
      <c r="I81" s="10">
        <f>G81</f>
        <v>18792</v>
      </c>
    </row>
    <row r="82" spans="1:9" ht="15.75" customHeight="1">
      <c r="A82" s="153" t="s">
        <v>153</v>
      </c>
      <c r="B82" s="154"/>
      <c r="C82" s="154"/>
      <c r="D82" s="154"/>
      <c r="E82" s="154"/>
      <c r="F82" s="154"/>
      <c r="G82" s="154"/>
      <c r="H82" s="154"/>
      <c r="I82" s="155"/>
    </row>
    <row r="83" spans="1:9" ht="15.75" customHeight="1">
      <c r="A83" s="22">
        <v>16</v>
      </c>
      <c r="B83" s="84" t="s">
        <v>106</v>
      </c>
      <c r="C83" s="13" t="s">
        <v>56</v>
      </c>
      <c r="D83" s="106" t="s">
        <v>57</v>
      </c>
      <c r="E83" s="10">
        <v>4394.8999999999996</v>
      </c>
      <c r="F83" s="10">
        <f>SUM(E83*12)</f>
        <v>52738.799999999996</v>
      </c>
      <c r="G83" s="10">
        <v>2.1</v>
      </c>
      <c r="H83" s="82">
        <f>SUM(F83*G83/1000)</f>
        <v>110.75148</v>
      </c>
      <c r="I83" s="10">
        <f>F83/12*G83</f>
        <v>9229.2899999999991</v>
      </c>
    </row>
    <row r="84" spans="1:9" ht="31.5" customHeight="1">
      <c r="A84" s="22">
        <v>17</v>
      </c>
      <c r="B84" s="11" t="s">
        <v>82</v>
      </c>
      <c r="C84" s="13"/>
      <c r="D84" s="106" t="s">
        <v>57</v>
      </c>
      <c r="E84" s="86">
        <f>E83</f>
        <v>4394.8999999999996</v>
      </c>
      <c r="F84" s="10">
        <f>E84*12</f>
        <v>52738.799999999996</v>
      </c>
      <c r="G84" s="10">
        <v>1.63</v>
      </c>
      <c r="H84" s="82">
        <f>F84*G84/1000</f>
        <v>85.964243999999994</v>
      </c>
      <c r="I84" s="10">
        <f>F84/12*G84</f>
        <v>7163.686999999999</v>
      </c>
    </row>
    <row r="85" spans="1:9" ht="15.75" customHeight="1">
      <c r="A85" s="22"/>
      <c r="B85" s="38" t="s">
        <v>85</v>
      </c>
      <c r="C85" s="104"/>
      <c r="D85" s="103"/>
      <c r="E85" s="90"/>
      <c r="F85" s="90"/>
      <c r="G85" s="90"/>
      <c r="H85" s="105">
        <f>SUM(H84)</f>
        <v>85.964243999999994</v>
      </c>
      <c r="I85" s="90">
        <f>I16+I17+I18+I20+I21+I24+I25+I26+I27+I30+I31+I33+I59+I63+I81+I83+I84</f>
        <v>78845.665390888898</v>
      </c>
    </row>
    <row r="86" spans="1:9" ht="15.75" customHeight="1">
      <c r="A86" s="167" t="s">
        <v>62</v>
      </c>
      <c r="B86" s="168"/>
      <c r="C86" s="168"/>
      <c r="D86" s="168"/>
      <c r="E86" s="168"/>
      <c r="F86" s="168"/>
      <c r="G86" s="168"/>
      <c r="H86" s="168"/>
      <c r="I86" s="169"/>
    </row>
    <row r="87" spans="1:9" ht="15.75" customHeight="1">
      <c r="A87" s="22">
        <v>18</v>
      </c>
      <c r="B87" s="68" t="s">
        <v>182</v>
      </c>
      <c r="C87" s="69" t="s">
        <v>144</v>
      </c>
      <c r="D87" s="49"/>
      <c r="E87" s="10"/>
      <c r="F87" s="10">
        <f>((3+3+3+10+5+10+15+3+10+10+3+15+3+3+10)/3)</f>
        <v>35.333333333333336</v>
      </c>
      <c r="G87" s="10">
        <v>1120.8900000000001</v>
      </c>
      <c r="H87" s="82">
        <f>G87*F87/1000</f>
        <v>39.604780000000005</v>
      </c>
      <c r="I87" s="10">
        <f>G87*(15/3)</f>
        <v>5604.4500000000007</v>
      </c>
    </row>
    <row r="88" spans="1:9" ht="15.75" customHeight="1">
      <c r="A88" s="22">
        <v>19</v>
      </c>
      <c r="B88" s="56" t="s">
        <v>137</v>
      </c>
      <c r="C88" s="57" t="s">
        <v>102</v>
      </c>
      <c r="D88" s="49"/>
      <c r="E88" s="10"/>
      <c r="F88" s="10">
        <v>790</v>
      </c>
      <c r="G88" s="10">
        <v>53.42</v>
      </c>
      <c r="H88" s="82">
        <f t="shared" ref="H88:H92" si="8">G88*F88/1000</f>
        <v>42.201800000000006</v>
      </c>
      <c r="I88" s="10">
        <f>G88*79</f>
        <v>4220.18</v>
      </c>
    </row>
    <row r="89" spans="1:9" ht="31.5" customHeight="1">
      <c r="A89" s="22">
        <v>20</v>
      </c>
      <c r="B89" s="56" t="s">
        <v>194</v>
      </c>
      <c r="C89" s="57" t="s">
        <v>136</v>
      </c>
      <c r="D89" s="22"/>
      <c r="E89" s="16"/>
      <c r="F89" s="16">
        <v>3</v>
      </c>
      <c r="G89" s="16">
        <v>666.24</v>
      </c>
      <c r="H89" s="82">
        <f t="shared" si="8"/>
        <v>1.9987200000000001</v>
      </c>
      <c r="I89" s="10">
        <f>G89</f>
        <v>666.24</v>
      </c>
    </row>
    <row r="90" spans="1:9" ht="15.75" customHeight="1">
      <c r="A90" s="22">
        <v>21</v>
      </c>
      <c r="B90" s="56" t="s">
        <v>87</v>
      </c>
      <c r="C90" s="57" t="s">
        <v>102</v>
      </c>
      <c r="D90" s="22"/>
      <c r="E90" s="16"/>
      <c r="F90" s="16">
        <v>13</v>
      </c>
      <c r="G90" s="16">
        <v>189.88</v>
      </c>
      <c r="H90" s="82">
        <f t="shared" si="8"/>
        <v>2.4684400000000002</v>
      </c>
      <c r="I90" s="10">
        <f t="shared" ref="I90:I92" si="9">G90</f>
        <v>189.88</v>
      </c>
    </row>
    <row r="91" spans="1:9" ht="31.5" customHeight="1">
      <c r="A91" s="22">
        <v>22</v>
      </c>
      <c r="B91" s="56" t="s">
        <v>209</v>
      </c>
      <c r="C91" s="57" t="s">
        <v>136</v>
      </c>
      <c r="D91" s="22"/>
      <c r="E91" s="16"/>
      <c r="F91" s="16">
        <v>2</v>
      </c>
      <c r="G91" s="16">
        <v>506.98</v>
      </c>
      <c r="H91" s="82">
        <f t="shared" si="8"/>
        <v>1.01396</v>
      </c>
      <c r="I91" s="10">
        <f>G91*2</f>
        <v>1013.96</v>
      </c>
    </row>
    <row r="92" spans="1:9" ht="15.75" customHeight="1">
      <c r="A92" s="22">
        <v>23</v>
      </c>
      <c r="B92" s="56" t="s">
        <v>210</v>
      </c>
      <c r="C92" s="60" t="s">
        <v>165</v>
      </c>
      <c r="D92" s="49"/>
      <c r="E92" s="10"/>
      <c r="F92" s="10">
        <v>1</v>
      </c>
      <c r="G92" s="10">
        <v>294.45</v>
      </c>
      <c r="H92" s="82">
        <f t="shared" si="8"/>
        <v>0.29444999999999999</v>
      </c>
      <c r="I92" s="10">
        <f t="shared" si="9"/>
        <v>294.45</v>
      </c>
    </row>
    <row r="93" spans="1:9">
      <c r="A93" s="22"/>
      <c r="B93" s="45" t="s">
        <v>53</v>
      </c>
      <c r="C93" s="41"/>
      <c r="D93" s="51"/>
      <c r="E93" s="41">
        <v>1</v>
      </c>
      <c r="F93" s="41"/>
      <c r="G93" s="41"/>
      <c r="H93" s="41"/>
      <c r="I93" s="25">
        <f>SUM(I87:I92)</f>
        <v>11989.16</v>
      </c>
    </row>
    <row r="94" spans="1:9" ht="15.75" customHeight="1">
      <c r="A94" s="22"/>
      <c r="B94" s="49" t="s">
        <v>83</v>
      </c>
      <c r="C94" s="12"/>
      <c r="D94" s="12"/>
      <c r="E94" s="42"/>
      <c r="F94" s="42"/>
      <c r="G94" s="43"/>
      <c r="H94" s="43"/>
      <c r="I94" s="15">
        <v>0</v>
      </c>
    </row>
    <row r="95" spans="1:9" ht="15.75" customHeight="1">
      <c r="A95" s="52"/>
      <c r="B95" s="46" t="s">
        <v>192</v>
      </c>
      <c r="C95" s="30"/>
      <c r="D95" s="30"/>
      <c r="E95" s="30"/>
      <c r="F95" s="30"/>
      <c r="G95" s="30"/>
      <c r="H95" s="30"/>
      <c r="I95" s="44">
        <f>I85+I93</f>
        <v>90834.825390888902</v>
      </c>
    </row>
    <row r="96" spans="1:9" ht="15.75">
      <c r="A96" s="166" t="s">
        <v>211</v>
      </c>
      <c r="B96" s="166"/>
      <c r="C96" s="166"/>
      <c r="D96" s="166"/>
      <c r="E96" s="166"/>
      <c r="F96" s="166"/>
      <c r="G96" s="166"/>
      <c r="H96" s="166"/>
      <c r="I96" s="166"/>
    </row>
    <row r="97" spans="1:9" ht="15.75" customHeight="1">
      <c r="A97" s="67"/>
      <c r="B97" s="161" t="s">
        <v>212</v>
      </c>
      <c r="C97" s="161"/>
      <c r="D97" s="161"/>
      <c r="E97" s="161"/>
      <c r="F97" s="161"/>
      <c r="G97" s="161"/>
      <c r="H97" s="80"/>
      <c r="I97" s="2"/>
    </row>
    <row r="98" spans="1:9" ht="15.75" customHeight="1">
      <c r="A98" s="71"/>
      <c r="B98" s="157" t="s">
        <v>6</v>
      </c>
      <c r="C98" s="157"/>
      <c r="D98" s="157"/>
      <c r="E98" s="157"/>
      <c r="F98" s="157"/>
      <c r="G98" s="157"/>
      <c r="H98" s="17"/>
      <c r="I98" s="4"/>
    </row>
    <row r="99" spans="1:9" ht="15.75" customHeight="1">
      <c r="A99" s="7"/>
      <c r="B99" s="7"/>
      <c r="C99" s="7"/>
      <c r="D99" s="7"/>
      <c r="E99" s="7"/>
      <c r="F99" s="7"/>
      <c r="G99" s="7"/>
      <c r="H99" s="7"/>
      <c r="I99" s="7"/>
    </row>
    <row r="100" spans="1:9" ht="15.75" customHeight="1">
      <c r="A100" s="162" t="s">
        <v>7</v>
      </c>
      <c r="B100" s="162"/>
      <c r="C100" s="162"/>
      <c r="D100" s="162"/>
      <c r="E100" s="162"/>
      <c r="F100" s="162"/>
      <c r="G100" s="162"/>
      <c r="H100" s="162"/>
      <c r="I100" s="162"/>
    </row>
    <row r="101" spans="1:9" ht="15.75" customHeight="1">
      <c r="A101" s="162" t="s">
        <v>8</v>
      </c>
      <c r="B101" s="162"/>
      <c r="C101" s="162"/>
      <c r="D101" s="162"/>
      <c r="E101" s="162"/>
      <c r="F101" s="162"/>
      <c r="G101" s="162"/>
      <c r="H101" s="162"/>
      <c r="I101" s="162"/>
    </row>
    <row r="102" spans="1:9" ht="15.75">
      <c r="A102" s="163" t="s">
        <v>63</v>
      </c>
      <c r="B102" s="163"/>
      <c r="C102" s="163"/>
      <c r="D102" s="163"/>
      <c r="E102" s="163"/>
      <c r="F102" s="163"/>
      <c r="G102" s="163"/>
      <c r="H102" s="163"/>
      <c r="I102" s="163"/>
    </row>
    <row r="103" spans="1:9" ht="15.75" customHeight="1">
      <c r="A103" s="8"/>
    </row>
    <row r="104" spans="1:9" ht="15.75">
      <c r="A104" s="164" t="s">
        <v>9</v>
      </c>
      <c r="B104" s="164"/>
      <c r="C104" s="164"/>
      <c r="D104" s="164"/>
      <c r="E104" s="164"/>
      <c r="F104" s="164"/>
      <c r="G104" s="164"/>
      <c r="H104" s="164"/>
      <c r="I104" s="164"/>
    </row>
    <row r="105" spans="1:9" ht="15.75" customHeight="1">
      <c r="A105" s="3"/>
    </row>
    <row r="106" spans="1:9" ht="15.75">
      <c r="B106" s="74" t="s">
        <v>10</v>
      </c>
      <c r="C106" s="156" t="s">
        <v>150</v>
      </c>
      <c r="D106" s="156"/>
      <c r="E106" s="156"/>
      <c r="F106" s="78"/>
      <c r="I106" s="75"/>
    </row>
    <row r="107" spans="1:9">
      <c r="A107" s="71"/>
      <c r="C107" s="157" t="s">
        <v>11</v>
      </c>
      <c r="D107" s="157"/>
      <c r="E107" s="157"/>
      <c r="F107" s="17"/>
      <c r="I107" s="73" t="s">
        <v>12</v>
      </c>
    </row>
    <row r="108" spans="1:9" ht="15.75">
      <c r="A108" s="18"/>
      <c r="C108" s="9"/>
      <c r="D108" s="9"/>
      <c r="G108" s="9"/>
      <c r="H108" s="9"/>
    </row>
    <row r="109" spans="1:9" ht="15.75" customHeight="1">
      <c r="B109" s="74" t="s">
        <v>13</v>
      </c>
      <c r="C109" s="158"/>
      <c r="D109" s="158"/>
      <c r="E109" s="158"/>
      <c r="F109" s="79"/>
      <c r="I109" s="75"/>
    </row>
    <row r="110" spans="1:9" ht="15.75" customHeight="1">
      <c r="A110" s="71"/>
      <c r="C110" s="159" t="s">
        <v>11</v>
      </c>
      <c r="D110" s="159"/>
      <c r="E110" s="159"/>
      <c r="F110" s="71"/>
      <c r="I110" s="73" t="s">
        <v>12</v>
      </c>
    </row>
    <row r="111" spans="1:9" ht="15.75" customHeight="1">
      <c r="A111" s="3" t="s">
        <v>14</v>
      </c>
    </row>
    <row r="112" spans="1:9">
      <c r="A112" s="160" t="s">
        <v>15</v>
      </c>
      <c r="B112" s="160"/>
      <c r="C112" s="160"/>
      <c r="D112" s="160"/>
      <c r="E112" s="160"/>
      <c r="F112" s="160"/>
      <c r="G112" s="160"/>
      <c r="H112" s="160"/>
      <c r="I112" s="160"/>
    </row>
    <row r="113" spans="1:9" ht="45" customHeight="1">
      <c r="A113" s="152" t="s">
        <v>16</v>
      </c>
      <c r="B113" s="152"/>
      <c r="C113" s="152"/>
      <c r="D113" s="152"/>
      <c r="E113" s="152"/>
      <c r="F113" s="152"/>
      <c r="G113" s="152"/>
      <c r="H113" s="152"/>
      <c r="I113" s="152"/>
    </row>
    <row r="114" spans="1:9" ht="30" customHeight="1">
      <c r="A114" s="152" t="s">
        <v>17</v>
      </c>
      <c r="B114" s="152"/>
      <c r="C114" s="152"/>
      <c r="D114" s="152"/>
      <c r="E114" s="152"/>
      <c r="F114" s="152"/>
      <c r="G114" s="152"/>
      <c r="H114" s="152"/>
      <c r="I114" s="152"/>
    </row>
    <row r="115" spans="1:9" ht="30" customHeight="1">
      <c r="A115" s="152" t="s">
        <v>21</v>
      </c>
      <c r="B115" s="152"/>
      <c r="C115" s="152"/>
      <c r="D115" s="152"/>
      <c r="E115" s="152"/>
      <c r="F115" s="152"/>
      <c r="G115" s="152"/>
      <c r="H115" s="152"/>
      <c r="I115" s="152"/>
    </row>
    <row r="116" spans="1:9" ht="15" customHeight="1">
      <c r="A116" s="152" t="s">
        <v>20</v>
      </c>
      <c r="B116" s="152"/>
      <c r="C116" s="152"/>
      <c r="D116" s="152"/>
      <c r="E116" s="152"/>
      <c r="F116" s="152"/>
      <c r="G116" s="152"/>
      <c r="H116" s="152"/>
      <c r="I116" s="152"/>
    </row>
  </sheetData>
  <mergeCells count="28">
    <mergeCell ref="A114:I114"/>
    <mergeCell ref="A115:I115"/>
    <mergeCell ref="A116:I116"/>
    <mergeCell ref="C106:E106"/>
    <mergeCell ref="C107:E107"/>
    <mergeCell ref="C109:E109"/>
    <mergeCell ref="C110:E110"/>
    <mergeCell ref="A112:I112"/>
    <mergeCell ref="A113:I113"/>
    <mergeCell ref="A104:I104"/>
    <mergeCell ref="A15:I15"/>
    <mergeCell ref="A28:I28"/>
    <mergeCell ref="A43:I43"/>
    <mergeCell ref="A54:I54"/>
    <mergeCell ref="A82:I82"/>
    <mergeCell ref="A96:I96"/>
    <mergeCell ref="B97:G97"/>
    <mergeCell ref="B98:G98"/>
    <mergeCell ref="A100:I100"/>
    <mergeCell ref="A101:I101"/>
    <mergeCell ref="A102:I102"/>
    <mergeCell ref="A86:I86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1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91</v>
      </c>
      <c r="I1" s="19"/>
    </row>
    <row r="2" spans="1:9" ht="15.75">
      <c r="A2" s="21" t="s">
        <v>64</v>
      </c>
    </row>
    <row r="3" spans="1:9" ht="15.75">
      <c r="A3" s="171" t="s">
        <v>178</v>
      </c>
      <c r="B3" s="171"/>
      <c r="C3" s="171"/>
      <c r="D3" s="171"/>
      <c r="E3" s="171"/>
      <c r="F3" s="171"/>
      <c r="G3" s="171"/>
      <c r="H3" s="171"/>
      <c r="I3" s="171"/>
    </row>
    <row r="4" spans="1:9" ht="31.5" customHeight="1">
      <c r="A4" s="172" t="s">
        <v>143</v>
      </c>
      <c r="B4" s="172"/>
      <c r="C4" s="172"/>
      <c r="D4" s="172"/>
      <c r="E4" s="172"/>
      <c r="F4" s="172"/>
      <c r="G4" s="172"/>
      <c r="H4" s="172"/>
      <c r="I4" s="172"/>
    </row>
    <row r="5" spans="1:9" ht="15.75">
      <c r="A5" s="171" t="s">
        <v>213</v>
      </c>
      <c r="B5" s="173"/>
      <c r="C5" s="173"/>
      <c r="D5" s="173"/>
      <c r="E5" s="173"/>
      <c r="F5" s="173"/>
      <c r="G5" s="173"/>
      <c r="H5" s="173"/>
      <c r="I5" s="173"/>
    </row>
    <row r="6" spans="1:9" ht="15.75">
      <c r="A6" s="1"/>
      <c r="B6" s="72"/>
      <c r="C6" s="72"/>
      <c r="D6" s="72"/>
      <c r="E6" s="72"/>
      <c r="F6" s="72"/>
      <c r="G6" s="72"/>
      <c r="H6" s="72"/>
      <c r="I6" s="23">
        <v>42947</v>
      </c>
    </row>
    <row r="7" spans="1:9" ht="15.75">
      <c r="B7" s="74"/>
      <c r="C7" s="74"/>
      <c r="D7" s="74"/>
      <c r="E7" s="2"/>
      <c r="F7" s="2"/>
      <c r="G7" s="2"/>
      <c r="H7" s="2"/>
    </row>
    <row r="8" spans="1:9" ht="78.75" customHeight="1">
      <c r="A8" s="174" t="s">
        <v>147</v>
      </c>
      <c r="B8" s="174"/>
      <c r="C8" s="174"/>
      <c r="D8" s="174"/>
      <c r="E8" s="174"/>
      <c r="F8" s="174"/>
      <c r="G8" s="174"/>
      <c r="H8" s="174"/>
      <c r="I8" s="174"/>
    </row>
    <row r="9" spans="1:9" ht="15.75">
      <c r="A9" s="3"/>
    </row>
    <row r="10" spans="1:9" ht="47.25" customHeight="1">
      <c r="A10" s="175" t="s">
        <v>299</v>
      </c>
      <c r="B10" s="175"/>
      <c r="C10" s="175"/>
      <c r="D10" s="175"/>
      <c r="E10" s="175"/>
      <c r="F10" s="175"/>
      <c r="G10" s="175"/>
      <c r="H10" s="175"/>
      <c r="I10" s="17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70" t="s">
        <v>61</v>
      </c>
      <c r="B14" s="170"/>
      <c r="C14" s="170"/>
      <c r="D14" s="170"/>
      <c r="E14" s="170"/>
      <c r="F14" s="170"/>
      <c r="G14" s="170"/>
      <c r="H14" s="170"/>
      <c r="I14" s="170"/>
    </row>
    <row r="15" spans="1:9" ht="15" customHeight="1">
      <c r="A15" s="165" t="s">
        <v>4</v>
      </c>
      <c r="B15" s="165"/>
      <c r="C15" s="165"/>
      <c r="D15" s="165"/>
      <c r="E15" s="165"/>
      <c r="F15" s="165"/>
      <c r="G15" s="165"/>
      <c r="H15" s="165"/>
      <c r="I15" s="165"/>
    </row>
    <row r="16" spans="1:9" ht="31.5" customHeight="1">
      <c r="A16" s="22">
        <v>1</v>
      </c>
      <c r="B16" s="84" t="s">
        <v>109</v>
      </c>
      <c r="C16" s="85" t="s">
        <v>93</v>
      </c>
      <c r="D16" s="84" t="s">
        <v>110</v>
      </c>
      <c r="E16" s="86">
        <v>121.14</v>
      </c>
      <c r="F16" s="87">
        <f>SUM(E16*156/100)</f>
        <v>188.97839999999999</v>
      </c>
      <c r="G16" s="87">
        <v>175.38</v>
      </c>
      <c r="H16" s="88">
        <f t="shared" ref="H16:H25" si="0">SUM(F16*G16/1000)</f>
        <v>33.143031792000002</v>
      </c>
      <c r="I16" s="10">
        <f>F16/12*G16</f>
        <v>2761.9193159999995</v>
      </c>
    </row>
    <row r="17" spans="1:9" ht="31.5" customHeight="1">
      <c r="A17" s="22">
        <v>2</v>
      </c>
      <c r="B17" s="84" t="s">
        <v>111</v>
      </c>
      <c r="C17" s="85" t="s">
        <v>93</v>
      </c>
      <c r="D17" s="84" t="s">
        <v>112</v>
      </c>
      <c r="E17" s="86">
        <v>484.56</v>
      </c>
      <c r="F17" s="87">
        <f>SUM(E17*104/100)</f>
        <v>503.94239999999996</v>
      </c>
      <c r="G17" s="87">
        <v>175.38</v>
      </c>
      <c r="H17" s="88">
        <f t="shared" si="0"/>
        <v>88.381418111999992</v>
      </c>
      <c r="I17" s="10">
        <f>F17/12*G17</f>
        <v>7365.118175999999</v>
      </c>
    </row>
    <row r="18" spans="1:9" ht="31.5" customHeight="1">
      <c r="A18" s="22">
        <v>3</v>
      </c>
      <c r="B18" s="84" t="s">
        <v>113</v>
      </c>
      <c r="C18" s="85" t="s">
        <v>93</v>
      </c>
      <c r="D18" s="84" t="s">
        <v>129</v>
      </c>
      <c r="E18" s="86">
        <f>SUM(E16+E17)</f>
        <v>605.70000000000005</v>
      </c>
      <c r="F18" s="87">
        <f>SUM(E18*24/100)</f>
        <v>145.36800000000002</v>
      </c>
      <c r="G18" s="87">
        <v>504.5</v>
      </c>
      <c r="H18" s="88">
        <f t="shared" si="0"/>
        <v>73.338156000000012</v>
      </c>
      <c r="I18" s="10">
        <f>F18/12*G18</f>
        <v>6111.5130000000008</v>
      </c>
    </row>
    <row r="19" spans="1:9" ht="15.75" hidden="1" customHeight="1">
      <c r="A19" s="22"/>
      <c r="B19" s="84" t="s">
        <v>114</v>
      </c>
      <c r="C19" s="85" t="s">
        <v>115</v>
      </c>
      <c r="D19" s="84" t="s">
        <v>116</v>
      </c>
      <c r="E19" s="86">
        <v>38.4</v>
      </c>
      <c r="F19" s="87">
        <f>SUM(E19/10)</f>
        <v>3.84</v>
      </c>
      <c r="G19" s="87">
        <v>170.16</v>
      </c>
      <c r="H19" s="88">
        <f t="shared" si="0"/>
        <v>0.65341439999999995</v>
      </c>
      <c r="I19" s="10">
        <v>0</v>
      </c>
    </row>
    <row r="20" spans="1:9" ht="15.75" customHeight="1">
      <c r="A20" s="22">
        <v>4</v>
      </c>
      <c r="B20" s="84" t="s">
        <v>117</v>
      </c>
      <c r="C20" s="85" t="s">
        <v>93</v>
      </c>
      <c r="D20" s="84" t="s">
        <v>30</v>
      </c>
      <c r="E20" s="86">
        <v>58.4</v>
      </c>
      <c r="F20" s="87">
        <f>SUM(E20*12/100)</f>
        <v>7.0079999999999991</v>
      </c>
      <c r="G20" s="87">
        <v>217.88</v>
      </c>
      <c r="H20" s="88">
        <f t="shared" si="0"/>
        <v>1.5269030399999997</v>
      </c>
      <c r="I20" s="10">
        <f>F20/12*G20</f>
        <v>127.24191999999999</v>
      </c>
    </row>
    <row r="21" spans="1:9" ht="15.75" customHeight="1">
      <c r="A21" s="22">
        <v>5</v>
      </c>
      <c r="B21" s="84" t="s">
        <v>118</v>
      </c>
      <c r="C21" s="85" t="s">
        <v>93</v>
      </c>
      <c r="D21" s="84" t="s">
        <v>30</v>
      </c>
      <c r="E21" s="86">
        <v>9.08</v>
      </c>
      <c r="F21" s="87">
        <f>SUM(E21*12/100)</f>
        <v>1.0896000000000001</v>
      </c>
      <c r="G21" s="87">
        <v>216.12</v>
      </c>
      <c r="H21" s="88">
        <f t="shared" si="0"/>
        <v>0.23548435200000004</v>
      </c>
      <c r="I21" s="10">
        <f>F21/12*G21</f>
        <v>19.623696000000002</v>
      </c>
    </row>
    <row r="22" spans="1:9" ht="15.75" hidden="1" customHeight="1">
      <c r="A22" s="22"/>
      <c r="B22" s="84" t="s">
        <v>120</v>
      </c>
      <c r="C22" s="85" t="s">
        <v>54</v>
      </c>
      <c r="D22" s="84" t="s">
        <v>116</v>
      </c>
      <c r="E22" s="86">
        <v>714</v>
      </c>
      <c r="F22" s="87">
        <f>SUM(E22/100)</f>
        <v>7.14</v>
      </c>
      <c r="G22" s="87">
        <v>269.26</v>
      </c>
      <c r="H22" s="88">
        <f t="shared" si="0"/>
        <v>1.9225163999999997</v>
      </c>
      <c r="I22" s="10">
        <v>0</v>
      </c>
    </row>
    <row r="23" spans="1:9" ht="15.75" hidden="1" customHeight="1">
      <c r="A23" s="22"/>
      <c r="B23" s="84" t="s">
        <v>121</v>
      </c>
      <c r="C23" s="85" t="s">
        <v>54</v>
      </c>
      <c r="D23" s="84" t="s">
        <v>116</v>
      </c>
      <c r="E23" s="89">
        <v>96.6</v>
      </c>
      <c r="F23" s="87">
        <f>SUM(E23/100)</f>
        <v>0.96599999999999997</v>
      </c>
      <c r="G23" s="87">
        <v>44.29</v>
      </c>
      <c r="H23" s="88">
        <f t="shared" si="0"/>
        <v>4.2784139999999998E-2</v>
      </c>
      <c r="I23" s="10">
        <v>0</v>
      </c>
    </row>
    <row r="24" spans="1:9" ht="15.75" customHeight="1">
      <c r="A24" s="22">
        <v>6</v>
      </c>
      <c r="B24" s="84" t="s">
        <v>122</v>
      </c>
      <c r="C24" s="85" t="s">
        <v>54</v>
      </c>
      <c r="D24" s="84" t="s">
        <v>141</v>
      </c>
      <c r="E24" s="86">
        <v>32</v>
      </c>
      <c r="F24" s="87">
        <f>E24*12/100</f>
        <v>3.84</v>
      </c>
      <c r="G24" s="87">
        <v>389.42</v>
      </c>
      <c r="H24" s="88">
        <f t="shared" si="0"/>
        <v>1.4953728000000002</v>
      </c>
      <c r="I24" s="10">
        <f>F24/12*G24</f>
        <v>124.6144</v>
      </c>
    </row>
    <row r="25" spans="1:9" ht="15.75" customHeight="1">
      <c r="A25" s="22">
        <v>7</v>
      </c>
      <c r="B25" s="84" t="s">
        <v>124</v>
      </c>
      <c r="C25" s="85" t="s">
        <v>54</v>
      </c>
      <c r="D25" s="84" t="s">
        <v>142</v>
      </c>
      <c r="E25" s="86">
        <v>17</v>
      </c>
      <c r="F25" s="87">
        <f>SUM(E25*12/100)</f>
        <v>2.04</v>
      </c>
      <c r="G25" s="87">
        <v>520.79999999999995</v>
      </c>
      <c r="H25" s="88">
        <f t="shared" si="0"/>
        <v>1.062432</v>
      </c>
      <c r="I25" s="10">
        <f>F25/12*G25</f>
        <v>88.536000000000001</v>
      </c>
    </row>
    <row r="26" spans="1:9" ht="15.75" customHeight="1">
      <c r="A26" s="22">
        <v>8</v>
      </c>
      <c r="B26" s="84" t="s">
        <v>66</v>
      </c>
      <c r="C26" s="85" t="s">
        <v>33</v>
      </c>
      <c r="D26" s="84" t="s">
        <v>155</v>
      </c>
      <c r="E26" s="86">
        <v>0.1</v>
      </c>
      <c r="F26" s="87">
        <f>SUM(E26*365)</f>
        <v>36.5</v>
      </c>
      <c r="G26" s="87">
        <v>147.03</v>
      </c>
      <c r="H26" s="88">
        <f>SUM(F26*G26/1000)</f>
        <v>5.3665950000000002</v>
      </c>
      <c r="I26" s="10">
        <f>F26/12*G26</f>
        <v>447.21625</v>
      </c>
    </row>
    <row r="27" spans="1:9" ht="15.75" customHeight="1">
      <c r="A27" s="22">
        <v>9</v>
      </c>
      <c r="B27" s="93" t="s">
        <v>23</v>
      </c>
      <c r="C27" s="85" t="s">
        <v>24</v>
      </c>
      <c r="D27" s="93" t="s">
        <v>156</v>
      </c>
      <c r="E27" s="86">
        <v>4394</v>
      </c>
      <c r="F27" s="87">
        <f>SUM(E27*12)</f>
        <v>52728</v>
      </c>
      <c r="G27" s="87">
        <v>4.53</v>
      </c>
      <c r="H27" s="88">
        <f>SUM(F27*G27/1000)</f>
        <v>238.85784000000004</v>
      </c>
      <c r="I27" s="10">
        <f>F27/12*G27</f>
        <v>19904.82</v>
      </c>
    </row>
    <row r="28" spans="1:9" ht="15.75" customHeight="1">
      <c r="A28" s="153" t="s">
        <v>90</v>
      </c>
      <c r="B28" s="154"/>
      <c r="C28" s="154"/>
      <c r="D28" s="154"/>
      <c r="E28" s="154"/>
      <c r="F28" s="154"/>
      <c r="G28" s="154"/>
      <c r="H28" s="154"/>
      <c r="I28" s="155"/>
    </row>
    <row r="29" spans="1:9" ht="15.75" customHeight="1">
      <c r="A29" s="22"/>
      <c r="B29" s="107" t="s">
        <v>28</v>
      </c>
      <c r="C29" s="85"/>
      <c r="D29" s="84"/>
      <c r="E29" s="86"/>
      <c r="F29" s="87"/>
      <c r="G29" s="87"/>
      <c r="H29" s="88"/>
      <c r="I29" s="10"/>
    </row>
    <row r="30" spans="1:9" ht="31.5" customHeight="1">
      <c r="A30" s="22">
        <v>10</v>
      </c>
      <c r="B30" s="84" t="s">
        <v>101</v>
      </c>
      <c r="C30" s="85" t="s">
        <v>95</v>
      </c>
      <c r="D30" s="84" t="s">
        <v>130</v>
      </c>
      <c r="E30" s="87">
        <v>2873.1</v>
      </c>
      <c r="F30" s="87">
        <f>SUM(E30*26/1000)</f>
        <v>74.700599999999994</v>
      </c>
      <c r="G30" s="87">
        <v>155.88999999999999</v>
      </c>
      <c r="H30" s="88">
        <f t="shared" ref="H30:H35" si="1">SUM(F30*G30/1000)</f>
        <v>11.645076533999998</v>
      </c>
      <c r="I30" s="10">
        <f t="shared" ref="I30:I33" si="2">F30/6*G30</f>
        <v>1940.8460889999997</v>
      </c>
    </row>
    <row r="31" spans="1:9" ht="31.5" customHeight="1">
      <c r="A31" s="22">
        <v>11</v>
      </c>
      <c r="B31" s="84" t="s">
        <v>169</v>
      </c>
      <c r="C31" s="85" t="s">
        <v>95</v>
      </c>
      <c r="D31" s="84" t="s">
        <v>125</v>
      </c>
      <c r="E31" s="87">
        <v>824.5</v>
      </c>
      <c r="F31" s="87">
        <f>SUM(E31*78/1000)</f>
        <v>64.311000000000007</v>
      </c>
      <c r="G31" s="87">
        <v>258.63</v>
      </c>
      <c r="H31" s="88">
        <f t="shared" si="1"/>
        <v>16.632753930000003</v>
      </c>
      <c r="I31" s="10">
        <f t="shared" si="2"/>
        <v>2772.1256550000003</v>
      </c>
    </row>
    <row r="32" spans="1:9" ht="15.75" hidden="1" customHeight="1">
      <c r="A32" s="22"/>
      <c r="B32" s="84" t="s">
        <v>27</v>
      </c>
      <c r="C32" s="85" t="s">
        <v>95</v>
      </c>
      <c r="D32" s="84" t="s">
        <v>55</v>
      </c>
      <c r="E32" s="87">
        <v>2873.1</v>
      </c>
      <c r="F32" s="87">
        <f>SUM(E32/1000)</f>
        <v>2.8731</v>
      </c>
      <c r="G32" s="87">
        <v>3020.33</v>
      </c>
      <c r="H32" s="88">
        <f t="shared" si="1"/>
        <v>8.6777101229999989</v>
      </c>
      <c r="I32" s="10">
        <f>F32*G32</f>
        <v>8677.7101229999989</v>
      </c>
    </row>
    <row r="33" spans="1:9" ht="15.75" customHeight="1">
      <c r="A33" s="22">
        <v>12</v>
      </c>
      <c r="B33" s="84" t="s">
        <v>100</v>
      </c>
      <c r="C33" s="85" t="s">
        <v>31</v>
      </c>
      <c r="D33" s="84" t="s">
        <v>65</v>
      </c>
      <c r="E33" s="92">
        <v>0.33333333333333331</v>
      </c>
      <c r="F33" s="87">
        <f>155/3</f>
        <v>51.666666666666664</v>
      </c>
      <c r="G33" s="87">
        <v>56.69</v>
      </c>
      <c r="H33" s="88">
        <f>SUM(G33*155/3/1000)</f>
        <v>2.9289833333333331</v>
      </c>
      <c r="I33" s="10">
        <f t="shared" si="2"/>
        <v>488.16388888888883</v>
      </c>
    </row>
    <row r="34" spans="1:9" ht="15.75" hidden="1" customHeight="1">
      <c r="A34" s="22"/>
      <c r="B34" s="84" t="s">
        <v>67</v>
      </c>
      <c r="C34" s="85" t="s">
        <v>33</v>
      </c>
      <c r="D34" s="84" t="s">
        <v>69</v>
      </c>
      <c r="E34" s="86"/>
      <c r="F34" s="87">
        <v>2</v>
      </c>
      <c r="G34" s="87">
        <v>191.32</v>
      </c>
      <c r="H34" s="88">
        <f t="shared" si="1"/>
        <v>0.38263999999999998</v>
      </c>
      <c r="I34" s="10">
        <v>0</v>
      </c>
    </row>
    <row r="35" spans="1:9" ht="15.75" hidden="1" customHeight="1">
      <c r="A35" s="22"/>
      <c r="B35" s="84" t="s">
        <v>68</v>
      </c>
      <c r="C35" s="85" t="s">
        <v>32</v>
      </c>
      <c r="D35" s="84" t="s">
        <v>69</v>
      </c>
      <c r="E35" s="86"/>
      <c r="F35" s="87">
        <v>3</v>
      </c>
      <c r="G35" s="87">
        <v>1136.33</v>
      </c>
      <c r="H35" s="88">
        <f t="shared" si="1"/>
        <v>3.4089899999999997</v>
      </c>
      <c r="I35" s="10">
        <v>0</v>
      </c>
    </row>
    <row r="36" spans="1:9" ht="15.75" hidden="1" customHeight="1">
      <c r="A36" s="22"/>
      <c r="B36" s="91" t="s">
        <v>5</v>
      </c>
      <c r="C36" s="85"/>
      <c r="D36" s="84"/>
      <c r="E36" s="86"/>
      <c r="F36" s="87"/>
      <c r="G36" s="87"/>
      <c r="H36" s="88" t="s">
        <v>156</v>
      </c>
      <c r="I36" s="10"/>
    </row>
    <row r="37" spans="1:9" ht="15.75" hidden="1" customHeight="1">
      <c r="A37" s="22">
        <v>10</v>
      </c>
      <c r="B37" s="84" t="s">
        <v>26</v>
      </c>
      <c r="C37" s="85" t="s">
        <v>32</v>
      </c>
      <c r="D37" s="84"/>
      <c r="E37" s="86"/>
      <c r="F37" s="87">
        <v>15</v>
      </c>
      <c r="G37" s="87">
        <v>1527.22</v>
      </c>
      <c r="H37" s="88">
        <f t="shared" ref="H37:H42" si="3">SUM(F37*G37/1000)</f>
        <v>22.908300000000001</v>
      </c>
      <c r="I37" s="10">
        <f t="shared" ref="I37:I42" si="4">F37/6*G37</f>
        <v>3818.05</v>
      </c>
    </row>
    <row r="38" spans="1:9" ht="15.75" hidden="1" customHeight="1">
      <c r="A38" s="22">
        <v>11</v>
      </c>
      <c r="B38" s="84" t="s">
        <v>70</v>
      </c>
      <c r="C38" s="85" t="s">
        <v>29</v>
      </c>
      <c r="D38" s="84" t="s">
        <v>131</v>
      </c>
      <c r="E38" s="87">
        <v>824.5</v>
      </c>
      <c r="F38" s="87">
        <f>SUM(E38*50/1000)</f>
        <v>41.225000000000001</v>
      </c>
      <c r="G38" s="87">
        <v>2102.71</v>
      </c>
      <c r="H38" s="88">
        <f t="shared" si="3"/>
        <v>86.684219749999997</v>
      </c>
      <c r="I38" s="10">
        <f t="shared" si="4"/>
        <v>14447.369958333335</v>
      </c>
    </row>
    <row r="39" spans="1:9" ht="15.75" hidden="1" customHeight="1">
      <c r="A39" s="22">
        <v>12</v>
      </c>
      <c r="B39" s="84" t="s">
        <v>71</v>
      </c>
      <c r="C39" s="85" t="s">
        <v>29</v>
      </c>
      <c r="D39" s="84" t="s">
        <v>94</v>
      </c>
      <c r="E39" s="87">
        <v>188</v>
      </c>
      <c r="F39" s="87">
        <f>SUM(E39*155/1000)</f>
        <v>29.14</v>
      </c>
      <c r="G39" s="87">
        <v>350.75</v>
      </c>
      <c r="H39" s="88">
        <f t="shared" si="3"/>
        <v>10.220855</v>
      </c>
      <c r="I39" s="10">
        <f t="shared" si="4"/>
        <v>1703.4758333333332</v>
      </c>
    </row>
    <row r="40" spans="1:9" ht="47.25" hidden="1" customHeight="1">
      <c r="A40" s="22">
        <v>13</v>
      </c>
      <c r="B40" s="84" t="s">
        <v>89</v>
      </c>
      <c r="C40" s="85" t="s">
        <v>95</v>
      </c>
      <c r="D40" s="84" t="s">
        <v>132</v>
      </c>
      <c r="E40" s="87">
        <v>188</v>
      </c>
      <c r="F40" s="87">
        <f>SUM(E40*12/1000)</f>
        <v>2.2559999999999998</v>
      </c>
      <c r="G40" s="87">
        <v>5803.28</v>
      </c>
      <c r="H40" s="88">
        <f t="shared" si="3"/>
        <v>13.092199679999998</v>
      </c>
      <c r="I40" s="10">
        <f t="shared" si="4"/>
        <v>2182.0332799999996</v>
      </c>
    </row>
    <row r="41" spans="1:9" ht="15.75" hidden="1" customHeight="1">
      <c r="A41" s="22">
        <v>14</v>
      </c>
      <c r="B41" s="84" t="s">
        <v>96</v>
      </c>
      <c r="C41" s="85" t="s">
        <v>95</v>
      </c>
      <c r="D41" s="84" t="s">
        <v>72</v>
      </c>
      <c r="E41" s="87">
        <v>188</v>
      </c>
      <c r="F41" s="87">
        <f>SUM(E41*45/1000)</f>
        <v>8.4600000000000009</v>
      </c>
      <c r="G41" s="87">
        <v>428.7</v>
      </c>
      <c r="H41" s="88">
        <f t="shared" si="3"/>
        <v>3.6268020000000001</v>
      </c>
      <c r="I41" s="10">
        <f t="shared" si="4"/>
        <v>604.4670000000001</v>
      </c>
    </row>
    <row r="42" spans="1:9" ht="15.75" hidden="1" customHeight="1">
      <c r="A42" s="22">
        <v>15</v>
      </c>
      <c r="B42" s="84" t="s">
        <v>73</v>
      </c>
      <c r="C42" s="85" t="s">
        <v>33</v>
      </c>
      <c r="D42" s="84"/>
      <c r="E42" s="86"/>
      <c r="F42" s="87">
        <v>0.9</v>
      </c>
      <c r="G42" s="87">
        <v>798</v>
      </c>
      <c r="H42" s="88">
        <f t="shared" si="3"/>
        <v>0.71820000000000006</v>
      </c>
      <c r="I42" s="10">
        <f t="shared" si="4"/>
        <v>119.69999999999999</v>
      </c>
    </row>
    <row r="43" spans="1:9" ht="15.75" hidden="1" customHeight="1">
      <c r="A43" s="153" t="s">
        <v>148</v>
      </c>
      <c r="B43" s="154"/>
      <c r="C43" s="154"/>
      <c r="D43" s="154"/>
      <c r="E43" s="154"/>
      <c r="F43" s="154"/>
      <c r="G43" s="154"/>
      <c r="H43" s="154"/>
      <c r="I43" s="155"/>
    </row>
    <row r="44" spans="1:9" ht="15.75" hidden="1" customHeight="1">
      <c r="A44" s="22"/>
      <c r="B44" s="84" t="s">
        <v>157</v>
      </c>
      <c r="C44" s="85" t="s">
        <v>95</v>
      </c>
      <c r="D44" s="84" t="s">
        <v>43</v>
      </c>
      <c r="E44" s="86">
        <v>1609.3</v>
      </c>
      <c r="F44" s="87">
        <f>SUM(E44*2/1000)</f>
        <v>3.2185999999999999</v>
      </c>
      <c r="G44" s="10">
        <v>910.17</v>
      </c>
      <c r="H44" s="88">
        <f t="shared" ref="H44:H53" si="5">SUM(F44*G44/1000)</f>
        <v>2.9294731619999999</v>
      </c>
      <c r="I44" s="10">
        <v>0</v>
      </c>
    </row>
    <row r="45" spans="1:9" ht="15.75" hidden="1" customHeight="1">
      <c r="A45" s="22"/>
      <c r="B45" s="84" t="s">
        <v>36</v>
      </c>
      <c r="C45" s="85" t="s">
        <v>95</v>
      </c>
      <c r="D45" s="84" t="s">
        <v>43</v>
      </c>
      <c r="E45" s="86">
        <v>742</v>
      </c>
      <c r="F45" s="87">
        <f>SUM(E45*2/1000)</f>
        <v>1.484</v>
      </c>
      <c r="G45" s="10">
        <v>579.48</v>
      </c>
      <c r="H45" s="88">
        <f t="shared" si="5"/>
        <v>0.85994831999999999</v>
      </c>
      <c r="I45" s="10">
        <v>0</v>
      </c>
    </row>
    <row r="46" spans="1:9" ht="15.75" hidden="1" customHeight="1">
      <c r="A46" s="22"/>
      <c r="B46" s="84" t="s">
        <v>37</v>
      </c>
      <c r="C46" s="85" t="s">
        <v>95</v>
      </c>
      <c r="D46" s="84" t="s">
        <v>43</v>
      </c>
      <c r="E46" s="86">
        <v>4989.8100000000004</v>
      </c>
      <c r="F46" s="87">
        <f>SUM(E46*2/1000)</f>
        <v>9.9796200000000006</v>
      </c>
      <c r="G46" s="10">
        <v>579.48</v>
      </c>
      <c r="H46" s="88">
        <f t="shared" si="5"/>
        <v>5.7829901976000002</v>
      </c>
      <c r="I46" s="10">
        <v>0</v>
      </c>
    </row>
    <row r="47" spans="1:9" ht="15.75" hidden="1" customHeight="1">
      <c r="A47" s="22"/>
      <c r="B47" s="84" t="s">
        <v>38</v>
      </c>
      <c r="C47" s="85" t="s">
        <v>95</v>
      </c>
      <c r="D47" s="84" t="s">
        <v>43</v>
      </c>
      <c r="E47" s="86">
        <v>2654.21</v>
      </c>
      <c r="F47" s="87">
        <f>SUM(E47*2/1000)</f>
        <v>5.3084199999999999</v>
      </c>
      <c r="G47" s="10">
        <v>606.77</v>
      </c>
      <c r="H47" s="88">
        <f t="shared" si="5"/>
        <v>3.2209900033999999</v>
      </c>
      <c r="I47" s="10">
        <v>0</v>
      </c>
    </row>
    <row r="48" spans="1:9" ht="15.75" hidden="1" customHeight="1">
      <c r="A48" s="22"/>
      <c r="B48" s="84" t="s">
        <v>34</v>
      </c>
      <c r="C48" s="85" t="s">
        <v>35</v>
      </c>
      <c r="D48" s="84" t="s">
        <v>43</v>
      </c>
      <c r="E48" s="86">
        <v>128.53</v>
      </c>
      <c r="F48" s="87">
        <f>SUM(E48*2/100)</f>
        <v>2.5706000000000002</v>
      </c>
      <c r="G48" s="10">
        <v>72.81</v>
      </c>
      <c r="H48" s="88">
        <f t="shared" si="5"/>
        <v>0.18716538600000002</v>
      </c>
      <c r="I48" s="10">
        <v>0</v>
      </c>
    </row>
    <row r="49" spans="1:9" ht="15.75" hidden="1" customHeight="1">
      <c r="A49" s="22">
        <v>13</v>
      </c>
      <c r="B49" s="84" t="s">
        <v>58</v>
      </c>
      <c r="C49" s="85" t="s">
        <v>95</v>
      </c>
      <c r="D49" s="84" t="s">
        <v>170</v>
      </c>
      <c r="E49" s="86">
        <v>2026.8</v>
      </c>
      <c r="F49" s="87">
        <f>SUM(E49*5/1000)</f>
        <v>10.134</v>
      </c>
      <c r="G49" s="10">
        <v>1213.55</v>
      </c>
      <c r="H49" s="88">
        <f t="shared" si="5"/>
        <v>12.2981157</v>
      </c>
      <c r="I49" s="10">
        <f>F49/5*G49</f>
        <v>2459.6231400000001</v>
      </c>
    </row>
    <row r="50" spans="1:9" ht="31.5" hidden="1" customHeight="1">
      <c r="A50" s="22"/>
      <c r="B50" s="84" t="s">
        <v>97</v>
      </c>
      <c r="C50" s="85" t="s">
        <v>95</v>
      </c>
      <c r="D50" s="84" t="s">
        <v>43</v>
      </c>
      <c r="E50" s="86">
        <v>2026.8</v>
      </c>
      <c r="F50" s="87">
        <f>SUM(E50*2/1000)</f>
        <v>4.0536000000000003</v>
      </c>
      <c r="G50" s="10">
        <v>1213.55</v>
      </c>
      <c r="H50" s="88">
        <f t="shared" si="5"/>
        <v>4.9192462800000003</v>
      </c>
      <c r="I50" s="10">
        <v>0</v>
      </c>
    </row>
    <row r="51" spans="1:9" ht="31.5" hidden="1" customHeight="1">
      <c r="A51" s="22"/>
      <c r="B51" s="84" t="s">
        <v>98</v>
      </c>
      <c r="C51" s="85" t="s">
        <v>39</v>
      </c>
      <c r="D51" s="84" t="s">
        <v>43</v>
      </c>
      <c r="E51" s="86">
        <v>40</v>
      </c>
      <c r="F51" s="87">
        <f>SUM(E51*2/100)</f>
        <v>0.8</v>
      </c>
      <c r="G51" s="10">
        <v>2730.49</v>
      </c>
      <c r="H51" s="88">
        <f t="shared" si="5"/>
        <v>2.1843919999999999</v>
      </c>
      <c r="I51" s="10">
        <v>0</v>
      </c>
    </row>
    <row r="52" spans="1:9" ht="15.75" hidden="1" customHeight="1">
      <c r="A52" s="22"/>
      <c r="B52" s="84" t="s">
        <v>40</v>
      </c>
      <c r="C52" s="85" t="s">
        <v>41</v>
      </c>
      <c r="D52" s="84" t="s">
        <v>43</v>
      </c>
      <c r="E52" s="86">
        <v>1</v>
      </c>
      <c r="F52" s="87">
        <v>0.02</v>
      </c>
      <c r="G52" s="10">
        <v>5652.13</v>
      </c>
      <c r="H52" s="88">
        <f t="shared" si="5"/>
        <v>0.11304260000000001</v>
      </c>
      <c r="I52" s="10">
        <v>0</v>
      </c>
    </row>
    <row r="53" spans="1:9" ht="15.75" hidden="1" customHeight="1">
      <c r="A53" s="22">
        <v>14</v>
      </c>
      <c r="B53" s="84" t="s">
        <v>42</v>
      </c>
      <c r="C53" s="85" t="s">
        <v>102</v>
      </c>
      <c r="D53" s="84" t="s">
        <v>74</v>
      </c>
      <c r="E53" s="86">
        <v>160</v>
      </c>
      <c r="F53" s="87">
        <f>SUM(E53)*3</f>
        <v>480</v>
      </c>
      <c r="G53" s="10">
        <v>65.67</v>
      </c>
      <c r="H53" s="88">
        <f t="shared" si="5"/>
        <v>31.521600000000003</v>
      </c>
      <c r="I53" s="10">
        <f>E53*G53</f>
        <v>10507.2</v>
      </c>
    </row>
    <row r="54" spans="1:9" ht="15.75" customHeight="1">
      <c r="A54" s="153" t="s">
        <v>152</v>
      </c>
      <c r="B54" s="154"/>
      <c r="C54" s="154"/>
      <c r="D54" s="154"/>
      <c r="E54" s="154"/>
      <c r="F54" s="154"/>
      <c r="G54" s="154"/>
      <c r="H54" s="154"/>
      <c r="I54" s="155"/>
    </row>
    <row r="55" spans="1:9" ht="15.75" hidden="1" customHeight="1">
      <c r="A55" s="22"/>
      <c r="B55" s="107" t="s">
        <v>44</v>
      </c>
      <c r="C55" s="85"/>
      <c r="D55" s="84"/>
      <c r="E55" s="86"/>
      <c r="F55" s="87"/>
      <c r="G55" s="87"/>
      <c r="H55" s="88"/>
      <c r="I55" s="10"/>
    </row>
    <row r="56" spans="1:9" ht="31.5" hidden="1" customHeight="1">
      <c r="A56" s="22">
        <v>18</v>
      </c>
      <c r="B56" s="84" t="s">
        <v>158</v>
      </c>
      <c r="C56" s="85" t="s">
        <v>93</v>
      </c>
      <c r="D56" s="84" t="s">
        <v>126</v>
      </c>
      <c r="E56" s="86">
        <v>176.93</v>
      </c>
      <c r="F56" s="87">
        <f>SUM(E56*6/100)</f>
        <v>10.6158</v>
      </c>
      <c r="G56" s="10">
        <v>1547.28</v>
      </c>
      <c r="H56" s="88">
        <f>SUM(F56*G56/1000)</f>
        <v>16.425615023999999</v>
      </c>
      <c r="I56" s="10">
        <f>F56/6*G56</f>
        <v>2737.602504</v>
      </c>
    </row>
    <row r="57" spans="1:9" ht="15.75" customHeight="1">
      <c r="A57" s="22"/>
      <c r="B57" s="107" t="s">
        <v>45</v>
      </c>
      <c r="C57" s="85"/>
      <c r="D57" s="84"/>
      <c r="E57" s="86"/>
      <c r="F57" s="87"/>
      <c r="G57" s="109"/>
      <c r="H57" s="88"/>
      <c r="I57" s="10"/>
    </row>
    <row r="58" spans="1:9" ht="15.75" hidden="1" customHeight="1">
      <c r="A58" s="22"/>
      <c r="B58" s="84" t="s">
        <v>46</v>
      </c>
      <c r="C58" s="85" t="s">
        <v>93</v>
      </c>
      <c r="D58" s="84" t="s">
        <v>55</v>
      </c>
      <c r="E58" s="86">
        <v>2026.8</v>
      </c>
      <c r="F58" s="88">
        <v>20.268000000000001</v>
      </c>
      <c r="G58" s="10">
        <v>793.61</v>
      </c>
      <c r="H58" s="94">
        <v>16.085000000000001</v>
      </c>
      <c r="I58" s="10">
        <v>0</v>
      </c>
    </row>
    <row r="59" spans="1:9" ht="15.75" customHeight="1">
      <c r="A59" s="22">
        <v>13</v>
      </c>
      <c r="B59" s="84" t="s">
        <v>138</v>
      </c>
      <c r="C59" s="85" t="s">
        <v>25</v>
      </c>
      <c r="D59" s="84" t="s">
        <v>139</v>
      </c>
      <c r="E59" s="86">
        <v>325</v>
      </c>
      <c r="F59" s="87">
        <f>E59*12</f>
        <v>3900</v>
      </c>
      <c r="G59" s="110">
        <v>2.59</v>
      </c>
      <c r="H59" s="88">
        <f>F59*G59/1000</f>
        <v>10.101000000000001</v>
      </c>
      <c r="I59" s="10">
        <f>F59/12*G59</f>
        <v>841.75</v>
      </c>
    </row>
    <row r="60" spans="1:9" ht="15.75" hidden="1" customHeight="1">
      <c r="A60" s="22"/>
      <c r="B60" s="107" t="s">
        <v>159</v>
      </c>
      <c r="C60" s="85"/>
      <c r="D60" s="84"/>
      <c r="E60" s="86"/>
      <c r="F60" s="87"/>
      <c r="G60" s="87"/>
      <c r="H60" s="88" t="s">
        <v>156</v>
      </c>
      <c r="I60" s="10"/>
    </row>
    <row r="61" spans="1:9" ht="15.75" hidden="1" customHeight="1">
      <c r="A61" s="22"/>
      <c r="B61" s="84" t="s">
        <v>171</v>
      </c>
      <c r="C61" s="85" t="s">
        <v>102</v>
      </c>
      <c r="D61" s="84" t="s">
        <v>55</v>
      </c>
      <c r="E61" s="86">
        <v>4</v>
      </c>
      <c r="F61" s="87">
        <f>SUM(E61)</f>
        <v>4</v>
      </c>
      <c r="G61" s="95">
        <v>237.75</v>
      </c>
      <c r="H61" s="88">
        <f t="shared" ref="H61:H79" si="6">SUM(F61*G61/1000)</f>
        <v>0.95099999999999996</v>
      </c>
      <c r="I61" s="10">
        <v>0</v>
      </c>
    </row>
    <row r="62" spans="1:9" ht="15.75" customHeight="1">
      <c r="A62" s="22"/>
      <c r="B62" s="108" t="s">
        <v>47</v>
      </c>
      <c r="C62" s="96"/>
      <c r="D62" s="97"/>
      <c r="E62" s="98"/>
      <c r="F62" s="99"/>
      <c r="G62" s="99"/>
      <c r="H62" s="100" t="s">
        <v>156</v>
      </c>
      <c r="I62" s="10"/>
    </row>
    <row r="63" spans="1:9" ht="15.75" customHeight="1">
      <c r="A63" s="22">
        <v>14</v>
      </c>
      <c r="B63" s="11" t="s">
        <v>48</v>
      </c>
      <c r="C63" s="13" t="s">
        <v>102</v>
      </c>
      <c r="D63" s="11" t="s">
        <v>69</v>
      </c>
      <c r="E63" s="16">
        <v>30</v>
      </c>
      <c r="F63" s="87">
        <v>30</v>
      </c>
      <c r="G63" s="10">
        <v>222.4</v>
      </c>
      <c r="H63" s="82">
        <f t="shared" si="6"/>
        <v>6.6719999999999997</v>
      </c>
      <c r="I63" s="10">
        <f>G63</f>
        <v>222.4</v>
      </c>
    </row>
    <row r="64" spans="1:9" ht="15.75" hidden="1" customHeight="1">
      <c r="A64" s="22">
        <v>21</v>
      </c>
      <c r="B64" s="11" t="s">
        <v>49</v>
      </c>
      <c r="C64" s="13" t="s">
        <v>102</v>
      </c>
      <c r="D64" s="11" t="s">
        <v>69</v>
      </c>
      <c r="E64" s="16">
        <v>5</v>
      </c>
      <c r="F64" s="87">
        <v>5</v>
      </c>
      <c r="G64" s="10">
        <v>76.25</v>
      </c>
      <c r="H64" s="82">
        <f t="shared" si="6"/>
        <v>0.38124999999999998</v>
      </c>
      <c r="I64" s="10">
        <f>G64</f>
        <v>76.25</v>
      </c>
    </row>
    <row r="65" spans="1:9" ht="15.75" hidden="1" customHeight="1">
      <c r="A65" s="22"/>
      <c r="B65" s="11" t="s">
        <v>50</v>
      </c>
      <c r="C65" s="13" t="s">
        <v>103</v>
      </c>
      <c r="D65" s="11" t="s">
        <v>55</v>
      </c>
      <c r="E65" s="86">
        <v>24063</v>
      </c>
      <c r="F65" s="10">
        <f>SUM(E65/100)</f>
        <v>240.63</v>
      </c>
      <c r="G65" s="10">
        <v>212.15</v>
      </c>
      <c r="H65" s="82">
        <f t="shared" si="6"/>
        <v>51.049654499999995</v>
      </c>
      <c r="I65" s="10">
        <v>0</v>
      </c>
    </row>
    <row r="66" spans="1:9" ht="15.75" hidden="1" customHeight="1">
      <c r="A66" s="22"/>
      <c r="B66" s="11" t="s">
        <v>51</v>
      </c>
      <c r="C66" s="13" t="s">
        <v>104</v>
      </c>
      <c r="D66" s="11"/>
      <c r="E66" s="86">
        <v>24063</v>
      </c>
      <c r="F66" s="10">
        <f>SUM(E66/1000)</f>
        <v>24.062999999999999</v>
      </c>
      <c r="G66" s="10">
        <v>165.21</v>
      </c>
      <c r="H66" s="82">
        <f t="shared" si="6"/>
        <v>3.97544823</v>
      </c>
      <c r="I66" s="10">
        <v>0</v>
      </c>
    </row>
    <row r="67" spans="1:9" ht="15.75" hidden="1" customHeight="1">
      <c r="A67" s="22"/>
      <c r="B67" s="11" t="s">
        <v>52</v>
      </c>
      <c r="C67" s="13" t="s">
        <v>81</v>
      </c>
      <c r="D67" s="11" t="s">
        <v>55</v>
      </c>
      <c r="E67" s="86">
        <v>2730</v>
      </c>
      <c r="F67" s="10">
        <f>SUM(E67/100)</f>
        <v>27.3</v>
      </c>
      <c r="G67" s="10">
        <v>2074.63</v>
      </c>
      <c r="H67" s="82">
        <f t="shared" si="6"/>
        <v>56.637399000000002</v>
      </c>
      <c r="I67" s="10">
        <v>0</v>
      </c>
    </row>
    <row r="68" spans="1:9" ht="15.75" hidden="1" customHeight="1">
      <c r="A68" s="22"/>
      <c r="B68" s="101" t="s">
        <v>75</v>
      </c>
      <c r="C68" s="13" t="s">
        <v>33</v>
      </c>
      <c r="D68" s="11"/>
      <c r="E68" s="86">
        <v>21.4</v>
      </c>
      <c r="F68" s="10">
        <f>SUM(E68)</f>
        <v>21.4</v>
      </c>
      <c r="G68" s="10">
        <v>45.32</v>
      </c>
      <c r="H68" s="82">
        <f t="shared" si="6"/>
        <v>0.96984799999999993</v>
      </c>
      <c r="I68" s="10">
        <v>0</v>
      </c>
    </row>
    <row r="69" spans="1:9" ht="15.75" hidden="1" customHeight="1">
      <c r="A69" s="22"/>
      <c r="B69" s="101" t="s">
        <v>76</v>
      </c>
      <c r="C69" s="13" t="s">
        <v>33</v>
      </c>
      <c r="D69" s="11"/>
      <c r="E69" s="86">
        <v>21.4</v>
      </c>
      <c r="F69" s="10">
        <f>SUM(E69)</f>
        <v>21.4</v>
      </c>
      <c r="G69" s="10">
        <v>42.28</v>
      </c>
      <c r="H69" s="82">
        <f t="shared" si="6"/>
        <v>0.90479199999999993</v>
      </c>
      <c r="I69" s="10">
        <v>0</v>
      </c>
    </row>
    <row r="70" spans="1:9" ht="15.75" hidden="1" customHeight="1">
      <c r="A70" s="22">
        <v>22</v>
      </c>
      <c r="B70" s="101" t="s">
        <v>133</v>
      </c>
      <c r="C70" s="13"/>
      <c r="D70" s="11"/>
      <c r="E70" s="102"/>
      <c r="F70" s="76">
        <v>1</v>
      </c>
      <c r="G70" s="10">
        <v>5600</v>
      </c>
      <c r="H70" s="82">
        <f t="shared" si="6"/>
        <v>5.6</v>
      </c>
      <c r="I70" s="10">
        <f>F70*G70</f>
        <v>5600</v>
      </c>
    </row>
    <row r="71" spans="1:9" ht="15.75" hidden="1" customHeight="1">
      <c r="A71" s="22"/>
      <c r="B71" s="11" t="s">
        <v>59</v>
      </c>
      <c r="C71" s="13" t="s">
        <v>60</v>
      </c>
      <c r="D71" s="11" t="s">
        <v>55</v>
      </c>
      <c r="E71" s="16">
        <v>10</v>
      </c>
      <c r="F71" s="87">
        <f>SUM(E71)</f>
        <v>10</v>
      </c>
      <c r="G71" s="10">
        <v>49.88</v>
      </c>
      <c r="H71" s="82">
        <f t="shared" si="6"/>
        <v>0.49880000000000002</v>
      </c>
      <c r="I71" s="10">
        <v>0</v>
      </c>
    </row>
    <row r="72" spans="1:9" ht="15.75" customHeight="1">
      <c r="A72" s="22"/>
      <c r="B72" s="70" t="s">
        <v>77</v>
      </c>
      <c r="C72" s="13"/>
      <c r="D72" s="11"/>
      <c r="E72" s="16"/>
      <c r="F72" s="10"/>
      <c r="G72" s="10"/>
      <c r="H72" s="82" t="s">
        <v>156</v>
      </c>
      <c r="I72" s="10"/>
    </row>
    <row r="73" spans="1:9" ht="15.75" customHeight="1">
      <c r="A73" s="22">
        <v>15</v>
      </c>
      <c r="B73" s="11" t="s">
        <v>78</v>
      </c>
      <c r="C73" s="13" t="s">
        <v>79</v>
      </c>
      <c r="D73" s="11"/>
      <c r="E73" s="16">
        <v>160</v>
      </c>
      <c r="F73" s="10">
        <v>16</v>
      </c>
      <c r="G73" s="10">
        <v>501.62</v>
      </c>
      <c r="H73" s="82">
        <f t="shared" si="6"/>
        <v>8.0259199999999993</v>
      </c>
      <c r="I73" s="10">
        <f>G73*0.1</f>
        <v>50.162000000000006</v>
      </c>
    </row>
    <row r="74" spans="1:9" ht="15.75" hidden="1" customHeight="1">
      <c r="A74" s="22"/>
      <c r="B74" s="11" t="s">
        <v>128</v>
      </c>
      <c r="C74" s="13" t="s">
        <v>102</v>
      </c>
      <c r="D74" s="11"/>
      <c r="E74" s="16">
        <v>1</v>
      </c>
      <c r="F74" s="87">
        <f>SUM(E74)</f>
        <v>1</v>
      </c>
      <c r="G74" s="10">
        <v>358.51</v>
      </c>
      <c r="H74" s="82">
        <f t="shared" si="6"/>
        <v>0.35851</v>
      </c>
      <c r="I74" s="10">
        <v>0</v>
      </c>
    </row>
    <row r="75" spans="1:9" ht="15.75" hidden="1" customHeight="1">
      <c r="A75" s="22"/>
      <c r="B75" s="11" t="s">
        <v>134</v>
      </c>
      <c r="C75" s="13" t="s">
        <v>31</v>
      </c>
      <c r="D75" s="11"/>
      <c r="E75" s="16">
        <v>3</v>
      </c>
      <c r="F75" s="10">
        <v>3</v>
      </c>
      <c r="G75" s="10">
        <v>99.85</v>
      </c>
      <c r="H75" s="82">
        <f>F75*G75/1000</f>
        <v>0.29954999999999993</v>
      </c>
      <c r="I75" s="10">
        <v>0</v>
      </c>
    </row>
    <row r="76" spans="1:9" ht="15.75" hidden="1" customHeight="1">
      <c r="A76" s="22"/>
      <c r="B76" s="11" t="s">
        <v>135</v>
      </c>
      <c r="C76" s="13" t="s">
        <v>31</v>
      </c>
      <c r="D76" s="11"/>
      <c r="E76" s="16">
        <v>2</v>
      </c>
      <c r="F76" s="10">
        <v>2</v>
      </c>
      <c r="G76" s="10">
        <v>120.26</v>
      </c>
      <c r="H76" s="82">
        <f>F76*G76/1000</f>
        <v>0.24052000000000001</v>
      </c>
      <c r="I76" s="10">
        <v>0</v>
      </c>
    </row>
    <row r="77" spans="1:9" ht="15.75" hidden="1" customHeight="1">
      <c r="A77" s="22"/>
      <c r="B77" s="11" t="s">
        <v>127</v>
      </c>
      <c r="C77" s="13" t="s">
        <v>102</v>
      </c>
      <c r="D77" s="11"/>
      <c r="E77" s="16">
        <v>1</v>
      </c>
      <c r="F77" s="87">
        <f>SUM(E77)</f>
        <v>1</v>
      </c>
      <c r="G77" s="10">
        <v>911.85</v>
      </c>
      <c r="H77" s="82">
        <f t="shared" ref="H77" si="7">SUM(F77*G77/1000)</f>
        <v>0.91185000000000005</v>
      </c>
      <c r="I77" s="10">
        <v>0</v>
      </c>
    </row>
    <row r="78" spans="1:9" ht="15.75" hidden="1" customHeight="1">
      <c r="A78" s="22"/>
      <c r="B78" s="104" t="s">
        <v>80</v>
      </c>
      <c r="C78" s="13"/>
      <c r="D78" s="11"/>
      <c r="E78" s="16"/>
      <c r="F78" s="10"/>
      <c r="G78" s="10" t="s">
        <v>156</v>
      </c>
      <c r="H78" s="82" t="s">
        <v>156</v>
      </c>
      <c r="I78" s="10"/>
    </row>
    <row r="79" spans="1:9" ht="15.75" hidden="1" customHeight="1">
      <c r="A79" s="22"/>
      <c r="B79" s="49" t="s">
        <v>107</v>
      </c>
      <c r="C79" s="13" t="s">
        <v>81</v>
      </c>
      <c r="D79" s="11"/>
      <c r="E79" s="16"/>
      <c r="F79" s="10">
        <v>0.6</v>
      </c>
      <c r="G79" s="10">
        <v>2759.44</v>
      </c>
      <c r="H79" s="82">
        <f t="shared" si="6"/>
        <v>1.655664</v>
      </c>
      <c r="I79" s="10">
        <v>0</v>
      </c>
    </row>
    <row r="80" spans="1:9" ht="15.75" hidden="1" customHeight="1">
      <c r="A80" s="22"/>
      <c r="B80" s="70" t="s">
        <v>99</v>
      </c>
      <c r="C80" s="104"/>
      <c r="D80" s="24"/>
      <c r="E80" s="25"/>
      <c r="F80" s="90"/>
      <c r="G80" s="90"/>
      <c r="H80" s="105">
        <f>SUM(H56:H79)</f>
        <v>181.74382075399996</v>
      </c>
      <c r="I80" s="90"/>
    </row>
    <row r="81" spans="1:9" ht="15.75" hidden="1" customHeight="1">
      <c r="A81" s="22"/>
      <c r="B81" s="84" t="s">
        <v>105</v>
      </c>
      <c r="C81" s="13"/>
      <c r="D81" s="11"/>
      <c r="E81" s="77"/>
      <c r="F81" s="10">
        <v>1</v>
      </c>
      <c r="G81" s="10">
        <v>17508</v>
      </c>
      <c r="H81" s="82">
        <f>G81*F81/1000</f>
        <v>17.507999999999999</v>
      </c>
      <c r="I81" s="10">
        <v>0</v>
      </c>
    </row>
    <row r="82" spans="1:9" ht="15.75" customHeight="1">
      <c r="A82" s="153" t="s">
        <v>153</v>
      </c>
      <c r="B82" s="154"/>
      <c r="C82" s="154"/>
      <c r="D82" s="154"/>
      <c r="E82" s="154"/>
      <c r="F82" s="154"/>
      <c r="G82" s="154"/>
      <c r="H82" s="154"/>
      <c r="I82" s="155"/>
    </row>
    <row r="83" spans="1:9" ht="15.75" customHeight="1">
      <c r="A83" s="22">
        <v>16</v>
      </c>
      <c r="B83" s="84" t="s">
        <v>106</v>
      </c>
      <c r="C83" s="13" t="s">
        <v>56</v>
      </c>
      <c r="D83" s="106" t="s">
        <v>57</v>
      </c>
      <c r="E83" s="10">
        <v>4394.8999999999996</v>
      </c>
      <c r="F83" s="10">
        <f>SUM(E83*12)</f>
        <v>52738.799999999996</v>
      </c>
      <c r="G83" s="10">
        <v>2.1</v>
      </c>
      <c r="H83" s="82">
        <f>SUM(F83*G83/1000)</f>
        <v>110.75148</v>
      </c>
      <c r="I83" s="10">
        <f>F83/12*G83</f>
        <v>9229.2899999999991</v>
      </c>
    </row>
    <row r="84" spans="1:9" ht="31.5" customHeight="1">
      <c r="A84" s="22">
        <v>17</v>
      </c>
      <c r="B84" s="11" t="s">
        <v>82</v>
      </c>
      <c r="C84" s="13"/>
      <c r="D84" s="106" t="s">
        <v>57</v>
      </c>
      <c r="E84" s="86">
        <f>E83</f>
        <v>4394.8999999999996</v>
      </c>
      <c r="F84" s="10">
        <f>E84*12</f>
        <v>52738.799999999996</v>
      </c>
      <c r="G84" s="10">
        <v>1.63</v>
      </c>
      <c r="H84" s="82">
        <f>F84*G84/1000</f>
        <v>85.964243999999994</v>
      </c>
      <c r="I84" s="10">
        <f>F84/12*G84</f>
        <v>7163.686999999999</v>
      </c>
    </row>
    <row r="85" spans="1:9" ht="15.75" customHeight="1">
      <c r="A85" s="22"/>
      <c r="B85" s="38" t="s">
        <v>85</v>
      </c>
      <c r="C85" s="104"/>
      <c r="D85" s="103"/>
      <c r="E85" s="90"/>
      <c r="F85" s="90"/>
      <c r="G85" s="90"/>
      <c r="H85" s="105">
        <f>SUM(H84)</f>
        <v>85.964243999999994</v>
      </c>
      <c r="I85" s="90">
        <f>I16+I17+I18+I20+I21+I24+I25+I26+I27+I30+I31+I33+I59+I63+I73+I83+I84</f>
        <v>59659.027390888892</v>
      </c>
    </row>
    <row r="86" spans="1:9" ht="15.75" customHeight="1">
      <c r="A86" s="167" t="s">
        <v>62</v>
      </c>
      <c r="B86" s="168"/>
      <c r="C86" s="168"/>
      <c r="D86" s="168"/>
      <c r="E86" s="168"/>
      <c r="F86" s="168"/>
      <c r="G86" s="168"/>
      <c r="H86" s="168"/>
      <c r="I86" s="169"/>
    </row>
    <row r="87" spans="1:9" ht="15.75" customHeight="1">
      <c r="A87" s="22">
        <v>18</v>
      </c>
      <c r="B87" s="56" t="s">
        <v>137</v>
      </c>
      <c r="C87" s="57" t="s">
        <v>102</v>
      </c>
      <c r="D87" s="49"/>
      <c r="E87" s="10"/>
      <c r="F87" s="10">
        <v>790</v>
      </c>
      <c r="G87" s="10">
        <v>53.42</v>
      </c>
      <c r="H87" s="82">
        <f t="shared" ref="H87:H92" si="8">G87*F87/1000</f>
        <v>42.201800000000006</v>
      </c>
      <c r="I87" s="10">
        <f>G87*79</f>
        <v>4220.18</v>
      </c>
    </row>
    <row r="88" spans="1:9" ht="15.75" customHeight="1">
      <c r="A88" s="22">
        <v>19</v>
      </c>
      <c r="B88" s="56" t="s">
        <v>87</v>
      </c>
      <c r="C88" s="57" t="s">
        <v>102</v>
      </c>
      <c r="D88" s="22"/>
      <c r="E88" s="16"/>
      <c r="F88" s="16">
        <v>13</v>
      </c>
      <c r="G88" s="16">
        <v>189.88</v>
      </c>
      <c r="H88" s="82">
        <f t="shared" si="8"/>
        <v>2.4684400000000002</v>
      </c>
      <c r="I88" s="10">
        <f>G88</f>
        <v>189.88</v>
      </c>
    </row>
    <row r="89" spans="1:9" ht="31.5" customHeight="1">
      <c r="A89" s="22">
        <v>20</v>
      </c>
      <c r="B89" s="81" t="s">
        <v>214</v>
      </c>
      <c r="C89" s="22" t="s">
        <v>215</v>
      </c>
      <c r="D89" s="49"/>
      <c r="E89" s="10"/>
      <c r="F89" s="10">
        <f>5/10</f>
        <v>0.5</v>
      </c>
      <c r="G89" s="10">
        <v>314.08999999999997</v>
      </c>
      <c r="H89" s="82">
        <f t="shared" si="8"/>
        <v>0.15704499999999999</v>
      </c>
      <c r="I89" s="10">
        <f>G89*0.5</f>
        <v>157.04499999999999</v>
      </c>
    </row>
    <row r="90" spans="1:9" ht="15.75" customHeight="1">
      <c r="A90" s="22">
        <v>21</v>
      </c>
      <c r="B90" s="83" t="s">
        <v>184</v>
      </c>
      <c r="C90" s="60" t="s">
        <v>185</v>
      </c>
      <c r="D90" s="22"/>
      <c r="E90" s="16"/>
      <c r="F90" s="16">
        <v>3</v>
      </c>
      <c r="G90" s="16">
        <v>195.85</v>
      </c>
      <c r="H90" s="82">
        <f t="shared" si="8"/>
        <v>0.58754999999999991</v>
      </c>
      <c r="I90" s="10">
        <f>G90*2</f>
        <v>391.7</v>
      </c>
    </row>
    <row r="91" spans="1:9" ht="15.75" customHeight="1">
      <c r="A91" s="22">
        <v>22</v>
      </c>
      <c r="B91" s="56" t="s">
        <v>216</v>
      </c>
      <c r="C91" s="57" t="s">
        <v>217</v>
      </c>
      <c r="D91" s="22"/>
      <c r="E91" s="16"/>
      <c r="F91" s="16">
        <f>1/10</f>
        <v>0.1</v>
      </c>
      <c r="G91" s="16">
        <v>976.72</v>
      </c>
      <c r="H91" s="82">
        <f t="shared" si="8"/>
        <v>9.7672000000000009E-2</v>
      </c>
      <c r="I91" s="10">
        <f>G91*0.1</f>
        <v>97.672000000000011</v>
      </c>
    </row>
    <row r="92" spans="1:9" ht="31.5" customHeight="1">
      <c r="A92" s="22">
        <v>23</v>
      </c>
      <c r="B92" s="56" t="s">
        <v>145</v>
      </c>
      <c r="C92" s="13" t="s">
        <v>86</v>
      </c>
      <c r="D92" s="49"/>
      <c r="E92" s="10"/>
      <c r="F92" s="10">
        <v>8</v>
      </c>
      <c r="G92" s="10">
        <v>1187</v>
      </c>
      <c r="H92" s="82">
        <f t="shared" si="8"/>
        <v>9.4960000000000004</v>
      </c>
      <c r="I92" s="10">
        <f>G92*8</f>
        <v>9496</v>
      </c>
    </row>
    <row r="93" spans="1:9">
      <c r="A93" s="22"/>
      <c r="B93" s="45" t="s">
        <v>53</v>
      </c>
      <c r="C93" s="41"/>
      <c r="D93" s="51"/>
      <c r="E93" s="41">
        <v>1</v>
      </c>
      <c r="F93" s="41"/>
      <c r="G93" s="41"/>
      <c r="H93" s="41"/>
      <c r="I93" s="25">
        <f>SUM(I87:I92)</f>
        <v>14552.476999999999</v>
      </c>
    </row>
    <row r="94" spans="1:9" ht="15.75" customHeight="1">
      <c r="A94" s="22"/>
      <c r="B94" s="49" t="s">
        <v>83</v>
      </c>
      <c r="C94" s="12"/>
      <c r="D94" s="12"/>
      <c r="E94" s="42"/>
      <c r="F94" s="42"/>
      <c r="G94" s="43"/>
      <c r="H94" s="43"/>
      <c r="I94" s="15">
        <v>0</v>
      </c>
    </row>
    <row r="95" spans="1:9" ht="15.75" customHeight="1">
      <c r="A95" s="52"/>
      <c r="B95" s="46" t="s">
        <v>192</v>
      </c>
      <c r="C95" s="30"/>
      <c r="D95" s="30"/>
      <c r="E95" s="30"/>
      <c r="F95" s="30"/>
      <c r="G95" s="30"/>
      <c r="H95" s="30"/>
      <c r="I95" s="44">
        <f>I85+I93</f>
        <v>74211.504390888891</v>
      </c>
    </row>
    <row r="96" spans="1:9" ht="15.75">
      <c r="A96" s="166" t="s">
        <v>218</v>
      </c>
      <c r="B96" s="166"/>
      <c r="C96" s="166"/>
      <c r="D96" s="166"/>
      <c r="E96" s="166"/>
      <c r="F96" s="166"/>
      <c r="G96" s="166"/>
      <c r="H96" s="166"/>
      <c r="I96" s="166"/>
    </row>
    <row r="97" spans="1:9" ht="15.75" customHeight="1">
      <c r="A97" s="67"/>
      <c r="B97" s="161" t="s">
        <v>219</v>
      </c>
      <c r="C97" s="161"/>
      <c r="D97" s="161"/>
      <c r="E97" s="161"/>
      <c r="F97" s="161"/>
      <c r="G97" s="161"/>
      <c r="H97" s="80"/>
      <c r="I97" s="2"/>
    </row>
    <row r="98" spans="1:9" ht="15.75" customHeight="1">
      <c r="A98" s="71"/>
      <c r="B98" s="157" t="s">
        <v>6</v>
      </c>
      <c r="C98" s="157"/>
      <c r="D98" s="157"/>
      <c r="E98" s="157"/>
      <c r="F98" s="157"/>
      <c r="G98" s="157"/>
      <c r="H98" s="17"/>
      <c r="I98" s="4"/>
    </row>
    <row r="99" spans="1:9" ht="15.75" customHeight="1">
      <c r="A99" s="7"/>
      <c r="B99" s="7"/>
      <c r="C99" s="7"/>
      <c r="D99" s="7"/>
      <c r="E99" s="7"/>
      <c r="F99" s="7"/>
      <c r="G99" s="7"/>
      <c r="H99" s="7"/>
      <c r="I99" s="7"/>
    </row>
    <row r="100" spans="1:9" ht="15.75" customHeight="1">
      <c r="A100" s="162" t="s">
        <v>7</v>
      </c>
      <c r="B100" s="162"/>
      <c r="C100" s="162"/>
      <c r="D100" s="162"/>
      <c r="E100" s="162"/>
      <c r="F100" s="162"/>
      <c r="G100" s="162"/>
      <c r="H100" s="162"/>
      <c r="I100" s="162"/>
    </row>
    <row r="101" spans="1:9" ht="15.75" customHeight="1">
      <c r="A101" s="162" t="s">
        <v>8</v>
      </c>
      <c r="B101" s="162"/>
      <c r="C101" s="162"/>
      <c r="D101" s="162"/>
      <c r="E101" s="162"/>
      <c r="F101" s="162"/>
      <c r="G101" s="162"/>
      <c r="H101" s="162"/>
      <c r="I101" s="162"/>
    </row>
    <row r="102" spans="1:9" ht="15.75">
      <c r="A102" s="163" t="s">
        <v>63</v>
      </c>
      <c r="B102" s="163"/>
      <c r="C102" s="163"/>
      <c r="D102" s="163"/>
      <c r="E102" s="163"/>
      <c r="F102" s="163"/>
      <c r="G102" s="163"/>
      <c r="H102" s="163"/>
      <c r="I102" s="163"/>
    </row>
    <row r="103" spans="1:9" ht="15.75" customHeight="1">
      <c r="A103" s="8"/>
    </row>
    <row r="104" spans="1:9" ht="15.75">
      <c r="A104" s="164" t="s">
        <v>9</v>
      </c>
      <c r="B104" s="164"/>
      <c r="C104" s="164"/>
      <c r="D104" s="164"/>
      <c r="E104" s="164"/>
      <c r="F104" s="164"/>
      <c r="G104" s="164"/>
      <c r="H104" s="164"/>
      <c r="I104" s="164"/>
    </row>
    <row r="105" spans="1:9" ht="15.75" customHeight="1">
      <c r="A105" s="3"/>
    </row>
    <row r="106" spans="1:9" ht="15.75">
      <c r="B106" s="74" t="s">
        <v>10</v>
      </c>
      <c r="C106" s="156" t="s">
        <v>150</v>
      </c>
      <c r="D106" s="156"/>
      <c r="E106" s="156"/>
      <c r="F106" s="78"/>
      <c r="I106" s="75"/>
    </row>
    <row r="107" spans="1:9">
      <c r="A107" s="71"/>
      <c r="C107" s="157" t="s">
        <v>11</v>
      </c>
      <c r="D107" s="157"/>
      <c r="E107" s="157"/>
      <c r="F107" s="17"/>
      <c r="I107" s="73" t="s">
        <v>12</v>
      </c>
    </row>
    <row r="108" spans="1:9" ht="15.75">
      <c r="A108" s="18"/>
      <c r="C108" s="9"/>
      <c r="D108" s="9"/>
      <c r="G108" s="9"/>
      <c r="H108" s="9"/>
    </row>
    <row r="109" spans="1:9" ht="15.75" customHeight="1">
      <c r="B109" s="74" t="s">
        <v>13</v>
      </c>
      <c r="C109" s="158"/>
      <c r="D109" s="158"/>
      <c r="E109" s="158"/>
      <c r="F109" s="79"/>
      <c r="I109" s="75"/>
    </row>
    <row r="110" spans="1:9" ht="15.75" customHeight="1">
      <c r="A110" s="71"/>
      <c r="C110" s="159" t="s">
        <v>11</v>
      </c>
      <c r="D110" s="159"/>
      <c r="E110" s="159"/>
      <c r="F110" s="71"/>
      <c r="I110" s="73" t="s">
        <v>12</v>
      </c>
    </row>
    <row r="111" spans="1:9" ht="15.75" customHeight="1">
      <c r="A111" s="3" t="s">
        <v>14</v>
      </c>
    </row>
    <row r="112" spans="1:9">
      <c r="A112" s="160" t="s">
        <v>15</v>
      </c>
      <c r="B112" s="160"/>
      <c r="C112" s="160"/>
      <c r="D112" s="160"/>
      <c r="E112" s="160"/>
      <c r="F112" s="160"/>
      <c r="G112" s="160"/>
      <c r="H112" s="160"/>
      <c r="I112" s="160"/>
    </row>
    <row r="113" spans="1:9" ht="45" customHeight="1">
      <c r="A113" s="152" t="s">
        <v>16</v>
      </c>
      <c r="B113" s="152"/>
      <c r="C113" s="152"/>
      <c r="D113" s="152"/>
      <c r="E113" s="152"/>
      <c r="F113" s="152"/>
      <c r="G113" s="152"/>
      <c r="H113" s="152"/>
      <c r="I113" s="152"/>
    </row>
    <row r="114" spans="1:9" ht="30" customHeight="1">
      <c r="A114" s="152" t="s">
        <v>17</v>
      </c>
      <c r="B114" s="152"/>
      <c r="C114" s="152"/>
      <c r="D114" s="152"/>
      <c r="E114" s="152"/>
      <c r="F114" s="152"/>
      <c r="G114" s="152"/>
      <c r="H114" s="152"/>
      <c r="I114" s="152"/>
    </row>
    <row r="115" spans="1:9" ht="30" customHeight="1">
      <c r="A115" s="152" t="s">
        <v>21</v>
      </c>
      <c r="B115" s="152"/>
      <c r="C115" s="152"/>
      <c r="D115" s="152"/>
      <c r="E115" s="152"/>
      <c r="F115" s="152"/>
      <c r="G115" s="152"/>
      <c r="H115" s="152"/>
      <c r="I115" s="152"/>
    </row>
    <row r="116" spans="1:9" ht="15" customHeight="1">
      <c r="A116" s="152" t="s">
        <v>20</v>
      </c>
      <c r="B116" s="152"/>
      <c r="C116" s="152"/>
      <c r="D116" s="152"/>
      <c r="E116" s="152"/>
      <c r="F116" s="152"/>
      <c r="G116" s="152"/>
      <c r="H116" s="152"/>
      <c r="I116" s="152"/>
    </row>
  </sheetData>
  <mergeCells count="28">
    <mergeCell ref="A114:I114"/>
    <mergeCell ref="A115:I115"/>
    <mergeCell ref="A116:I116"/>
    <mergeCell ref="C106:E106"/>
    <mergeCell ref="C107:E107"/>
    <mergeCell ref="C109:E109"/>
    <mergeCell ref="C110:E110"/>
    <mergeCell ref="A112:I112"/>
    <mergeCell ref="A113:I113"/>
    <mergeCell ref="A104:I104"/>
    <mergeCell ref="A15:I15"/>
    <mergeCell ref="A28:I28"/>
    <mergeCell ref="A43:I43"/>
    <mergeCell ref="A54:I54"/>
    <mergeCell ref="A82:I82"/>
    <mergeCell ref="A96:I96"/>
    <mergeCell ref="B97:G97"/>
    <mergeCell ref="B98:G98"/>
    <mergeCell ref="A100:I100"/>
    <mergeCell ref="A101:I101"/>
    <mergeCell ref="A102:I102"/>
    <mergeCell ref="A86:I86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91</v>
      </c>
      <c r="I1" s="19"/>
    </row>
    <row r="2" spans="1:9" ht="15.75">
      <c r="A2" s="21" t="s">
        <v>64</v>
      </c>
    </row>
    <row r="3" spans="1:9" ht="15.75">
      <c r="A3" s="171" t="s">
        <v>179</v>
      </c>
      <c r="B3" s="171"/>
      <c r="C3" s="171"/>
      <c r="D3" s="171"/>
      <c r="E3" s="171"/>
      <c r="F3" s="171"/>
      <c r="G3" s="171"/>
      <c r="H3" s="171"/>
      <c r="I3" s="171"/>
    </row>
    <row r="4" spans="1:9" ht="31.5" customHeight="1">
      <c r="A4" s="172" t="s">
        <v>143</v>
      </c>
      <c r="B4" s="172"/>
      <c r="C4" s="172"/>
      <c r="D4" s="172"/>
      <c r="E4" s="172"/>
      <c r="F4" s="172"/>
      <c r="G4" s="172"/>
      <c r="H4" s="172"/>
      <c r="I4" s="172"/>
    </row>
    <row r="5" spans="1:9" ht="15.75">
      <c r="A5" s="171" t="s">
        <v>220</v>
      </c>
      <c r="B5" s="173"/>
      <c r="C5" s="173"/>
      <c r="D5" s="173"/>
      <c r="E5" s="173"/>
      <c r="F5" s="173"/>
      <c r="G5" s="173"/>
      <c r="H5" s="173"/>
      <c r="I5" s="173"/>
    </row>
    <row r="6" spans="1:9" ht="15.75">
      <c r="A6" s="1"/>
      <c r="B6" s="72"/>
      <c r="C6" s="72"/>
      <c r="D6" s="72"/>
      <c r="E6" s="72"/>
      <c r="F6" s="72"/>
      <c r="G6" s="72"/>
      <c r="H6" s="72"/>
      <c r="I6" s="23">
        <v>42978</v>
      </c>
    </row>
    <row r="7" spans="1:9" ht="15.75">
      <c r="B7" s="74"/>
      <c r="C7" s="74"/>
      <c r="D7" s="74"/>
      <c r="E7" s="2"/>
      <c r="F7" s="2"/>
      <c r="G7" s="2"/>
      <c r="H7" s="2"/>
    </row>
    <row r="8" spans="1:9" ht="78.75" customHeight="1">
      <c r="A8" s="174" t="s">
        <v>147</v>
      </c>
      <c r="B8" s="174"/>
      <c r="C8" s="174"/>
      <c r="D8" s="174"/>
      <c r="E8" s="174"/>
      <c r="F8" s="174"/>
      <c r="G8" s="174"/>
      <c r="H8" s="174"/>
      <c r="I8" s="174"/>
    </row>
    <row r="9" spans="1:9" ht="15.75">
      <c r="A9" s="3"/>
    </row>
    <row r="10" spans="1:9" ht="47.25" customHeight="1">
      <c r="A10" s="175" t="s">
        <v>299</v>
      </c>
      <c r="B10" s="175"/>
      <c r="C10" s="175"/>
      <c r="D10" s="175"/>
      <c r="E10" s="175"/>
      <c r="F10" s="175"/>
      <c r="G10" s="175"/>
      <c r="H10" s="175"/>
      <c r="I10" s="17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70" t="s">
        <v>61</v>
      </c>
      <c r="B14" s="170"/>
      <c r="C14" s="170"/>
      <c r="D14" s="170"/>
      <c r="E14" s="170"/>
      <c r="F14" s="170"/>
      <c r="G14" s="170"/>
      <c r="H14" s="170"/>
      <c r="I14" s="170"/>
    </row>
    <row r="15" spans="1:9" ht="15" customHeight="1">
      <c r="A15" s="165" t="s">
        <v>4</v>
      </c>
      <c r="B15" s="165"/>
      <c r="C15" s="165"/>
      <c r="D15" s="165"/>
      <c r="E15" s="165"/>
      <c r="F15" s="165"/>
      <c r="G15" s="165"/>
      <c r="H15" s="165"/>
      <c r="I15" s="165"/>
    </row>
    <row r="16" spans="1:9" ht="31.5" customHeight="1">
      <c r="A16" s="22">
        <v>1</v>
      </c>
      <c r="B16" s="84" t="s">
        <v>109</v>
      </c>
      <c r="C16" s="85" t="s">
        <v>93</v>
      </c>
      <c r="D16" s="84" t="s">
        <v>110</v>
      </c>
      <c r="E16" s="86">
        <v>121.14</v>
      </c>
      <c r="F16" s="87">
        <f>SUM(E16*156/100)</f>
        <v>188.97839999999999</v>
      </c>
      <c r="G16" s="87">
        <v>175.38</v>
      </c>
      <c r="H16" s="88">
        <f t="shared" ref="H16:H25" si="0">SUM(F16*G16/1000)</f>
        <v>33.143031792000002</v>
      </c>
      <c r="I16" s="10">
        <f>F16/12*G16</f>
        <v>2761.9193159999995</v>
      </c>
    </row>
    <row r="17" spans="1:9" ht="31.5" customHeight="1">
      <c r="A17" s="22">
        <v>2</v>
      </c>
      <c r="B17" s="84" t="s">
        <v>111</v>
      </c>
      <c r="C17" s="85" t="s">
        <v>93</v>
      </c>
      <c r="D17" s="84" t="s">
        <v>112</v>
      </c>
      <c r="E17" s="86">
        <v>484.56</v>
      </c>
      <c r="F17" s="87">
        <f>SUM(E17*104/100)</f>
        <v>503.94239999999996</v>
      </c>
      <c r="G17" s="87">
        <v>175.38</v>
      </c>
      <c r="H17" s="88">
        <f t="shared" si="0"/>
        <v>88.381418111999992</v>
      </c>
      <c r="I17" s="10">
        <f>F17/12*G17</f>
        <v>7365.118175999999</v>
      </c>
    </row>
    <row r="18" spans="1:9" ht="31.5" customHeight="1">
      <c r="A18" s="22">
        <v>3</v>
      </c>
      <c r="B18" s="84" t="s">
        <v>113</v>
      </c>
      <c r="C18" s="85" t="s">
        <v>93</v>
      </c>
      <c r="D18" s="84" t="s">
        <v>129</v>
      </c>
      <c r="E18" s="86">
        <f>SUM(E16+E17)</f>
        <v>605.70000000000005</v>
      </c>
      <c r="F18" s="87">
        <f>SUM(E18*24/100)</f>
        <v>145.36800000000002</v>
      </c>
      <c r="G18" s="87">
        <v>504.5</v>
      </c>
      <c r="H18" s="88">
        <f t="shared" si="0"/>
        <v>73.338156000000012</v>
      </c>
      <c r="I18" s="10">
        <f>F18/12*G18</f>
        <v>6111.5130000000008</v>
      </c>
    </row>
    <row r="19" spans="1:9" ht="15.75" hidden="1" customHeight="1">
      <c r="A19" s="22"/>
      <c r="B19" s="84" t="s">
        <v>114</v>
      </c>
      <c r="C19" s="85" t="s">
        <v>115</v>
      </c>
      <c r="D19" s="84" t="s">
        <v>116</v>
      </c>
      <c r="E19" s="86">
        <v>38.4</v>
      </c>
      <c r="F19" s="87">
        <f>SUM(E19/10)</f>
        <v>3.84</v>
      </c>
      <c r="G19" s="87">
        <v>170.16</v>
      </c>
      <c r="H19" s="88">
        <f t="shared" si="0"/>
        <v>0.65341439999999995</v>
      </c>
      <c r="I19" s="10">
        <v>0</v>
      </c>
    </row>
    <row r="20" spans="1:9" ht="15.75" customHeight="1">
      <c r="A20" s="22">
        <v>4</v>
      </c>
      <c r="B20" s="84" t="s">
        <v>117</v>
      </c>
      <c r="C20" s="85" t="s">
        <v>93</v>
      </c>
      <c r="D20" s="84" t="s">
        <v>30</v>
      </c>
      <c r="E20" s="86">
        <v>58.4</v>
      </c>
      <c r="F20" s="87">
        <f>SUM(E20*12/100)</f>
        <v>7.0079999999999991</v>
      </c>
      <c r="G20" s="87">
        <v>217.88</v>
      </c>
      <c r="H20" s="88">
        <f t="shared" si="0"/>
        <v>1.5269030399999997</v>
      </c>
      <c r="I20" s="10">
        <f>F20/12*G20</f>
        <v>127.24191999999999</v>
      </c>
    </row>
    <row r="21" spans="1:9" ht="15.75" customHeight="1">
      <c r="A21" s="22">
        <v>5</v>
      </c>
      <c r="B21" s="84" t="s">
        <v>118</v>
      </c>
      <c r="C21" s="85" t="s">
        <v>93</v>
      </c>
      <c r="D21" s="84" t="s">
        <v>30</v>
      </c>
      <c r="E21" s="86">
        <v>9.08</v>
      </c>
      <c r="F21" s="87">
        <f>SUM(E21*12/100)</f>
        <v>1.0896000000000001</v>
      </c>
      <c r="G21" s="87">
        <v>216.12</v>
      </c>
      <c r="H21" s="88">
        <f t="shared" si="0"/>
        <v>0.23548435200000004</v>
      </c>
      <c r="I21" s="10">
        <f>F21/12*G21</f>
        <v>19.623696000000002</v>
      </c>
    </row>
    <row r="22" spans="1:9" ht="15.75" hidden="1" customHeight="1">
      <c r="A22" s="22"/>
      <c r="B22" s="84" t="s">
        <v>120</v>
      </c>
      <c r="C22" s="85" t="s">
        <v>54</v>
      </c>
      <c r="D22" s="84" t="s">
        <v>116</v>
      </c>
      <c r="E22" s="86">
        <v>714</v>
      </c>
      <c r="F22" s="87">
        <f>SUM(E22/100)</f>
        <v>7.14</v>
      </c>
      <c r="G22" s="87">
        <v>269.26</v>
      </c>
      <c r="H22" s="88">
        <f t="shared" si="0"/>
        <v>1.9225163999999997</v>
      </c>
      <c r="I22" s="10">
        <v>0</v>
      </c>
    </row>
    <row r="23" spans="1:9" ht="15.75" hidden="1" customHeight="1">
      <c r="A23" s="22"/>
      <c r="B23" s="84" t="s">
        <v>121</v>
      </c>
      <c r="C23" s="85" t="s">
        <v>54</v>
      </c>
      <c r="D23" s="84" t="s">
        <v>116</v>
      </c>
      <c r="E23" s="89">
        <v>96.6</v>
      </c>
      <c r="F23" s="87">
        <f>SUM(E23/100)</f>
        <v>0.96599999999999997</v>
      </c>
      <c r="G23" s="87">
        <v>44.29</v>
      </c>
      <c r="H23" s="88">
        <f t="shared" si="0"/>
        <v>4.2784139999999998E-2</v>
      </c>
      <c r="I23" s="10">
        <v>0</v>
      </c>
    </row>
    <row r="24" spans="1:9" ht="15.75" customHeight="1">
      <c r="A24" s="22">
        <v>6</v>
      </c>
      <c r="B24" s="84" t="s">
        <v>122</v>
      </c>
      <c r="C24" s="85" t="s">
        <v>54</v>
      </c>
      <c r="D24" s="84" t="s">
        <v>141</v>
      </c>
      <c r="E24" s="86">
        <v>32</v>
      </c>
      <c r="F24" s="87">
        <f>E24*12/100</f>
        <v>3.84</v>
      </c>
      <c r="G24" s="87">
        <v>389.42</v>
      </c>
      <c r="H24" s="88">
        <f t="shared" si="0"/>
        <v>1.4953728000000002</v>
      </c>
      <c r="I24" s="10">
        <f>F24/12*G24</f>
        <v>124.6144</v>
      </c>
    </row>
    <row r="25" spans="1:9" ht="15.75" customHeight="1">
      <c r="A25" s="22">
        <v>7</v>
      </c>
      <c r="B25" s="84" t="s">
        <v>124</v>
      </c>
      <c r="C25" s="85" t="s">
        <v>54</v>
      </c>
      <c r="D25" s="84" t="s">
        <v>142</v>
      </c>
      <c r="E25" s="86">
        <v>17</v>
      </c>
      <c r="F25" s="87">
        <f>SUM(E25*12/100)</f>
        <v>2.04</v>
      </c>
      <c r="G25" s="87">
        <v>520.79999999999995</v>
      </c>
      <c r="H25" s="88">
        <f t="shared" si="0"/>
        <v>1.062432</v>
      </c>
      <c r="I25" s="10">
        <f>F25/12*G25</f>
        <v>88.536000000000001</v>
      </c>
    </row>
    <row r="26" spans="1:9" ht="15.75" customHeight="1">
      <c r="A26" s="22">
        <v>8</v>
      </c>
      <c r="B26" s="84" t="s">
        <v>66</v>
      </c>
      <c r="C26" s="85" t="s">
        <v>33</v>
      </c>
      <c r="D26" s="84" t="s">
        <v>155</v>
      </c>
      <c r="E26" s="86">
        <v>0.1</v>
      </c>
      <c r="F26" s="87">
        <f>SUM(E26*365)</f>
        <v>36.5</v>
      </c>
      <c r="G26" s="87">
        <v>147.03</v>
      </c>
      <c r="H26" s="88">
        <f>SUM(F26*G26/1000)</f>
        <v>5.3665950000000002</v>
      </c>
      <c r="I26" s="10">
        <f>F26/12*G26</f>
        <v>447.21625</v>
      </c>
    </row>
    <row r="27" spans="1:9" ht="15.75" customHeight="1">
      <c r="A27" s="22">
        <v>9</v>
      </c>
      <c r="B27" s="93" t="s">
        <v>23</v>
      </c>
      <c r="C27" s="85" t="s">
        <v>24</v>
      </c>
      <c r="D27" s="93" t="s">
        <v>156</v>
      </c>
      <c r="E27" s="86">
        <v>4394</v>
      </c>
      <c r="F27" s="87">
        <f>SUM(E27*12)</f>
        <v>52728</v>
      </c>
      <c r="G27" s="87">
        <v>4.53</v>
      </c>
      <c r="H27" s="88">
        <f>SUM(F27*G27/1000)</f>
        <v>238.85784000000004</v>
      </c>
      <c r="I27" s="10">
        <f>F27/12*G27</f>
        <v>19904.82</v>
      </c>
    </row>
    <row r="28" spans="1:9" ht="15.75" customHeight="1">
      <c r="A28" s="153" t="s">
        <v>90</v>
      </c>
      <c r="B28" s="154"/>
      <c r="C28" s="154"/>
      <c r="D28" s="154"/>
      <c r="E28" s="154"/>
      <c r="F28" s="154"/>
      <c r="G28" s="154"/>
      <c r="H28" s="154"/>
      <c r="I28" s="155"/>
    </row>
    <row r="29" spans="1:9" ht="15.75" customHeight="1">
      <c r="A29" s="22"/>
      <c r="B29" s="107" t="s">
        <v>28</v>
      </c>
      <c r="C29" s="85"/>
      <c r="D29" s="84"/>
      <c r="E29" s="86"/>
      <c r="F29" s="87"/>
      <c r="G29" s="87"/>
      <c r="H29" s="88"/>
      <c r="I29" s="10"/>
    </row>
    <row r="30" spans="1:9" ht="31.5" customHeight="1">
      <c r="A30" s="22">
        <v>10</v>
      </c>
      <c r="B30" s="84" t="s">
        <v>101</v>
      </c>
      <c r="C30" s="85" t="s">
        <v>95</v>
      </c>
      <c r="D30" s="84" t="s">
        <v>130</v>
      </c>
      <c r="E30" s="87">
        <v>2873.1</v>
      </c>
      <c r="F30" s="87">
        <f>SUM(E30*26/1000)</f>
        <v>74.700599999999994</v>
      </c>
      <c r="G30" s="87">
        <v>155.88999999999999</v>
      </c>
      <c r="H30" s="88">
        <f t="shared" ref="H30:H35" si="1">SUM(F30*G30/1000)</f>
        <v>11.645076533999998</v>
      </c>
      <c r="I30" s="10">
        <f t="shared" ref="I30:I33" si="2">F30/6*G30</f>
        <v>1940.8460889999997</v>
      </c>
    </row>
    <row r="31" spans="1:9" ht="31.5" customHeight="1">
      <c r="A31" s="22">
        <v>11</v>
      </c>
      <c r="B31" s="84" t="s">
        <v>169</v>
      </c>
      <c r="C31" s="85" t="s">
        <v>95</v>
      </c>
      <c r="D31" s="84" t="s">
        <v>125</v>
      </c>
      <c r="E31" s="87">
        <v>824.5</v>
      </c>
      <c r="F31" s="87">
        <f>SUM(E31*78/1000)</f>
        <v>64.311000000000007</v>
      </c>
      <c r="G31" s="87">
        <v>258.63</v>
      </c>
      <c r="H31" s="88">
        <f t="shared" si="1"/>
        <v>16.632753930000003</v>
      </c>
      <c r="I31" s="10">
        <f t="shared" si="2"/>
        <v>2772.1256550000003</v>
      </c>
    </row>
    <row r="32" spans="1:9" ht="15.75" hidden="1" customHeight="1">
      <c r="A32" s="22"/>
      <c r="B32" s="84" t="s">
        <v>27</v>
      </c>
      <c r="C32" s="85" t="s">
        <v>95</v>
      </c>
      <c r="D32" s="84" t="s">
        <v>55</v>
      </c>
      <c r="E32" s="87">
        <v>2873.1</v>
      </c>
      <c r="F32" s="87">
        <f>SUM(E32/1000)</f>
        <v>2.8731</v>
      </c>
      <c r="G32" s="87">
        <v>3020.33</v>
      </c>
      <c r="H32" s="88">
        <f t="shared" si="1"/>
        <v>8.6777101229999989</v>
      </c>
      <c r="I32" s="10">
        <f>F32*G32</f>
        <v>8677.7101229999989</v>
      </c>
    </row>
    <row r="33" spans="1:9" ht="15.75" customHeight="1">
      <c r="A33" s="22">
        <v>12</v>
      </c>
      <c r="B33" s="84" t="s">
        <v>100</v>
      </c>
      <c r="C33" s="85" t="s">
        <v>31</v>
      </c>
      <c r="D33" s="84" t="s">
        <v>65</v>
      </c>
      <c r="E33" s="92">
        <v>0.33333333333333331</v>
      </c>
      <c r="F33" s="87">
        <f>155/3</f>
        <v>51.666666666666664</v>
      </c>
      <c r="G33" s="87">
        <v>56.69</v>
      </c>
      <c r="H33" s="88">
        <f>SUM(G33*155/3/1000)</f>
        <v>2.9289833333333331</v>
      </c>
      <c r="I33" s="10">
        <f t="shared" si="2"/>
        <v>488.16388888888883</v>
      </c>
    </row>
    <row r="34" spans="1:9" ht="15.75" hidden="1" customHeight="1">
      <c r="A34" s="22"/>
      <c r="B34" s="84" t="s">
        <v>67</v>
      </c>
      <c r="C34" s="85" t="s">
        <v>33</v>
      </c>
      <c r="D34" s="84" t="s">
        <v>69</v>
      </c>
      <c r="E34" s="86"/>
      <c r="F34" s="87">
        <v>2</v>
      </c>
      <c r="G34" s="87">
        <v>191.32</v>
      </c>
      <c r="H34" s="88">
        <f t="shared" si="1"/>
        <v>0.38263999999999998</v>
      </c>
      <c r="I34" s="10">
        <v>0</v>
      </c>
    </row>
    <row r="35" spans="1:9" ht="15.75" hidden="1" customHeight="1">
      <c r="A35" s="22"/>
      <c r="B35" s="84" t="s">
        <v>68</v>
      </c>
      <c r="C35" s="85" t="s">
        <v>32</v>
      </c>
      <c r="D35" s="84" t="s">
        <v>69</v>
      </c>
      <c r="E35" s="86"/>
      <c r="F35" s="87">
        <v>3</v>
      </c>
      <c r="G35" s="87">
        <v>1136.33</v>
      </c>
      <c r="H35" s="88">
        <f t="shared" si="1"/>
        <v>3.4089899999999997</v>
      </c>
      <c r="I35" s="10">
        <v>0</v>
      </c>
    </row>
    <row r="36" spans="1:9" ht="15.75" hidden="1" customHeight="1">
      <c r="A36" s="22"/>
      <c r="B36" s="91" t="s">
        <v>5</v>
      </c>
      <c r="C36" s="85"/>
      <c r="D36" s="84"/>
      <c r="E36" s="86"/>
      <c r="F36" s="87"/>
      <c r="G36" s="87"/>
      <c r="H36" s="88" t="s">
        <v>156</v>
      </c>
      <c r="I36" s="10"/>
    </row>
    <row r="37" spans="1:9" ht="15.75" hidden="1" customHeight="1">
      <c r="A37" s="22">
        <v>10</v>
      </c>
      <c r="B37" s="84" t="s">
        <v>26</v>
      </c>
      <c r="C37" s="85" t="s">
        <v>32</v>
      </c>
      <c r="D37" s="84"/>
      <c r="E37" s="86"/>
      <c r="F37" s="87">
        <v>15</v>
      </c>
      <c r="G37" s="87">
        <v>1527.22</v>
      </c>
      <c r="H37" s="88">
        <f t="shared" ref="H37:H42" si="3">SUM(F37*G37/1000)</f>
        <v>22.908300000000001</v>
      </c>
      <c r="I37" s="10">
        <f t="shared" ref="I37:I42" si="4">F37/6*G37</f>
        <v>3818.05</v>
      </c>
    </row>
    <row r="38" spans="1:9" ht="15.75" hidden="1" customHeight="1">
      <c r="A38" s="22">
        <v>11</v>
      </c>
      <c r="B38" s="84" t="s">
        <v>70</v>
      </c>
      <c r="C38" s="85" t="s">
        <v>29</v>
      </c>
      <c r="D38" s="84" t="s">
        <v>131</v>
      </c>
      <c r="E38" s="87">
        <v>824.5</v>
      </c>
      <c r="F38" s="87">
        <f>SUM(E38*50/1000)</f>
        <v>41.225000000000001</v>
      </c>
      <c r="G38" s="87">
        <v>2102.71</v>
      </c>
      <c r="H38" s="88">
        <f t="shared" si="3"/>
        <v>86.684219749999997</v>
      </c>
      <c r="I38" s="10">
        <f t="shared" si="4"/>
        <v>14447.369958333335</v>
      </c>
    </row>
    <row r="39" spans="1:9" ht="15.75" hidden="1" customHeight="1">
      <c r="A39" s="22">
        <v>12</v>
      </c>
      <c r="B39" s="84" t="s">
        <v>71</v>
      </c>
      <c r="C39" s="85" t="s">
        <v>29</v>
      </c>
      <c r="D39" s="84" t="s">
        <v>94</v>
      </c>
      <c r="E39" s="87">
        <v>188</v>
      </c>
      <c r="F39" s="87">
        <f>SUM(E39*155/1000)</f>
        <v>29.14</v>
      </c>
      <c r="G39" s="87">
        <v>350.75</v>
      </c>
      <c r="H39" s="88">
        <f t="shared" si="3"/>
        <v>10.220855</v>
      </c>
      <c r="I39" s="10">
        <f t="shared" si="4"/>
        <v>1703.4758333333332</v>
      </c>
    </row>
    <row r="40" spans="1:9" ht="47.25" hidden="1" customHeight="1">
      <c r="A40" s="22">
        <v>13</v>
      </c>
      <c r="B40" s="84" t="s">
        <v>89</v>
      </c>
      <c r="C40" s="85" t="s">
        <v>95</v>
      </c>
      <c r="D40" s="84" t="s">
        <v>132</v>
      </c>
      <c r="E40" s="87">
        <v>188</v>
      </c>
      <c r="F40" s="87">
        <f>SUM(E40*12/1000)</f>
        <v>2.2559999999999998</v>
      </c>
      <c r="G40" s="87">
        <v>5803.28</v>
      </c>
      <c r="H40" s="88">
        <f t="shared" si="3"/>
        <v>13.092199679999998</v>
      </c>
      <c r="I40" s="10">
        <f t="shared" si="4"/>
        <v>2182.0332799999996</v>
      </c>
    </row>
    <row r="41" spans="1:9" ht="15.75" hidden="1" customHeight="1">
      <c r="A41" s="22">
        <v>14</v>
      </c>
      <c r="B41" s="84" t="s">
        <v>96</v>
      </c>
      <c r="C41" s="85" t="s">
        <v>95</v>
      </c>
      <c r="D41" s="84" t="s">
        <v>72</v>
      </c>
      <c r="E41" s="87">
        <v>188</v>
      </c>
      <c r="F41" s="87">
        <f>SUM(E41*45/1000)</f>
        <v>8.4600000000000009</v>
      </c>
      <c r="G41" s="87">
        <v>428.7</v>
      </c>
      <c r="H41" s="88">
        <f t="shared" si="3"/>
        <v>3.6268020000000001</v>
      </c>
      <c r="I41" s="10">
        <f t="shared" si="4"/>
        <v>604.4670000000001</v>
      </c>
    </row>
    <row r="42" spans="1:9" ht="15.75" hidden="1" customHeight="1">
      <c r="A42" s="22">
        <v>15</v>
      </c>
      <c r="B42" s="84" t="s">
        <v>73</v>
      </c>
      <c r="C42" s="85" t="s">
        <v>33</v>
      </c>
      <c r="D42" s="84"/>
      <c r="E42" s="86"/>
      <c r="F42" s="87">
        <v>0.9</v>
      </c>
      <c r="G42" s="87">
        <v>798</v>
      </c>
      <c r="H42" s="88">
        <f t="shared" si="3"/>
        <v>0.71820000000000006</v>
      </c>
      <c r="I42" s="10">
        <f t="shared" si="4"/>
        <v>119.69999999999999</v>
      </c>
    </row>
    <row r="43" spans="1:9" ht="15.75" hidden="1" customHeight="1">
      <c r="A43" s="153" t="s">
        <v>148</v>
      </c>
      <c r="B43" s="154"/>
      <c r="C43" s="154"/>
      <c r="D43" s="154"/>
      <c r="E43" s="154"/>
      <c r="F43" s="154"/>
      <c r="G43" s="154"/>
      <c r="H43" s="154"/>
      <c r="I43" s="155"/>
    </row>
    <row r="44" spans="1:9" ht="15.75" hidden="1" customHeight="1">
      <c r="A44" s="22"/>
      <c r="B44" s="84" t="s">
        <v>157</v>
      </c>
      <c r="C44" s="85" t="s">
        <v>95</v>
      </c>
      <c r="D44" s="84" t="s">
        <v>43</v>
      </c>
      <c r="E44" s="86">
        <v>1609.3</v>
      </c>
      <c r="F44" s="87">
        <f>SUM(E44*2/1000)</f>
        <v>3.2185999999999999</v>
      </c>
      <c r="G44" s="10">
        <v>910.17</v>
      </c>
      <c r="H44" s="88">
        <f t="shared" ref="H44:H53" si="5">SUM(F44*G44/1000)</f>
        <v>2.9294731619999999</v>
      </c>
      <c r="I44" s="10">
        <v>0</v>
      </c>
    </row>
    <row r="45" spans="1:9" ht="15.75" hidden="1" customHeight="1">
      <c r="A45" s="22"/>
      <c r="B45" s="84" t="s">
        <v>36</v>
      </c>
      <c r="C45" s="85" t="s">
        <v>95</v>
      </c>
      <c r="D45" s="84" t="s">
        <v>43</v>
      </c>
      <c r="E45" s="86">
        <v>742</v>
      </c>
      <c r="F45" s="87">
        <f>SUM(E45*2/1000)</f>
        <v>1.484</v>
      </c>
      <c r="G45" s="10">
        <v>579.48</v>
      </c>
      <c r="H45" s="88">
        <f t="shared" si="5"/>
        <v>0.85994831999999999</v>
      </c>
      <c r="I45" s="10">
        <v>0</v>
      </c>
    </row>
    <row r="46" spans="1:9" ht="15.75" hidden="1" customHeight="1">
      <c r="A46" s="22"/>
      <c r="B46" s="84" t="s">
        <v>37</v>
      </c>
      <c r="C46" s="85" t="s">
        <v>95</v>
      </c>
      <c r="D46" s="84" t="s">
        <v>43</v>
      </c>
      <c r="E46" s="86">
        <v>4989.8100000000004</v>
      </c>
      <c r="F46" s="87">
        <f>SUM(E46*2/1000)</f>
        <v>9.9796200000000006</v>
      </c>
      <c r="G46" s="10">
        <v>579.48</v>
      </c>
      <c r="H46" s="88">
        <f t="shared" si="5"/>
        <v>5.7829901976000002</v>
      </c>
      <c r="I46" s="10">
        <v>0</v>
      </c>
    </row>
    <row r="47" spans="1:9" ht="15.75" hidden="1" customHeight="1">
      <c r="A47" s="22"/>
      <c r="B47" s="84" t="s">
        <v>38</v>
      </c>
      <c r="C47" s="85" t="s">
        <v>95</v>
      </c>
      <c r="D47" s="84" t="s">
        <v>43</v>
      </c>
      <c r="E47" s="86">
        <v>2654.21</v>
      </c>
      <c r="F47" s="87">
        <f>SUM(E47*2/1000)</f>
        <v>5.3084199999999999</v>
      </c>
      <c r="G47" s="10">
        <v>606.77</v>
      </c>
      <c r="H47" s="88">
        <f t="shared" si="5"/>
        <v>3.2209900033999999</v>
      </c>
      <c r="I47" s="10">
        <v>0</v>
      </c>
    </row>
    <row r="48" spans="1:9" ht="15.75" hidden="1" customHeight="1">
      <c r="A48" s="22"/>
      <c r="B48" s="84" t="s">
        <v>34</v>
      </c>
      <c r="C48" s="85" t="s">
        <v>35</v>
      </c>
      <c r="D48" s="84" t="s">
        <v>43</v>
      </c>
      <c r="E48" s="86">
        <v>128.53</v>
      </c>
      <c r="F48" s="87">
        <f>SUM(E48*2/100)</f>
        <v>2.5706000000000002</v>
      </c>
      <c r="G48" s="10">
        <v>72.81</v>
      </c>
      <c r="H48" s="88">
        <f t="shared" si="5"/>
        <v>0.18716538600000002</v>
      </c>
      <c r="I48" s="10">
        <v>0</v>
      </c>
    </row>
    <row r="49" spans="1:9" ht="15.75" hidden="1" customHeight="1">
      <c r="A49" s="22">
        <v>16</v>
      </c>
      <c r="B49" s="84" t="s">
        <v>58</v>
      </c>
      <c r="C49" s="85" t="s">
        <v>95</v>
      </c>
      <c r="D49" s="84" t="s">
        <v>170</v>
      </c>
      <c r="E49" s="86">
        <v>2026.8</v>
      </c>
      <c r="F49" s="87">
        <f>SUM(E49*5/1000)</f>
        <v>10.134</v>
      </c>
      <c r="G49" s="10">
        <v>1213.55</v>
      </c>
      <c r="H49" s="88">
        <f t="shared" si="5"/>
        <v>12.2981157</v>
      </c>
      <c r="I49" s="10">
        <f>F49/5*G49</f>
        <v>2459.6231400000001</v>
      </c>
    </row>
    <row r="50" spans="1:9" ht="31.5" hidden="1" customHeight="1">
      <c r="A50" s="22"/>
      <c r="B50" s="84" t="s">
        <v>97</v>
      </c>
      <c r="C50" s="85" t="s">
        <v>95</v>
      </c>
      <c r="D50" s="84" t="s">
        <v>43</v>
      </c>
      <c r="E50" s="86">
        <v>2026.8</v>
      </c>
      <c r="F50" s="87">
        <f>SUM(E50*2/1000)</f>
        <v>4.0536000000000003</v>
      </c>
      <c r="G50" s="10">
        <v>1213.55</v>
      </c>
      <c r="H50" s="88">
        <f t="shared" si="5"/>
        <v>4.9192462800000003</v>
      </c>
      <c r="I50" s="10">
        <v>0</v>
      </c>
    </row>
    <row r="51" spans="1:9" ht="31.5" hidden="1" customHeight="1">
      <c r="A51" s="22"/>
      <c r="B51" s="84" t="s">
        <v>98</v>
      </c>
      <c r="C51" s="85" t="s">
        <v>39</v>
      </c>
      <c r="D51" s="84" t="s">
        <v>43</v>
      </c>
      <c r="E51" s="86">
        <v>40</v>
      </c>
      <c r="F51" s="87">
        <f>SUM(E51*2/100)</f>
        <v>0.8</v>
      </c>
      <c r="G51" s="10">
        <v>2730.49</v>
      </c>
      <c r="H51" s="88">
        <f t="shared" si="5"/>
        <v>2.1843919999999999</v>
      </c>
      <c r="I51" s="10">
        <v>0</v>
      </c>
    </row>
    <row r="52" spans="1:9" ht="15.75" hidden="1" customHeight="1">
      <c r="A52" s="22"/>
      <c r="B52" s="84" t="s">
        <v>40</v>
      </c>
      <c r="C52" s="85" t="s">
        <v>41</v>
      </c>
      <c r="D52" s="84" t="s">
        <v>43</v>
      </c>
      <c r="E52" s="86">
        <v>1</v>
      </c>
      <c r="F52" s="87">
        <v>0.02</v>
      </c>
      <c r="G52" s="10">
        <v>5652.13</v>
      </c>
      <c r="H52" s="88">
        <f t="shared" si="5"/>
        <v>0.11304260000000001</v>
      </c>
      <c r="I52" s="10">
        <v>0</v>
      </c>
    </row>
    <row r="53" spans="1:9" ht="15.75" hidden="1" customHeight="1">
      <c r="A53" s="22">
        <v>13</v>
      </c>
      <c r="B53" s="84" t="s">
        <v>42</v>
      </c>
      <c r="C53" s="85" t="s">
        <v>102</v>
      </c>
      <c r="D53" s="84" t="s">
        <v>74</v>
      </c>
      <c r="E53" s="86">
        <v>160</v>
      </c>
      <c r="F53" s="87">
        <f>SUM(E53)*3</f>
        <v>480</v>
      </c>
      <c r="G53" s="10">
        <v>65.67</v>
      </c>
      <c r="H53" s="88">
        <f t="shared" si="5"/>
        <v>31.521600000000003</v>
      </c>
      <c r="I53" s="10">
        <f>E53*G53</f>
        <v>10507.2</v>
      </c>
    </row>
    <row r="54" spans="1:9" ht="15.75" customHeight="1">
      <c r="A54" s="153" t="s">
        <v>152</v>
      </c>
      <c r="B54" s="154"/>
      <c r="C54" s="154"/>
      <c r="D54" s="154"/>
      <c r="E54" s="154"/>
      <c r="F54" s="154"/>
      <c r="G54" s="154"/>
      <c r="H54" s="154"/>
      <c r="I54" s="155"/>
    </row>
    <row r="55" spans="1:9" ht="15.75" hidden="1" customHeight="1">
      <c r="A55" s="22"/>
      <c r="B55" s="107" t="s">
        <v>44</v>
      </c>
      <c r="C55" s="85"/>
      <c r="D55" s="84"/>
      <c r="E55" s="86"/>
      <c r="F55" s="87"/>
      <c r="G55" s="87"/>
      <c r="H55" s="88"/>
      <c r="I55" s="10"/>
    </row>
    <row r="56" spans="1:9" ht="31.5" hidden="1" customHeight="1">
      <c r="A56" s="22">
        <v>18</v>
      </c>
      <c r="B56" s="84" t="s">
        <v>158</v>
      </c>
      <c r="C56" s="85" t="s">
        <v>93</v>
      </c>
      <c r="D56" s="84" t="s">
        <v>126</v>
      </c>
      <c r="E56" s="86">
        <v>176.93</v>
      </c>
      <c r="F56" s="87">
        <f>SUM(E56*6/100)</f>
        <v>10.6158</v>
      </c>
      <c r="G56" s="10">
        <v>1547.28</v>
      </c>
      <c r="H56" s="88">
        <f>SUM(F56*G56/1000)</f>
        <v>16.425615023999999</v>
      </c>
      <c r="I56" s="10">
        <f>F56/6*G56</f>
        <v>2737.602504</v>
      </c>
    </row>
    <row r="57" spans="1:9" ht="15.75" customHeight="1">
      <c r="A57" s="22"/>
      <c r="B57" s="107" t="s">
        <v>45</v>
      </c>
      <c r="C57" s="85"/>
      <c r="D57" s="84"/>
      <c r="E57" s="86"/>
      <c r="F57" s="87"/>
      <c r="G57" s="109"/>
      <c r="H57" s="88"/>
      <c r="I57" s="10"/>
    </row>
    <row r="58" spans="1:9" ht="15.75" hidden="1" customHeight="1">
      <c r="A58" s="22"/>
      <c r="B58" s="84" t="s">
        <v>46</v>
      </c>
      <c r="C58" s="85" t="s">
        <v>93</v>
      </c>
      <c r="D58" s="84" t="s">
        <v>55</v>
      </c>
      <c r="E58" s="86">
        <v>2026.8</v>
      </c>
      <c r="F58" s="88">
        <v>20.268000000000001</v>
      </c>
      <c r="G58" s="10">
        <v>793.61</v>
      </c>
      <c r="H58" s="94">
        <v>16.085000000000001</v>
      </c>
      <c r="I58" s="10">
        <v>0</v>
      </c>
    </row>
    <row r="59" spans="1:9" ht="15.75" customHeight="1">
      <c r="A59" s="22">
        <v>13</v>
      </c>
      <c r="B59" s="84" t="s">
        <v>138</v>
      </c>
      <c r="C59" s="85" t="s">
        <v>25</v>
      </c>
      <c r="D59" s="84" t="s">
        <v>139</v>
      </c>
      <c r="E59" s="86">
        <v>325</v>
      </c>
      <c r="F59" s="87">
        <f>E59*12</f>
        <v>3900</v>
      </c>
      <c r="G59" s="110">
        <v>2.59</v>
      </c>
      <c r="H59" s="88">
        <f>F59*G59/1000</f>
        <v>10.101000000000001</v>
      </c>
      <c r="I59" s="10">
        <f>F59/12*G59</f>
        <v>841.75</v>
      </c>
    </row>
    <row r="60" spans="1:9" ht="15.75" hidden="1" customHeight="1">
      <c r="A60" s="22"/>
      <c r="B60" s="107" t="s">
        <v>159</v>
      </c>
      <c r="C60" s="85"/>
      <c r="D60" s="84"/>
      <c r="E60" s="86"/>
      <c r="F60" s="87"/>
      <c r="G60" s="87"/>
      <c r="H60" s="88" t="s">
        <v>156</v>
      </c>
      <c r="I60" s="10"/>
    </row>
    <row r="61" spans="1:9" ht="15.75" hidden="1" customHeight="1">
      <c r="A61" s="22"/>
      <c r="B61" s="84" t="s">
        <v>171</v>
      </c>
      <c r="C61" s="85" t="s">
        <v>102</v>
      </c>
      <c r="D61" s="84" t="s">
        <v>55</v>
      </c>
      <c r="E61" s="86">
        <v>4</v>
      </c>
      <c r="F61" s="87">
        <f>SUM(E61)</f>
        <v>4</v>
      </c>
      <c r="G61" s="95">
        <v>237.75</v>
      </c>
      <c r="H61" s="88">
        <f t="shared" ref="H61:H79" si="6">SUM(F61*G61/1000)</f>
        <v>0.95099999999999996</v>
      </c>
      <c r="I61" s="10">
        <v>0</v>
      </c>
    </row>
    <row r="62" spans="1:9" ht="15.75" hidden="1" customHeight="1">
      <c r="A62" s="22"/>
      <c r="B62" s="108" t="s">
        <v>47</v>
      </c>
      <c r="C62" s="96"/>
      <c r="D62" s="97"/>
      <c r="E62" s="98"/>
      <c r="F62" s="99"/>
      <c r="G62" s="99"/>
      <c r="H62" s="100" t="s">
        <v>156</v>
      </c>
      <c r="I62" s="10"/>
    </row>
    <row r="63" spans="1:9" ht="15.75" hidden="1" customHeight="1">
      <c r="A63" s="22">
        <v>20</v>
      </c>
      <c r="B63" s="11" t="s">
        <v>48</v>
      </c>
      <c r="C63" s="13" t="s">
        <v>102</v>
      </c>
      <c r="D63" s="11" t="s">
        <v>69</v>
      </c>
      <c r="E63" s="16">
        <v>30</v>
      </c>
      <c r="F63" s="87">
        <v>30</v>
      </c>
      <c r="G63" s="10">
        <v>222.4</v>
      </c>
      <c r="H63" s="82">
        <f t="shared" si="6"/>
        <v>6.6719999999999997</v>
      </c>
      <c r="I63" s="10">
        <f>G63</f>
        <v>222.4</v>
      </c>
    </row>
    <row r="64" spans="1:9" ht="15.75" hidden="1" customHeight="1">
      <c r="A64" s="22">
        <v>21</v>
      </c>
      <c r="B64" s="11" t="s">
        <v>49</v>
      </c>
      <c r="C64" s="13" t="s">
        <v>102</v>
      </c>
      <c r="D64" s="11" t="s">
        <v>69</v>
      </c>
      <c r="E64" s="16">
        <v>5</v>
      </c>
      <c r="F64" s="87">
        <v>5</v>
      </c>
      <c r="G64" s="10">
        <v>76.25</v>
      </c>
      <c r="H64" s="82">
        <f t="shared" si="6"/>
        <v>0.38124999999999998</v>
      </c>
      <c r="I64" s="10">
        <f>G64</f>
        <v>76.25</v>
      </c>
    </row>
    <row r="65" spans="1:9" ht="15.75" hidden="1" customHeight="1">
      <c r="A65" s="22"/>
      <c r="B65" s="11" t="s">
        <v>50</v>
      </c>
      <c r="C65" s="13" t="s">
        <v>103</v>
      </c>
      <c r="D65" s="11" t="s">
        <v>55</v>
      </c>
      <c r="E65" s="86">
        <v>24063</v>
      </c>
      <c r="F65" s="10">
        <f>SUM(E65/100)</f>
        <v>240.63</v>
      </c>
      <c r="G65" s="10">
        <v>212.15</v>
      </c>
      <c r="H65" s="82">
        <f t="shared" si="6"/>
        <v>51.049654499999995</v>
      </c>
      <c r="I65" s="10">
        <v>0</v>
      </c>
    </row>
    <row r="66" spans="1:9" ht="15.75" hidden="1" customHeight="1">
      <c r="A66" s="22"/>
      <c r="B66" s="11" t="s">
        <v>51</v>
      </c>
      <c r="C66" s="13" t="s">
        <v>104</v>
      </c>
      <c r="D66" s="11"/>
      <c r="E66" s="86">
        <v>24063</v>
      </c>
      <c r="F66" s="10">
        <f>SUM(E66/1000)</f>
        <v>24.062999999999999</v>
      </c>
      <c r="G66" s="10">
        <v>165.21</v>
      </c>
      <c r="H66" s="82">
        <f t="shared" si="6"/>
        <v>3.97544823</v>
      </c>
      <c r="I66" s="10">
        <v>0</v>
      </c>
    </row>
    <row r="67" spans="1:9" ht="15.75" hidden="1" customHeight="1">
      <c r="A67" s="22"/>
      <c r="B67" s="11" t="s">
        <v>52</v>
      </c>
      <c r="C67" s="13" t="s">
        <v>81</v>
      </c>
      <c r="D67" s="11" t="s">
        <v>55</v>
      </c>
      <c r="E67" s="86">
        <v>2730</v>
      </c>
      <c r="F67" s="10">
        <f>SUM(E67/100)</f>
        <v>27.3</v>
      </c>
      <c r="G67" s="10">
        <v>2074.63</v>
      </c>
      <c r="H67" s="82">
        <f t="shared" si="6"/>
        <v>56.637399000000002</v>
      </c>
      <c r="I67" s="10">
        <v>0</v>
      </c>
    </row>
    <row r="68" spans="1:9" ht="15.75" hidden="1" customHeight="1">
      <c r="A68" s="22"/>
      <c r="B68" s="101" t="s">
        <v>75</v>
      </c>
      <c r="C68" s="13" t="s">
        <v>33</v>
      </c>
      <c r="D68" s="11"/>
      <c r="E68" s="86">
        <v>21.4</v>
      </c>
      <c r="F68" s="10">
        <f>SUM(E68)</f>
        <v>21.4</v>
      </c>
      <c r="G68" s="10">
        <v>45.32</v>
      </c>
      <c r="H68" s="82">
        <f t="shared" si="6"/>
        <v>0.96984799999999993</v>
      </c>
      <c r="I68" s="10">
        <v>0</v>
      </c>
    </row>
    <row r="69" spans="1:9" ht="15.75" hidden="1" customHeight="1">
      <c r="A69" s="22"/>
      <c r="B69" s="101" t="s">
        <v>76</v>
      </c>
      <c r="C69" s="13" t="s">
        <v>33</v>
      </c>
      <c r="D69" s="11"/>
      <c r="E69" s="86">
        <v>21.4</v>
      </c>
      <c r="F69" s="10">
        <f>SUM(E69)</f>
        <v>21.4</v>
      </c>
      <c r="G69" s="10">
        <v>42.28</v>
      </c>
      <c r="H69" s="82">
        <f t="shared" si="6"/>
        <v>0.90479199999999993</v>
      </c>
      <c r="I69" s="10">
        <v>0</v>
      </c>
    </row>
    <row r="70" spans="1:9" ht="15.75" hidden="1" customHeight="1">
      <c r="A70" s="22">
        <v>22</v>
      </c>
      <c r="B70" s="101" t="s">
        <v>133</v>
      </c>
      <c r="C70" s="13"/>
      <c r="D70" s="11"/>
      <c r="E70" s="102"/>
      <c r="F70" s="76">
        <v>1</v>
      </c>
      <c r="G70" s="10">
        <v>5600</v>
      </c>
      <c r="H70" s="82">
        <f t="shared" si="6"/>
        <v>5.6</v>
      </c>
      <c r="I70" s="10">
        <f>F70*G70</f>
        <v>5600</v>
      </c>
    </row>
    <row r="71" spans="1:9" ht="15.75" hidden="1" customHeight="1">
      <c r="A71" s="22"/>
      <c r="B71" s="11" t="s">
        <v>59</v>
      </c>
      <c r="C71" s="13" t="s">
        <v>60</v>
      </c>
      <c r="D71" s="11" t="s">
        <v>55</v>
      </c>
      <c r="E71" s="16">
        <v>10</v>
      </c>
      <c r="F71" s="87">
        <f>SUM(E71)</f>
        <v>10</v>
      </c>
      <c r="G71" s="10">
        <v>49.88</v>
      </c>
      <c r="H71" s="82">
        <f t="shared" si="6"/>
        <v>0.49880000000000002</v>
      </c>
      <c r="I71" s="10">
        <v>0</v>
      </c>
    </row>
    <row r="72" spans="1:9" ht="15.75" hidden="1" customHeight="1">
      <c r="A72" s="22"/>
      <c r="B72" s="70" t="s">
        <v>77</v>
      </c>
      <c r="C72" s="13"/>
      <c r="D72" s="11"/>
      <c r="E72" s="16"/>
      <c r="F72" s="10"/>
      <c r="G72" s="10"/>
      <c r="H72" s="82" t="s">
        <v>156</v>
      </c>
      <c r="I72" s="10"/>
    </row>
    <row r="73" spans="1:9" ht="15.75" hidden="1" customHeight="1">
      <c r="A73" s="22">
        <v>15</v>
      </c>
      <c r="B73" s="11" t="s">
        <v>78</v>
      </c>
      <c r="C73" s="13" t="s">
        <v>79</v>
      </c>
      <c r="D73" s="11"/>
      <c r="E73" s="16">
        <v>160</v>
      </c>
      <c r="F73" s="10">
        <v>16</v>
      </c>
      <c r="G73" s="10">
        <v>501.62</v>
      </c>
      <c r="H73" s="82">
        <f t="shared" si="6"/>
        <v>8.0259199999999993</v>
      </c>
      <c r="I73" s="10">
        <f>G73*0.2</f>
        <v>100.32400000000001</v>
      </c>
    </row>
    <row r="74" spans="1:9" ht="15.75" hidden="1" customHeight="1">
      <c r="A74" s="22"/>
      <c r="B74" s="11" t="s">
        <v>128</v>
      </c>
      <c r="C74" s="13" t="s">
        <v>102</v>
      </c>
      <c r="D74" s="11"/>
      <c r="E74" s="16">
        <v>1</v>
      </c>
      <c r="F74" s="87">
        <f>SUM(E74)</f>
        <v>1</v>
      </c>
      <c r="G74" s="10">
        <v>358.51</v>
      </c>
      <c r="H74" s="82">
        <f t="shared" si="6"/>
        <v>0.35851</v>
      </c>
      <c r="I74" s="10">
        <v>0</v>
      </c>
    </row>
    <row r="75" spans="1:9" ht="15.75" hidden="1" customHeight="1">
      <c r="A75" s="22"/>
      <c r="B75" s="11" t="s">
        <v>134</v>
      </c>
      <c r="C75" s="13" t="s">
        <v>31</v>
      </c>
      <c r="D75" s="11"/>
      <c r="E75" s="16">
        <v>3</v>
      </c>
      <c r="F75" s="10">
        <v>3</v>
      </c>
      <c r="G75" s="10">
        <v>99.85</v>
      </c>
      <c r="H75" s="82">
        <f>F75*G75/1000</f>
        <v>0.29954999999999993</v>
      </c>
      <c r="I75" s="10">
        <v>0</v>
      </c>
    </row>
    <row r="76" spans="1:9" ht="15.75" hidden="1" customHeight="1">
      <c r="A76" s="22"/>
      <c r="B76" s="11" t="s">
        <v>135</v>
      </c>
      <c r="C76" s="13" t="s">
        <v>31</v>
      </c>
      <c r="D76" s="11"/>
      <c r="E76" s="16">
        <v>2</v>
      </c>
      <c r="F76" s="10">
        <v>2</v>
      </c>
      <c r="G76" s="10">
        <v>120.26</v>
      </c>
      <c r="H76" s="82">
        <f>F76*G76/1000</f>
        <v>0.24052000000000001</v>
      </c>
      <c r="I76" s="10">
        <v>0</v>
      </c>
    </row>
    <row r="77" spans="1:9" ht="15.75" hidden="1" customHeight="1">
      <c r="A77" s="22"/>
      <c r="B77" s="11" t="s">
        <v>127</v>
      </c>
      <c r="C77" s="13" t="s">
        <v>102</v>
      </c>
      <c r="D77" s="11"/>
      <c r="E77" s="16">
        <v>1</v>
      </c>
      <c r="F77" s="87">
        <f>SUM(E77)</f>
        <v>1</v>
      </c>
      <c r="G77" s="10">
        <v>911.85</v>
      </c>
      <c r="H77" s="82">
        <f t="shared" ref="H77" si="7">SUM(F77*G77/1000)</f>
        <v>0.91185000000000005</v>
      </c>
      <c r="I77" s="10">
        <v>0</v>
      </c>
    </row>
    <row r="78" spans="1:9" ht="15.75" hidden="1" customHeight="1">
      <c r="A78" s="22"/>
      <c r="B78" s="104" t="s">
        <v>80</v>
      </c>
      <c r="C78" s="13"/>
      <c r="D78" s="11"/>
      <c r="E78" s="16"/>
      <c r="F78" s="10"/>
      <c r="G78" s="10" t="s">
        <v>156</v>
      </c>
      <c r="H78" s="82" t="s">
        <v>156</v>
      </c>
      <c r="I78" s="10"/>
    </row>
    <row r="79" spans="1:9" ht="15.75" hidden="1" customHeight="1">
      <c r="A79" s="22"/>
      <c r="B79" s="49" t="s">
        <v>107</v>
      </c>
      <c r="C79" s="13" t="s">
        <v>81</v>
      </c>
      <c r="D79" s="11"/>
      <c r="E79" s="16"/>
      <c r="F79" s="10">
        <v>0.6</v>
      </c>
      <c r="G79" s="10">
        <v>2759.44</v>
      </c>
      <c r="H79" s="82">
        <f t="shared" si="6"/>
        <v>1.655664</v>
      </c>
      <c r="I79" s="10">
        <v>0</v>
      </c>
    </row>
    <row r="80" spans="1:9" ht="15.75" hidden="1" customHeight="1">
      <c r="A80" s="22"/>
      <c r="B80" s="70" t="s">
        <v>99</v>
      </c>
      <c r="C80" s="104"/>
      <c r="D80" s="24"/>
      <c r="E80" s="25"/>
      <c r="F80" s="90"/>
      <c r="G80" s="90"/>
      <c r="H80" s="105">
        <f>SUM(H56:H79)</f>
        <v>181.74382075399996</v>
      </c>
      <c r="I80" s="90"/>
    </row>
    <row r="81" spans="1:9" ht="15.75" hidden="1" customHeight="1">
      <c r="A81" s="22"/>
      <c r="B81" s="84" t="s">
        <v>105</v>
      </c>
      <c r="C81" s="13"/>
      <c r="D81" s="11"/>
      <c r="E81" s="77"/>
      <c r="F81" s="10">
        <v>1</v>
      </c>
      <c r="G81" s="10">
        <v>17508</v>
      </c>
      <c r="H81" s="82">
        <f>G81*F81/1000</f>
        <v>17.507999999999999</v>
      </c>
      <c r="I81" s="10">
        <v>0</v>
      </c>
    </row>
    <row r="82" spans="1:9" ht="15.75" customHeight="1">
      <c r="A82" s="153" t="s">
        <v>153</v>
      </c>
      <c r="B82" s="154"/>
      <c r="C82" s="154"/>
      <c r="D82" s="154"/>
      <c r="E82" s="154"/>
      <c r="F82" s="154"/>
      <c r="G82" s="154"/>
      <c r="H82" s="154"/>
      <c r="I82" s="155"/>
    </row>
    <row r="83" spans="1:9" ht="15.75" customHeight="1">
      <c r="A83" s="22">
        <v>14</v>
      </c>
      <c r="B83" s="84" t="s">
        <v>106</v>
      </c>
      <c r="C83" s="13" t="s">
        <v>56</v>
      </c>
      <c r="D83" s="106" t="s">
        <v>57</v>
      </c>
      <c r="E83" s="10">
        <v>4394.8999999999996</v>
      </c>
      <c r="F83" s="10">
        <f>SUM(E83*12)</f>
        <v>52738.799999999996</v>
      </c>
      <c r="G83" s="10">
        <v>2.1</v>
      </c>
      <c r="H83" s="82">
        <f>SUM(F83*G83/1000)</f>
        <v>110.75148</v>
      </c>
      <c r="I83" s="10">
        <f>F83/12*G83</f>
        <v>9229.2899999999991</v>
      </c>
    </row>
    <row r="84" spans="1:9" ht="31.5" customHeight="1">
      <c r="A84" s="22">
        <v>15</v>
      </c>
      <c r="B84" s="11" t="s">
        <v>82</v>
      </c>
      <c r="C84" s="13"/>
      <c r="D84" s="106" t="s">
        <v>57</v>
      </c>
      <c r="E84" s="86">
        <f>E83</f>
        <v>4394.8999999999996</v>
      </c>
      <c r="F84" s="10">
        <f>E84*12</f>
        <v>52738.799999999996</v>
      </c>
      <c r="G84" s="10">
        <v>1.63</v>
      </c>
      <c r="H84" s="82">
        <f>F84*G84/1000</f>
        <v>85.964243999999994</v>
      </c>
      <c r="I84" s="10">
        <f>F84/12*G84</f>
        <v>7163.686999999999</v>
      </c>
    </row>
    <row r="85" spans="1:9" ht="15.75" customHeight="1">
      <c r="A85" s="22"/>
      <c r="B85" s="38" t="s">
        <v>85</v>
      </c>
      <c r="C85" s="104"/>
      <c r="D85" s="103"/>
      <c r="E85" s="90"/>
      <c r="F85" s="90"/>
      <c r="G85" s="90"/>
      <c r="H85" s="105">
        <f>SUM(H84)</f>
        <v>85.964243999999994</v>
      </c>
      <c r="I85" s="90">
        <f>I16+I17+I18+I20+I21+I24+I25+I26+I27+I30+I31+I33+I59+I83+I84</f>
        <v>59386.465390888894</v>
      </c>
    </row>
    <row r="86" spans="1:9" ht="15.75" customHeight="1">
      <c r="A86" s="167" t="s">
        <v>62</v>
      </c>
      <c r="B86" s="168"/>
      <c r="C86" s="168"/>
      <c r="D86" s="168"/>
      <c r="E86" s="168"/>
      <c r="F86" s="168"/>
      <c r="G86" s="168"/>
      <c r="H86" s="168"/>
      <c r="I86" s="169"/>
    </row>
    <row r="87" spans="1:9" ht="15.75" customHeight="1">
      <c r="A87" s="22">
        <v>16</v>
      </c>
      <c r="B87" s="56" t="s">
        <v>137</v>
      </c>
      <c r="C87" s="57" t="s">
        <v>102</v>
      </c>
      <c r="D87" s="49"/>
      <c r="E87" s="10"/>
      <c r="F87" s="10">
        <v>790</v>
      </c>
      <c r="G87" s="10">
        <v>53.42</v>
      </c>
      <c r="H87" s="111">
        <f t="shared" ref="H87:H88" si="8">G87*F87/1000</f>
        <v>42.201800000000006</v>
      </c>
      <c r="I87" s="10">
        <f>G87*79</f>
        <v>4220.18</v>
      </c>
    </row>
    <row r="88" spans="1:9" ht="15.75" customHeight="1">
      <c r="A88" s="22">
        <v>17</v>
      </c>
      <c r="B88" s="56" t="s">
        <v>221</v>
      </c>
      <c r="C88" s="57" t="s">
        <v>102</v>
      </c>
      <c r="D88" s="112"/>
      <c r="E88" s="31"/>
      <c r="F88" s="31">
        <v>1</v>
      </c>
      <c r="G88" s="31">
        <v>3575.4</v>
      </c>
      <c r="H88" s="111">
        <f t="shared" si="8"/>
        <v>3.5754000000000001</v>
      </c>
      <c r="I88" s="10">
        <f>G88</f>
        <v>3575.4</v>
      </c>
    </row>
    <row r="89" spans="1:9">
      <c r="A89" s="22"/>
      <c r="B89" s="45" t="s">
        <v>53</v>
      </c>
      <c r="C89" s="41"/>
      <c r="D89" s="51"/>
      <c r="E89" s="41">
        <v>1</v>
      </c>
      <c r="F89" s="41"/>
      <c r="G89" s="41"/>
      <c r="H89" s="41"/>
      <c r="I89" s="25">
        <f>SUM(I87:I88)</f>
        <v>7795.58</v>
      </c>
    </row>
    <row r="90" spans="1:9" ht="15.75" customHeight="1">
      <c r="A90" s="22"/>
      <c r="B90" s="49" t="s">
        <v>83</v>
      </c>
      <c r="C90" s="12"/>
      <c r="D90" s="12"/>
      <c r="E90" s="42"/>
      <c r="F90" s="42"/>
      <c r="G90" s="43"/>
      <c r="H90" s="43"/>
      <c r="I90" s="15">
        <v>0</v>
      </c>
    </row>
    <row r="91" spans="1:9" ht="15.75" customHeight="1">
      <c r="A91" s="52"/>
      <c r="B91" s="46" t="s">
        <v>192</v>
      </c>
      <c r="C91" s="30"/>
      <c r="D91" s="30"/>
      <c r="E91" s="30"/>
      <c r="F91" s="30"/>
      <c r="G91" s="30"/>
      <c r="H91" s="30"/>
      <c r="I91" s="44">
        <f>I85+I89</f>
        <v>67182.045390888889</v>
      </c>
    </row>
    <row r="92" spans="1:9" ht="15.75">
      <c r="A92" s="166" t="s">
        <v>222</v>
      </c>
      <c r="B92" s="166"/>
      <c r="C92" s="166"/>
      <c r="D92" s="166"/>
      <c r="E92" s="166"/>
      <c r="F92" s="166"/>
      <c r="G92" s="166"/>
      <c r="H92" s="166"/>
      <c r="I92" s="166"/>
    </row>
    <row r="93" spans="1:9" ht="15.75" customHeight="1">
      <c r="A93" s="67"/>
      <c r="B93" s="161" t="s">
        <v>223</v>
      </c>
      <c r="C93" s="161"/>
      <c r="D93" s="161"/>
      <c r="E93" s="161"/>
      <c r="F93" s="161"/>
      <c r="G93" s="161"/>
      <c r="H93" s="80"/>
      <c r="I93" s="2"/>
    </row>
    <row r="94" spans="1:9" ht="15.75" customHeight="1">
      <c r="A94" s="71"/>
      <c r="B94" s="157" t="s">
        <v>6</v>
      </c>
      <c r="C94" s="157"/>
      <c r="D94" s="157"/>
      <c r="E94" s="157"/>
      <c r="F94" s="157"/>
      <c r="G94" s="157"/>
      <c r="H94" s="17"/>
      <c r="I94" s="4"/>
    </row>
    <row r="95" spans="1:9" ht="15.75" customHeight="1">
      <c r="A95" s="7"/>
      <c r="B95" s="7"/>
      <c r="C95" s="7"/>
      <c r="D95" s="7"/>
      <c r="E95" s="7"/>
      <c r="F95" s="7"/>
      <c r="G95" s="7"/>
      <c r="H95" s="7"/>
      <c r="I95" s="7"/>
    </row>
    <row r="96" spans="1:9" ht="15.75" customHeight="1">
      <c r="A96" s="162" t="s">
        <v>7</v>
      </c>
      <c r="B96" s="162"/>
      <c r="C96" s="162"/>
      <c r="D96" s="162"/>
      <c r="E96" s="162"/>
      <c r="F96" s="162"/>
      <c r="G96" s="162"/>
      <c r="H96" s="162"/>
      <c r="I96" s="162"/>
    </row>
    <row r="97" spans="1:9" ht="15.75" customHeight="1">
      <c r="A97" s="162" t="s">
        <v>8</v>
      </c>
      <c r="B97" s="162"/>
      <c r="C97" s="162"/>
      <c r="D97" s="162"/>
      <c r="E97" s="162"/>
      <c r="F97" s="162"/>
      <c r="G97" s="162"/>
      <c r="H97" s="162"/>
      <c r="I97" s="162"/>
    </row>
    <row r="98" spans="1:9" ht="15.75">
      <c r="A98" s="163" t="s">
        <v>63</v>
      </c>
      <c r="B98" s="163"/>
      <c r="C98" s="163"/>
      <c r="D98" s="163"/>
      <c r="E98" s="163"/>
      <c r="F98" s="163"/>
      <c r="G98" s="163"/>
      <c r="H98" s="163"/>
      <c r="I98" s="163"/>
    </row>
    <row r="99" spans="1:9" ht="15.75" customHeight="1">
      <c r="A99" s="8"/>
    </row>
    <row r="100" spans="1:9" ht="15.75">
      <c r="A100" s="164" t="s">
        <v>9</v>
      </c>
      <c r="B100" s="164"/>
      <c r="C100" s="164"/>
      <c r="D100" s="164"/>
      <c r="E100" s="164"/>
      <c r="F100" s="164"/>
      <c r="G100" s="164"/>
      <c r="H100" s="164"/>
      <c r="I100" s="164"/>
    </row>
    <row r="101" spans="1:9" ht="15.75" customHeight="1">
      <c r="A101" s="3"/>
    </row>
    <row r="102" spans="1:9" ht="15.75">
      <c r="B102" s="74" t="s">
        <v>10</v>
      </c>
      <c r="C102" s="156" t="s">
        <v>150</v>
      </c>
      <c r="D102" s="156"/>
      <c r="E102" s="156"/>
      <c r="F102" s="78"/>
      <c r="I102" s="75"/>
    </row>
    <row r="103" spans="1:9">
      <c r="A103" s="71"/>
      <c r="C103" s="157" t="s">
        <v>11</v>
      </c>
      <c r="D103" s="157"/>
      <c r="E103" s="157"/>
      <c r="F103" s="17"/>
      <c r="I103" s="73" t="s">
        <v>12</v>
      </c>
    </row>
    <row r="104" spans="1:9" ht="15.75">
      <c r="A104" s="18"/>
      <c r="C104" s="9"/>
      <c r="D104" s="9"/>
      <c r="G104" s="9"/>
      <c r="H104" s="9"/>
    </row>
    <row r="105" spans="1:9" ht="15.75" customHeight="1">
      <c r="B105" s="74" t="s">
        <v>13</v>
      </c>
      <c r="C105" s="158"/>
      <c r="D105" s="158"/>
      <c r="E105" s="158"/>
      <c r="F105" s="79"/>
      <c r="I105" s="75"/>
    </row>
    <row r="106" spans="1:9" ht="15.75" customHeight="1">
      <c r="A106" s="71"/>
      <c r="C106" s="159" t="s">
        <v>11</v>
      </c>
      <c r="D106" s="159"/>
      <c r="E106" s="159"/>
      <c r="F106" s="71"/>
      <c r="I106" s="73" t="s">
        <v>12</v>
      </c>
    </row>
    <row r="107" spans="1:9" ht="15.75" customHeight="1">
      <c r="A107" s="3" t="s">
        <v>14</v>
      </c>
    </row>
    <row r="108" spans="1:9">
      <c r="A108" s="160" t="s">
        <v>15</v>
      </c>
      <c r="B108" s="160"/>
      <c r="C108" s="160"/>
      <c r="D108" s="160"/>
      <c r="E108" s="160"/>
      <c r="F108" s="160"/>
      <c r="G108" s="160"/>
      <c r="H108" s="160"/>
      <c r="I108" s="160"/>
    </row>
    <row r="109" spans="1:9" ht="45" customHeight="1">
      <c r="A109" s="152" t="s">
        <v>16</v>
      </c>
      <c r="B109" s="152"/>
      <c r="C109" s="152"/>
      <c r="D109" s="152"/>
      <c r="E109" s="152"/>
      <c r="F109" s="152"/>
      <c r="G109" s="152"/>
      <c r="H109" s="152"/>
      <c r="I109" s="152"/>
    </row>
    <row r="110" spans="1:9" ht="30" customHeight="1">
      <c r="A110" s="152" t="s">
        <v>17</v>
      </c>
      <c r="B110" s="152"/>
      <c r="C110" s="152"/>
      <c r="D110" s="152"/>
      <c r="E110" s="152"/>
      <c r="F110" s="152"/>
      <c r="G110" s="152"/>
      <c r="H110" s="152"/>
      <c r="I110" s="152"/>
    </row>
    <row r="111" spans="1:9" ht="30" customHeight="1">
      <c r="A111" s="152" t="s">
        <v>21</v>
      </c>
      <c r="B111" s="152"/>
      <c r="C111" s="152"/>
      <c r="D111" s="152"/>
      <c r="E111" s="152"/>
      <c r="F111" s="152"/>
      <c r="G111" s="152"/>
      <c r="H111" s="152"/>
      <c r="I111" s="152"/>
    </row>
    <row r="112" spans="1:9" ht="15" customHeight="1">
      <c r="A112" s="152" t="s">
        <v>20</v>
      </c>
      <c r="B112" s="152"/>
      <c r="C112" s="152"/>
      <c r="D112" s="152"/>
      <c r="E112" s="152"/>
      <c r="F112" s="152"/>
      <c r="G112" s="152"/>
      <c r="H112" s="152"/>
      <c r="I112" s="152"/>
    </row>
  </sheetData>
  <mergeCells count="28">
    <mergeCell ref="A110:I110"/>
    <mergeCell ref="A111:I111"/>
    <mergeCell ref="A112:I112"/>
    <mergeCell ref="C102:E102"/>
    <mergeCell ref="C103:E103"/>
    <mergeCell ref="C105:E105"/>
    <mergeCell ref="C106:E106"/>
    <mergeCell ref="A108:I108"/>
    <mergeCell ref="A109:I109"/>
    <mergeCell ref="A100:I100"/>
    <mergeCell ref="A15:I15"/>
    <mergeCell ref="A28:I28"/>
    <mergeCell ref="A43:I43"/>
    <mergeCell ref="A54:I54"/>
    <mergeCell ref="A82:I82"/>
    <mergeCell ref="A92:I92"/>
    <mergeCell ref="B93:G93"/>
    <mergeCell ref="B94:G94"/>
    <mergeCell ref="A96:I96"/>
    <mergeCell ref="A97:I97"/>
    <mergeCell ref="A98:I98"/>
    <mergeCell ref="A86:I86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2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20" t="s">
        <v>91</v>
      </c>
      <c r="I1" s="19"/>
    </row>
    <row r="2" spans="1:9" ht="15.75">
      <c r="A2" s="21" t="s">
        <v>64</v>
      </c>
    </row>
    <row r="3" spans="1:9" ht="15.75" customHeight="1">
      <c r="A3" s="171" t="s">
        <v>180</v>
      </c>
      <c r="B3" s="171"/>
      <c r="C3" s="171"/>
      <c r="D3" s="171"/>
      <c r="E3" s="171"/>
      <c r="F3" s="171"/>
      <c r="G3" s="171"/>
      <c r="H3" s="171"/>
      <c r="I3" s="171"/>
    </row>
    <row r="4" spans="1:9" ht="31.5" customHeight="1">
      <c r="A4" s="172" t="s">
        <v>143</v>
      </c>
      <c r="B4" s="172"/>
      <c r="C4" s="172"/>
      <c r="D4" s="172"/>
      <c r="E4" s="172"/>
      <c r="F4" s="172"/>
      <c r="G4" s="172"/>
      <c r="H4" s="172"/>
      <c r="I4" s="172"/>
    </row>
    <row r="5" spans="1:9" ht="15.75">
      <c r="A5" s="171" t="s">
        <v>224</v>
      </c>
      <c r="B5" s="173"/>
      <c r="C5" s="173"/>
      <c r="D5" s="173"/>
      <c r="E5" s="173"/>
      <c r="F5" s="173"/>
      <c r="G5" s="173"/>
      <c r="H5" s="173"/>
      <c r="I5" s="173"/>
    </row>
    <row r="6" spans="1:9" ht="15.75">
      <c r="A6" s="1"/>
      <c r="B6" s="72"/>
      <c r="C6" s="72"/>
      <c r="D6" s="72"/>
      <c r="E6" s="72"/>
      <c r="F6" s="72"/>
      <c r="G6" s="72"/>
      <c r="H6" s="72"/>
      <c r="I6" s="23">
        <v>43008</v>
      </c>
    </row>
    <row r="7" spans="1:9" ht="15.75">
      <c r="B7" s="74"/>
      <c r="C7" s="74"/>
      <c r="D7" s="74"/>
      <c r="E7" s="2"/>
      <c r="F7" s="2"/>
      <c r="G7" s="2"/>
      <c r="H7" s="2"/>
    </row>
    <row r="8" spans="1:9" ht="78.75" customHeight="1">
      <c r="A8" s="174" t="s">
        <v>147</v>
      </c>
      <c r="B8" s="174"/>
      <c r="C8" s="174"/>
      <c r="D8" s="174"/>
      <c r="E8" s="174"/>
      <c r="F8" s="174"/>
      <c r="G8" s="174"/>
      <c r="H8" s="174"/>
      <c r="I8" s="174"/>
    </row>
    <row r="9" spans="1:9" ht="15.75">
      <c r="A9" s="3"/>
    </row>
    <row r="10" spans="1:9" ht="47.25" customHeight="1">
      <c r="A10" s="175" t="s">
        <v>299</v>
      </c>
      <c r="B10" s="175"/>
      <c r="C10" s="175"/>
      <c r="D10" s="175"/>
      <c r="E10" s="175"/>
      <c r="F10" s="175"/>
      <c r="G10" s="175"/>
      <c r="H10" s="175"/>
      <c r="I10" s="175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70" t="s">
        <v>61</v>
      </c>
      <c r="B14" s="170"/>
      <c r="C14" s="170"/>
      <c r="D14" s="170"/>
      <c r="E14" s="170"/>
      <c r="F14" s="170"/>
      <c r="G14" s="170"/>
      <c r="H14" s="170"/>
      <c r="I14" s="170"/>
    </row>
    <row r="15" spans="1:9" ht="15" customHeight="1">
      <c r="A15" s="165" t="s">
        <v>4</v>
      </c>
      <c r="B15" s="165"/>
      <c r="C15" s="165"/>
      <c r="D15" s="165"/>
      <c r="E15" s="165"/>
      <c r="F15" s="165"/>
      <c r="G15" s="165"/>
      <c r="H15" s="165"/>
      <c r="I15" s="165"/>
    </row>
    <row r="16" spans="1:9" ht="31.5" customHeight="1">
      <c r="A16" s="22">
        <v>1</v>
      </c>
      <c r="B16" s="84" t="s">
        <v>109</v>
      </c>
      <c r="C16" s="85" t="s">
        <v>93</v>
      </c>
      <c r="D16" s="84" t="s">
        <v>110</v>
      </c>
      <c r="E16" s="86">
        <v>121.14</v>
      </c>
      <c r="F16" s="87">
        <f>SUM(E16*156/100)</f>
        <v>188.97839999999999</v>
      </c>
      <c r="G16" s="87">
        <v>175.38</v>
      </c>
      <c r="H16" s="88">
        <f t="shared" ref="H16:H25" si="0">SUM(F16*G16/1000)</f>
        <v>33.143031792000002</v>
      </c>
      <c r="I16" s="10">
        <f>F16/12*G16</f>
        <v>2761.9193159999995</v>
      </c>
    </row>
    <row r="17" spans="1:9" ht="31.5" customHeight="1">
      <c r="A17" s="22">
        <v>2</v>
      </c>
      <c r="B17" s="84" t="s">
        <v>111</v>
      </c>
      <c r="C17" s="85" t="s">
        <v>93</v>
      </c>
      <c r="D17" s="84" t="s">
        <v>112</v>
      </c>
      <c r="E17" s="86">
        <v>484.56</v>
      </c>
      <c r="F17" s="87">
        <f>SUM(E17*104/100)</f>
        <v>503.94239999999996</v>
      </c>
      <c r="G17" s="87">
        <v>175.38</v>
      </c>
      <c r="H17" s="88">
        <f t="shared" si="0"/>
        <v>88.381418111999992</v>
      </c>
      <c r="I17" s="10">
        <f>F17/12*G17</f>
        <v>7365.118175999999</v>
      </c>
    </row>
    <row r="18" spans="1:9" ht="31.5" customHeight="1">
      <c r="A18" s="22">
        <v>3</v>
      </c>
      <c r="B18" s="84" t="s">
        <v>113</v>
      </c>
      <c r="C18" s="85" t="s">
        <v>93</v>
      </c>
      <c r="D18" s="84" t="s">
        <v>129</v>
      </c>
      <c r="E18" s="86">
        <f>SUM(E16+E17)</f>
        <v>605.70000000000005</v>
      </c>
      <c r="F18" s="87">
        <f>SUM(E18*24/100)</f>
        <v>145.36800000000002</v>
      </c>
      <c r="G18" s="87">
        <v>504.5</v>
      </c>
      <c r="H18" s="88">
        <f t="shared" si="0"/>
        <v>73.338156000000012</v>
      </c>
      <c r="I18" s="10">
        <f>F18/12*G18</f>
        <v>6111.5130000000008</v>
      </c>
    </row>
    <row r="19" spans="1:9" ht="15.75" hidden="1" customHeight="1">
      <c r="A19" s="22"/>
      <c r="B19" s="84" t="s">
        <v>114</v>
      </c>
      <c r="C19" s="85" t="s">
        <v>115</v>
      </c>
      <c r="D19" s="84" t="s">
        <v>116</v>
      </c>
      <c r="E19" s="86">
        <v>38.4</v>
      </c>
      <c r="F19" s="87">
        <f>SUM(E19/10)</f>
        <v>3.84</v>
      </c>
      <c r="G19" s="87">
        <v>170.16</v>
      </c>
      <c r="H19" s="88">
        <f t="shared" si="0"/>
        <v>0.65341439999999995</v>
      </c>
      <c r="I19" s="10">
        <v>0</v>
      </c>
    </row>
    <row r="20" spans="1:9" ht="15.75" customHeight="1">
      <c r="A20" s="22">
        <v>4</v>
      </c>
      <c r="B20" s="84" t="s">
        <v>117</v>
      </c>
      <c r="C20" s="85" t="s">
        <v>93</v>
      </c>
      <c r="D20" s="84" t="s">
        <v>30</v>
      </c>
      <c r="E20" s="86">
        <v>58.4</v>
      </c>
      <c r="F20" s="87">
        <f>SUM(E20*12/100)</f>
        <v>7.0079999999999991</v>
      </c>
      <c r="G20" s="87">
        <v>217.88</v>
      </c>
      <c r="H20" s="88">
        <f t="shared" si="0"/>
        <v>1.5269030399999997</v>
      </c>
      <c r="I20" s="10">
        <f>F20/12*G20</f>
        <v>127.24191999999999</v>
      </c>
    </row>
    <row r="21" spans="1:9" ht="15.75" customHeight="1">
      <c r="A21" s="22">
        <v>5</v>
      </c>
      <c r="B21" s="84" t="s">
        <v>118</v>
      </c>
      <c r="C21" s="85" t="s">
        <v>93</v>
      </c>
      <c r="D21" s="84" t="s">
        <v>30</v>
      </c>
      <c r="E21" s="86">
        <v>9.08</v>
      </c>
      <c r="F21" s="87">
        <f>SUM(E21*12/100)</f>
        <v>1.0896000000000001</v>
      </c>
      <c r="G21" s="87">
        <v>216.12</v>
      </c>
      <c r="H21" s="88">
        <f t="shared" si="0"/>
        <v>0.23548435200000004</v>
      </c>
      <c r="I21" s="10">
        <f>F21/12*G21</f>
        <v>19.623696000000002</v>
      </c>
    </row>
    <row r="22" spans="1:9" ht="15.75" hidden="1" customHeight="1">
      <c r="A22" s="22"/>
      <c r="B22" s="84" t="s">
        <v>120</v>
      </c>
      <c r="C22" s="85" t="s">
        <v>54</v>
      </c>
      <c r="D22" s="84" t="s">
        <v>116</v>
      </c>
      <c r="E22" s="86">
        <v>714</v>
      </c>
      <c r="F22" s="87">
        <f>SUM(E22/100)</f>
        <v>7.14</v>
      </c>
      <c r="G22" s="87">
        <v>269.26</v>
      </c>
      <c r="H22" s="88">
        <f t="shared" si="0"/>
        <v>1.9225163999999997</v>
      </c>
      <c r="I22" s="10">
        <v>0</v>
      </c>
    </row>
    <row r="23" spans="1:9" ht="15.75" hidden="1" customHeight="1">
      <c r="A23" s="22"/>
      <c r="B23" s="84" t="s">
        <v>121</v>
      </c>
      <c r="C23" s="85" t="s">
        <v>54</v>
      </c>
      <c r="D23" s="84" t="s">
        <v>116</v>
      </c>
      <c r="E23" s="89">
        <v>96.6</v>
      </c>
      <c r="F23" s="87">
        <f>SUM(E23/100)</f>
        <v>0.96599999999999997</v>
      </c>
      <c r="G23" s="87">
        <v>44.29</v>
      </c>
      <c r="H23" s="88">
        <f t="shared" si="0"/>
        <v>4.2784139999999998E-2</v>
      </c>
      <c r="I23" s="10">
        <v>0</v>
      </c>
    </row>
    <row r="24" spans="1:9" ht="15.75" customHeight="1">
      <c r="A24" s="22">
        <v>6</v>
      </c>
      <c r="B24" s="84" t="s">
        <v>122</v>
      </c>
      <c r="C24" s="85" t="s">
        <v>54</v>
      </c>
      <c r="D24" s="84" t="s">
        <v>141</v>
      </c>
      <c r="E24" s="86">
        <v>32</v>
      </c>
      <c r="F24" s="87">
        <f>E24*12/100</f>
        <v>3.84</v>
      </c>
      <c r="G24" s="87">
        <v>389.42</v>
      </c>
      <c r="H24" s="88">
        <f t="shared" si="0"/>
        <v>1.4953728000000002</v>
      </c>
      <c r="I24" s="10">
        <f>F24/12*G24</f>
        <v>124.6144</v>
      </c>
    </row>
    <row r="25" spans="1:9" ht="15.75" customHeight="1">
      <c r="A25" s="22">
        <v>7</v>
      </c>
      <c r="B25" s="84" t="s">
        <v>124</v>
      </c>
      <c r="C25" s="85" t="s">
        <v>54</v>
      </c>
      <c r="D25" s="84" t="s">
        <v>142</v>
      </c>
      <c r="E25" s="86">
        <v>17</v>
      </c>
      <c r="F25" s="87">
        <f>SUM(E25*12/100)</f>
        <v>2.04</v>
      </c>
      <c r="G25" s="87">
        <v>520.79999999999995</v>
      </c>
      <c r="H25" s="88">
        <f t="shared" si="0"/>
        <v>1.062432</v>
      </c>
      <c r="I25" s="10">
        <f>F25/12*G25</f>
        <v>88.536000000000001</v>
      </c>
    </row>
    <row r="26" spans="1:9" ht="15.75" customHeight="1">
      <c r="A26" s="22">
        <v>8</v>
      </c>
      <c r="B26" s="84" t="s">
        <v>66</v>
      </c>
      <c r="C26" s="85" t="s">
        <v>33</v>
      </c>
      <c r="D26" s="84" t="s">
        <v>155</v>
      </c>
      <c r="E26" s="86">
        <v>0.1</v>
      </c>
      <c r="F26" s="87">
        <f>SUM(E26*365)</f>
        <v>36.5</v>
      </c>
      <c r="G26" s="87">
        <v>147.03</v>
      </c>
      <c r="H26" s="88">
        <f>SUM(F26*G26/1000)</f>
        <v>5.3665950000000002</v>
      </c>
      <c r="I26" s="10">
        <f>F26/12*G26</f>
        <v>447.21625</v>
      </c>
    </row>
    <row r="27" spans="1:9" ht="15.75" customHeight="1">
      <c r="A27" s="22">
        <v>9</v>
      </c>
      <c r="B27" s="93" t="s">
        <v>23</v>
      </c>
      <c r="C27" s="85" t="s">
        <v>24</v>
      </c>
      <c r="D27" s="93" t="s">
        <v>156</v>
      </c>
      <c r="E27" s="86">
        <v>4394</v>
      </c>
      <c r="F27" s="87">
        <f>SUM(E27*12)</f>
        <v>52728</v>
      </c>
      <c r="G27" s="87">
        <v>4.53</v>
      </c>
      <c r="H27" s="88">
        <f>SUM(F27*G27/1000)</f>
        <v>238.85784000000004</v>
      </c>
      <c r="I27" s="10">
        <f>F27/12*G27</f>
        <v>19904.82</v>
      </c>
    </row>
    <row r="28" spans="1:9" ht="15.75" customHeight="1">
      <c r="A28" s="153" t="s">
        <v>90</v>
      </c>
      <c r="B28" s="154"/>
      <c r="C28" s="154"/>
      <c r="D28" s="154"/>
      <c r="E28" s="154"/>
      <c r="F28" s="154"/>
      <c r="G28" s="154"/>
      <c r="H28" s="154"/>
      <c r="I28" s="155"/>
    </row>
    <row r="29" spans="1:9" ht="15.75" customHeight="1">
      <c r="A29" s="22"/>
      <c r="B29" s="107" t="s">
        <v>28</v>
      </c>
      <c r="C29" s="85"/>
      <c r="D29" s="84"/>
      <c r="E29" s="86"/>
      <c r="F29" s="87"/>
      <c r="G29" s="87"/>
      <c r="H29" s="88"/>
      <c r="I29" s="10"/>
    </row>
    <row r="30" spans="1:9" ht="31.5" customHeight="1">
      <c r="A30" s="22">
        <v>10</v>
      </c>
      <c r="B30" s="84" t="s">
        <v>101</v>
      </c>
      <c r="C30" s="85" t="s">
        <v>95</v>
      </c>
      <c r="D30" s="84" t="s">
        <v>130</v>
      </c>
      <c r="E30" s="87">
        <v>2873.1</v>
      </c>
      <c r="F30" s="87">
        <f>SUM(E30*26/1000)</f>
        <v>74.700599999999994</v>
      </c>
      <c r="G30" s="87">
        <v>155.88999999999999</v>
      </c>
      <c r="H30" s="88">
        <f t="shared" ref="H30:H35" si="1">SUM(F30*G30/1000)</f>
        <v>11.645076533999998</v>
      </c>
      <c r="I30" s="10">
        <f t="shared" ref="I30:I33" si="2">F30/6*G30</f>
        <v>1940.8460889999997</v>
      </c>
    </row>
    <row r="31" spans="1:9" ht="31.5" customHeight="1">
      <c r="A31" s="22">
        <v>11</v>
      </c>
      <c r="B31" s="84" t="s">
        <v>169</v>
      </c>
      <c r="C31" s="85" t="s">
        <v>95</v>
      </c>
      <c r="D31" s="84" t="s">
        <v>125</v>
      </c>
      <c r="E31" s="87">
        <v>824.5</v>
      </c>
      <c r="F31" s="87">
        <f>SUM(E31*78/1000)</f>
        <v>64.311000000000007</v>
      </c>
      <c r="G31" s="87">
        <v>258.63</v>
      </c>
      <c r="H31" s="88">
        <f t="shared" si="1"/>
        <v>16.632753930000003</v>
      </c>
      <c r="I31" s="10">
        <f t="shared" si="2"/>
        <v>2772.1256550000003</v>
      </c>
    </row>
    <row r="32" spans="1:9" ht="15.75" hidden="1" customHeight="1">
      <c r="A32" s="22"/>
      <c r="B32" s="84" t="s">
        <v>27</v>
      </c>
      <c r="C32" s="85" t="s">
        <v>95</v>
      </c>
      <c r="D32" s="84" t="s">
        <v>55</v>
      </c>
      <c r="E32" s="87">
        <v>2873.1</v>
      </c>
      <c r="F32" s="87">
        <f>SUM(E32/1000)</f>
        <v>2.8731</v>
      </c>
      <c r="G32" s="87">
        <v>3020.33</v>
      </c>
      <c r="H32" s="88">
        <f t="shared" si="1"/>
        <v>8.6777101229999989</v>
      </c>
      <c r="I32" s="10">
        <f>F32*G32</f>
        <v>8677.7101229999989</v>
      </c>
    </row>
    <row r="33" spans="1:9" ht="15.75" customHeight="1">
      <c r="A33" s="22">
        <v>12</v>
      </c>
      <c r="B33" s="84" t="s">
        <v>100</v>
      </c>
      <c r="C33" s="85" t="s">
        <v>31</v>
      </c>
      <c r="D33" s="84" t="s">
        <v>65</v>
      </c>
      <c r="E33" s="92">
        <v>0.33333333333333331</v>
      </c>
      <c r="F33" s="87">
        <f>155/3</f>
        <v>51.666666666666664</v>
      </c>
      <c r="G33" s="87">
        <v>56.69</v>
      </c>
      <c r="H33" s="88">
        <f>SUM(G33*155/3/1000)</f>
        <v>2.9289833333333331</v>
      </c>
      <c r="I33" s="10">
        <f t="shared" si="2"/>
        <v>488.16388888888883</v>
      </c>
    </row>
    <row r="34" spans="1:9" ht="15.75" hidden="1" customHeight="1">
      <c r="A34" s="22"/>
      <c r="B34" s="84" t="s">
        <v>67</v>
      </c>
      <c r="C34" s="85" t="s">
        <v>33</v>
      </c>
      <c r="D34" s="84" t="s">
        <v>69</v>
      </c>
      <c r="E34" s="86"/>
      <c r="F34" s="87">
        <v>2</v>
      </c>
      <c r="G34" s="87">
        <v>191.32</v>
      </c>
      <c r="H34" s="88">
        <f t="shared" si="1"/>
        <v>0.38263999999999998</v>
      </c>
      <c r="I34" s="10">
        <v>0</v>
      </c>
    </row>
    <row r="35" spans="1:9" ht="15.75" hidden="1" customHeight="1">
      <c r="A35" s="22"/>
      <c r="B35" s="84" t="s">
        <v>68</v>
      </c>
      <c r="C35" s="85" t="s">
        <v>32</v>
      </c>
      <c r="D35" s="84" t="s">
        <v>69</v>
      </c>
      <c r="E35" s="86"/>
      <c r="F35" s="87">
        <v>3</v>
      </c>
      <c r="G35" s="87">
        <v>1136.33</v>
      </c>
      <c r="H35" s="88">
        <f t="shared" si="1"/>
        <v>3.4089899999999997</v>
      </c>
      <c r="I35" s="10">
        <v>0</v>
      </c>
    </row>
    <row r="36" spans="1:9" ht="15.75" hidden="1" customHeight="1">
      <c r="A36" s="22"/>
      <c r="B36" s="91" t="s">
        <v>5</v>
      </c>
      <c r="C36" s="85"/>
      <c r="D36" s="84"/>
      <c r="E36" s="86"/>
      <c r="F36" s="87"/>
      <c r="G36" s="87"/>
      <c r="H36" s="88" t="s">
        <v>156</v>
      </c>
      <c r="I36" s="10"/>
    </row>
    <row r="37" spans="1:9" ht="15.75" hidden="1" customHeight="1">
      <c r="A37" s="22">
        <v>10</v>
      </c>
      <c r="B37" s="84" t="s">
        <v>26</v>
      </c>
      <c r="C37" s="85" t="s">
        <v>32</v>
      </c>
      <c r="D37" s="84"/>
      <c r="E37" s="86"/>
      <c r="F37" s="87">
        <v>15</v>
      </c>
      <c r="G37" s="87">
        <v>1527.22</v>
      </c>
      <c r="H37" s="88">
        <f t="shared" ref="H37:H42" si="3">SUM(F37*G37/1000)</f>
        <v>22.908300000000001</v>
      </c>
      <c r="I37" s="10">
        <f t="shared" ref="I37:I42" si="4">F37/6*G37</f>
        <v>3818.05</v>
      </c>
    </row>
    <row r="38" spans="1:9" ht="15.75" hidden="1" customHeight="1">
      <c r="A38" s="22">
        <v>11</v>
      </c>
      <c r="B38" s="84" t="s">
        <v>70</v>
      </c>
      <c r="C38" s="85" t="s">
        <v>29</v>
      </c>
      <c r="D38" s="84" t="s">
        <v>131</v>
      </c>
      <c r="E38" s="87">
        <v>824.5</v>
      </c>
      <c r="F38" s="87">
        <f>SUM(E38*50/1000)</f>
        <v>41.225000000000001</v>
      </c>
      <c r="G38" s="87">
        <v>2102.71</v>
      </c>
      <c r="H38" s="88">
        <f t="shared" si="3"/>
        <v>86.684219749999997</v>
      </c>
      <c r="I38" s="10">
        <f t="shared" si="4"/>
        <v>14447.369958333335</v>
      </c>
    </row>
    <row r="39" spans="1:9" ht="15.75" hidden="1" customHeight="1">
      <c r="A39" s="22">
        <v>12</v>
      </c>
      <c r="B39" s="84" t="s">
        <v>71</v>
      </c>
      <c r="C39" s="85" t="s">
        <v>29</v>
      </c>
      <c r="D39" s="84" t="s">
        <v>94</v>
      </c>
      <c r="E39" s="87">
        <v>188</v>
      </c>
      <c r="F39" s="87">
        <f>SUM(E39*155/1000)</f>
        <v>29.14</v>
      </c>
      <c r="G39" s="87">
        <v>350.75</v>
      </c>
      <c r="H39" s="88">
        <f t="shared" si="3"/>
        <v>10.220855</v>
      </c>
      <c r="I39" s="10">
        <f t="shared" si="4"/>
        <v>1703.4758333333332</v>
      </c>
    </row>
    <row r="40" spans="1:9" ht="47.25" hidden="1" customHeight="1">
      <c r="A40" s="22">
        <v>13</v>
      </c>
      <c r="B40" s="84" t="s">
        <v>89</v>
      </c>
      <c r="C40" s="85" t="s">
        <v>95</v>
      </c>
      <c r="D40" s="84" t="s">
        <v>132</v>
      </c>
      <c r="E40" s="87">
        <v>188</v>
      </c>
      <c r="F40" s="87">
        <f>SUM(E40*12/1000)</f>
        <v>2.2559999999999998</v>
      </c>
      <c r="G40" s="87">
        <v>5803.28</v>
      </c>
      <c r="H40" s="88">
        <f t="shared" si="3"/>
        <v>13.092199679999998</v>
      </c>
      <c r="I40" s="10">
        <f t="shared" si="4"/>
        <v>2182.0332799999996</v>
      </c>
    </row>
    <row r="41" spans="1:9" ht="15.75" hidden="1" customHeight="1">
      <c r="A41" s="22">
        <v>14</v>
      </c>
      <c r="B41" s="84" t="s">
        <v>96</v>
      </c>
      <c r="C41" s="85" t="s">
        <v>95</v>
      </c>
      <c r="D41" s="84" t="s">
        <v>72</v>
      </c>
      <c r="E41" s="87">
        <v>188</v>
      </c>
      <c r="F41" s="87">
        <f>SUM(E41*45/1000)</f>
        <v>8.4600000000000009</v>
      </c>
      <c r="G41" s="87">
        <v>428.7</v>
      </c>
      <c r="H41" s="88">
        <f t="shared" si="3"/>
        <v>3.6268020000000001</v>
      </c>
      <c r="I41" s="10">
        <f t="shared" si="4"/>
        <v>604.4670000000001</v>
      </c>
    </row>
    <row r="42" spans="1:9" ht="15.75" hidden="1" customHeight="1">
      <c r="A42" s="22">
        <v>15</v>
      </c>
      <c r="B42" s="84" t="s">
        <v>73</v>
      </c>
      <c r="C42" s="85" t="s">
        <v>33</v>
      </c>
      <c r="D42" s="84"/>
      <c r="E42" s="86"/>
      <c r="F42" s="87">
        <v>0.9</v>
      </c>
      <c r="G42" s="87">
        <v>798</v>
      </c>
      <c r="H42" s="88">
        <f t="shared" si="3"/>
        <v>0.71820000000000006</v>
      </c>
      <c r="I42" s="10">
        <f t="shared" si="4"/>
        <v>119.69999999999999</v>
      </c>
    </row>
    <row r="43" spans="1:9" ht="15.75" customHeight="1">
      <c r="A43" s="153" t="s">
        <v>148</v>
      </c>
      <c r="B43" s="154"/>
      <c r="C43" s="154"/>
      <c r="D43" s="154"/>
      <c r="E43" s="154"/>
      <c r="F43" s="154"/>
      <c r="G43" s="154"/>
      <c r="H43" s="154"/>
      <c r="I43" s="155"/>
    </row>
    <row r="44" spans="1:9" ht="15.75" customHeight="1">
      <c r="A44" s="22">
        <v>13</v>
      </c>
      <c r="B44" s="84" t="s">
        <v>157</v>
      </c>
      <c r="C44" s="85" t="s">
        <v>95</v>
      </c>
      <c r="D44" s="84" t="s">
        <v>43</v>
      </c>
      <c r="E44" s="86">
        <v>1609.3</v>
      </c>
      <c r="F44" s="87">
        <f>SUM(E44*2/1000)</f>
        <v>3.2185999999999999</v>
      </c>
      <c r="G44" s="10">
        <v>910.17</v>
      </c>
      <c r="H44" s="88">
        <f t="shared" ref="H44:H53" si="5">SUM(F44*G44/1000)</f>
        <v>2.9294731619999999</v>
      </c>
      <c r="I44" s="10">
        <f t="shared" ref="I44:I47" si="6">F44/2*G44</f>
        <v>1464.7365809999999</v>
      </c>
    </row>
    <row r="45" spans="1:9" ht="15.75" customHeight="1">
      <c r="A45" s="22">
        <v>14</v>
      </c>
      <c r="B45" s="84" t="s">
        <v>36</v>
      </c>
      <c r="C45" s="85" t="s">
        <v>95</v>
      </c>
      <c r="D45" s="84" t="s">
        <v>43</v>
      </c>
      <c r="E45" s="86">
        <v>742</v>
      </c>
      <c r="F45" s="87">
        <f>SUM(E45*2/1000)</f>
        <v>1.484</v>
      </c>
      <c r="G45" s="10">
        <v>579.48</v>
      </c>
      <c r="H45" s="88">
        <f t="shared" si="5"/>
        <v>0.85994831999999999</v>
      </c>
      <c r="I45" s="10">
        <f t="shared" si="6"/>
        <v>429.97415999999998</v>
      </c>
    </row>
    <row r="46" spans="1:9" ht="15.75" customHeight="1">
      <c r="A46" s="22">
        <v>15</v>
      </c>
      <c r="B46" s="84" t="s">
        <v>37</v>
      </c>
      <c r="C46" s="85" t="s">
        <v>95</v>
      </c>
      <c r="D46" s="84" t="s">
        <v>43</v>
      </c>
      <c r="E46" s="86">
        <v>4989.8100000000004</v>
      </c>
      <c r="F46" s="87">
        <f>SUM(E46*2/1000)</f>
        <v>9.9796200000000006</v>
      </c>
      <c r="G46" s="10">
        <v>579.48</v>
      </c>
      <c r="H46" s="88">
        <f t="shared" si="5"/>
        <v>5.7829901976000002</v>
      </c>
      <c r="I46" s="10">
        <f t="shared" si="6"/>
        <v>2891.4950988000001</v>
      </c>
    </row>
    <row r="47" spans="1:9" ht="15.75" customHeight="1">
      <c r="A47" s="22">
        <v>16</v>
      </c>
      <c r="B47" s="84" t="s">
        <v>38</v>
      </c>
      <c r="C47" s="85" t="s">
        <v>95</v>
      </c>
      <c r="D47" s="84" t="s">
        <v>43</v>
      </c>
      <c r="E47" s="86">
        <v>2654.21</v>
      </c>
      <c r="F47" s="87">
        <f>SUM(E47*2/1000)</f>
        <v>5.3084199999999999</v>
      </c>
      <c r="G47" s="10">
        <v>606.77</v>
      </c>
      <c r="H47" s="88">
        <f t="shared" si="5"/>
        <v>3.2209900033999999</v>
      </c>
      <c r="I47" s="10">
        <f t="shared" si="6"/>
        <v>1610.4950016999999</v>
      </c>
    </row>
    <row r="48" spans="1:9" ht="15.75" customHeight="1">
      <c r="A48" s="22">
        <v>17</v>
      </c>
      <c r="B48" s="84" t="s">
        <v>34</v>
      </c>
      <c r="C48" s="85" t="s">
        <v>35</v>
      </c>
      <c r="D48" s="84" t="s">
        <v>43</v>
      </c>
      <c r="E48" s="86">
        <v>128.53</v>
      </c>
      <c r="F48" s="87">
        <f>SUM(E48*2/100)</f>
        <v>2.5706000000000002</v>
      </c>
      <c r="G48" s="10">
        <v>72.81</v>
      </c>
      <c r="H48" s="88">
        <f t="shared" si="5"/>
        <v>0.18716538600000002</v>
      </c>
      <c r="I48" s="10">
        <f>F48/2*G48</f>
        <v>93.582693000000006</v>
      </c>
    </row>
    <row r="49" spans="1:9" ht="15.75" customHeight="1">
      <c r="A49" s="22">
        <v>18</v>
      </c>
      <c r="B49" s="84" t="s">
        <v>58</v>
      </c>
      <c r="C49" s="85" t="s">
        <v>95</v>
      </c>
      <c r="D49" s="84" t="s">
        <v>170</v>
      </c>
      <c r="E49" s="86">
        <v>2026.8</v>
      </c>
      <c r="F49" s="87">
        <f>SUM(E49*5/1000)</f>
        <v>10.134</v>
      </c>
      <c r="G49" s="10">
        <v>1213.55</v>
      </c>
      <c r="H49" s="88">
        <f t="shared" si="5"/>
        <v>12.2981157</v>
      </c>
      <c r="I49" s="10">
        <f>F49/5*G49</f>
        <v>2459.6231400000001</v>
      </c>
    </row>
    <row r="50" spans="1:9" ht="31.5" hidden="1" customHeight="1">
      <c r="A50" s="22"/>
      <c r="B50" s="84" t="s">
        <v>97</v>
      </c>
      <c r="C50" s="85" t="s">
        <v>95</v>
      </c>
      <c r="D50" s="84" t="s">
        <v>43</v>
      </c>
      <c r="E50" s="86">
        <v>2026.8</v>
      </c>
      <c r="F50" s="87">
        <f>SUM(E50*2/1000)</f>
        <v>4.0536000000000003</v>
      </c>
      <c r="G50" s="10">
        <v>1213.55</v>
      </c>
      <c r="H50" s="88">
        <f t="shared" si="5"/>
        <v>4.9192462800000003</v>
      </c>
      <c r="I50" s="10">
        <v>0</v>
      </c>
    </row>
    <row r="51" spans="1:9" ht="31.5" hidden="1" customHeight="1">
      <c r="A51" s="22"/>
      <c r="B51" s="84" t="s">
        <v>98</v>
      </c>
      <c r="C51" s="85" t="s">
        <v>39</v>
      </c>
      <c r="D51" s="84" t="s">
        <v>43</v>
      </c>
      <c r="E51" s="86">
        <v>40</v>
      </c>
      <c r="F51" s="87">
        <f>SUM(E51*2/100)</f>
        <v>0.8</v>
      </c>
      <c r="G51" s="10">
        <v>2730.49</v>
      </c>
      <c r="H51" s="88">
        <f t="shared" si="5"/>
        <v>2.1843919999999999</v>
      </c>
      <c r="I51" s="10">
        <v>0</v>
      </c>
    </row>
    <row r="52" spans="1:9" ht="15.75" hidden="1" customHeight="1">
      <c r="A52" s="22"/>
      <c r="B52" s="84" t="s">
        <v>40</v>
      </c>
      <c r="C52" s="85" t="s">
        <v>41</v>
      </c>
      <c r="D52" s="84" t="s">
        <v>43</v>
      </c>
      <c r="E52" s="86">
        <v>1</v>
      </c>
      <c r="F52" s="87">
        <v>0.02</v>
      </c>
      <c r="G52" s="10">
        <v>5652.13</v>
      </c>
      <c r="H52" s="88">
        <f t="shared" si="5"/>
        <v>0.11304260000000001</v>
      </c>
      <c r="I52" s="10">
        <v>0</v>
      </c>
    </row>
    <row r="53" spans="1:9" ht="15.75" customHeight="1">
      <c r="A53" s="22">
        <v>19</v>
      </c>
      <c r="B53" s="84" t="s">
        <v>42</v>
      </c>
      <c r="C53" s="85" t="s">
        <v>102</v>
      </c>
      <c r="D53" s="84" t="s">
        <v>74</v>
      </c>
      <c r="E53" s="86">
        <v>160</v>
      </c>
      <c r="F53" s="87">
        <f>SUM(E53)*3</f>
        <v>480</v>
      </c>
      <c r="G53" s="10">
        <v>65.67</v>
      </c>
      <c r="H53" s="88">
        <f t="shared" si="5"/>
        <v>31.521600000000003</v>
      </c>
      <c r="I53" s="10">
        <f>E53*G53</f>
        <v>10507.2</v>
      </c>
    </row>
    <row r="54" spans="1:9" ht="15.75" customHeight="1">
      <c r="A54" s="153" t="s">
        <v>149</v>
      </c>
      <c r="B54" s="154"/>
      <c r="C54" s="154"/>
      <c r="D54" s="154"/>
      <c r="E54" s="154"/>
      <c r="F54" s="154"/>
      <c r="G54" s="154"/>
      <c r="H54" s="154"/>
      <c r="I54" s="155"/>
    </row>
    <row r="55" spans="1:9" ht="15.75" hidden="1" customHeight="1">
      <c r="A55" s="22"/>
      <c r="B55" s="107" t="s">
        <v>44</v>
      </c>
      <c r="C55" s="85"/>
      <c r="D55" s="84"/>
      <c r="E55" s="86"/>
      <c r="F55" s="87"/>
      <c r="G55" s="87"/>
      <c r="H55" s="88"/>
      <c r="I55" s="10"/>
    </row>
    <row r="56" spans="1:9" ht="31.5" hidden="1" customHeight="1">
      <c r="A56" s="22">
        <v>18</v>
      </c>
      <c r="B56" s="84" t="s">
        <v>158</v>
      </c>
      <c r="C56" s="85" t="s">
        <v>93</v>
      </c>
      <c r="D56" s="84" t="s">
        <v>126</v>
      </c>
      <c r="E56" s="86">
        <v>176.93</v>
      </c>
      <c r="F56" s="87">
        <f>SUM(E56*6/100)</f>
        <v>10.6158</v>
      </c>
      <c r="G56" s="10">
        <v>1547.28</v>
      </c>
      <c r="H56" s="88">
        <f>SUM(F56*G56/1000)</f>
        <v>16.425615023999999</v>
      </c>
      <c r="I56" s="10">
        <f>F56/6*G56</f>
        <v>2737.602504</v>
      </c>
    </row>
    <row r="57" spans="1:9" ht="15.75" customHeight="1">
      <c r="A57" s="22"/>
      <c r="B57" s="107" t="s">
        <v>45</v>
      </c>
      <c r="C57" s="85"/>
      <c r="D57" s="84"/>
      <c r="E57" s="86"/>
      <c r="F57" s="87"/>
      <c r="G57" s="109"/>
      <c r="H57" s="88"/>
      <c r="I57" s="10"/>
    </row>
    <row r="58" spans="1:9" ht="15.75" hidden="1" customHeight="1">
      <c r="A58" s="22"/>
      <c r="B58" s="84" t="s">
        <v>46</v>
      </c>
      <c r="C58" s="85" t="s">
        <v>93</v>
      </c>
      <c r="D58" s="84" t="s">
        <v>55</v>
      </c>
      <c r="E58" s="86">
        <v>2026.8</v>
      </c>
      <c r="F58" s="88">
        <v>20.268000000000001</v>
      </c>
      <c r="G58" s="10">
        <v>793.61</v>
      </c>
      <c r="H58" s="94">
        <v>16.085000000000001</v>
      </c>
      <c r="I58" s="10">
        <v>0</v>
      </c>
    </row>
    <row r="59" spans="1:9" ht="15.75" customHeight="1">
      <c r="A59" s="22">
        <v>20</v>
      </c>
      <c r="B59" s="84" t="s">
        <v>138</v>
      </c>
      <c r="C59" s="85" t="s">
        <v>25</v>
      </c>
      <c r="D59" s="84" t="s">
        <v>139</v>
      </c>
      <c r="E59" s="86">
        <v>325</v>
      </c>
      <c r="F59" s="87">
        <f>E59*12</f>
        <v>3900</v>
      </c>
      <c r="G59" s="110">
        <v>2.59</v>
      </c>
      <c r="H59" s="88">
        <f>F59*G59/1000</f>
        <v>10.101000000000001</v>
      </c>
      <c r="I59" s="10">
        <f>F59/12*G59</f>
        <v>841.75</v>
      </c>
    </row>
    <row r="60" spans="1:9" ht="15.75" hidden="1" customHeight="1">
      <c r="A60" s="22"/>
      <c r="B60" s="107" t="s">
        <v>159</v>
      </c>
      <c r="C60" s="85"/>
      <c r="D60" s="84"/>
      <c r="E60" s="86"/>
      <c r="F60" s="87"/>
      <c r="G60" s="87"/>
      <c r="H60" s="88" t="s">
        <v>156</v>
      </c>
      <c r="I60" s="10"/>
    </row>
    <row r="61" spans="1:9" ht="15.75" hidden="1" customHeight="1">
      <c r="A61" s="22"/>
      <c r="B61" s="84" t="s">
        <v>171</v>
      </c>
      <c r="C61" s="85" t="s">
        <v>102</v>
      </c>
      <c r="D61" s="84" t="s">
        <v>55</v>
      </c>
      <c r="E61" s="86">
        <v>4</v>
      </c>
      <c r="F61" s="87">
        <f>SUM(E61)</f>
        <v>4</v>
      </c>
      <c r="G61" s="95">
        <v>237.75</v>
      </c>
      <c r="H61" s="88">
        <f t="shared" ref="H61:H79" si="7">SUM(F61*G61/1000)</f>
        <v>0.95099999999999996</v>
      </c>
      <c r="I61" s="10">
        <v>0</v>
      </c>
    </row>
    <row r="62" spans="1:9" ht="15.75" customHeight="1">
      <c r="A62" s="22"/>
      <c r="B62" s="108" t="s">
        <v>47</v>
      </c>
      <c r="C62" s="96"/>
      <c r="D62" s="97"/>
      <c r="E62" s="98"/>
      <c r="F62" s="99"/>
      <c r="G62" s="99"/>
      <c r="H62" s="100" t="s">
        <v>156</v>
      </c>
      <c r="I62" s="10"/>
    </row>
    <row r="63" spans="1:9" ht="15.75" hidden="1" customHeight="1">
      <c r="A63" s="22">
        <v>20</v>
      </c>
      <c r="B63" s="11" t="s">
        <v>48</v>
      </c>
      <c r="C63" s="13" t="s">
        <v>102</v>
      </c>
      <c r="D63" s="11" t="s">
        <v>69</v>
      </c>
      <c r="E63" s="16">
        <v>30</v>
      </c>
      <c r="F63" s="87">
        <v>30</v>
      </c>
      <c r="G63" s="10">
        <v>222.4</v>
      </c>
      <c r="H63" s="82">
        <f t="shared" si="7"/>
        <v>6.6719999999999997</v>
      </c>
      <c r="I63" s="10">
        <f>G63*3</f>
        <v>667.2</v>
      </c>
    </row>
    <row r="64" spans="1:9" ht="15.75" hidden="1" customHeight="1">
      <c r="A64" s="22">
        <v>21</v>
      </c>
      <c r="B64" s="11" t="s">
        <v>49</v>
      </c>
      <c r="C64" s="13" t="s">
        <v>102</v>
      </c>
      <c r="D64" s="11" t="s">
        <v>69</v>
      </c>
      <c r="E64" s="16">
        <v>5</v>
      </c>
      <c r="F64" s="87">
        <v>5</v>
      </c>
      <c r="G64" s="10">
        <v>76.25</v>
      </c>
      <c r="H64" s="82">
        <f t="shared" si="7"/>
        <v>0.38124999999999998</v>
      </c>
      <c r="I64" s="10">
        <f>G64</f>
        <v>76.25</v>
      </c>
    </row>
    <row r="65" spans="1:9" ht="15.75" hidden="1" customHeight="1">
      <c r="A65" s="22"/>
      <c r="B65" s="11" t="s">
        <v>50</v>
      </c>
      <c r="C65" s="13" t="s">
        <v>103</v>
      </c>
      <c r="D65" s="11" t="s">
        <v>55</v>
      </c>
      <c r="E65" s="86">
        <v>24063</v>
      </c>
      <c r="F65" s="10">
        <f>SUM(E65/100)</f>
        <v>240.63</v>
      </c>
      <c r="G65" s="10">
        <v>212.15</v>
      </c>
      <c r="H65" s="82">
        <f t="shared" si="7"/>
        <v>51.049654499999995</v>
      </c>
      <c r="I65" s="10">
        <v>0</v>
      </c>
    </row>
    <row r="66" spans="1:9" ht="15.75" hidden="1" customHeight="1">
      <c r="A66" s="22"/>
      <c r="B66" s="11" t="s">
        <v>51</v>
      </c>
      <c r="C66" s="13" t="s">
        <v>104</v>
      </c>
      <c r="D66" s="11"/>
      <c r="E66" s="86">
        <v>24063</v>
      </c>
      <c r="F66" s="10">
        <f>SUM(E66/1000)</f>
        <v>24.062999999999999</v>
      </c>
      <c r="G66" s="10">
        <v>165.21</v>
      </c>
      <c r="H66" s="82">
        <f t="shared" si="7"/>
        <v>3.97544823</v>
      </c>
      <c r="I66" s="10">
        <v>0</v>
      </c>
    </row>
    <row r="67" spans="1:9" ht="15.75" hidden="1" customHeight="1">
      <c r="A67" s="22"/>
      <c r="B67" s="11" t="s">
        <v>52</v>
      </c>
      <c r="C67" s="13" t="s">
        <v>81</v>
      </c>
      <c r="D67" s="11" t="s">
        <v>55</v>
      </c>
      <c r="E67" s="86">
        <v>2730</v>
      </c>
      <c r="F67" s="10">
        <f>SUM(E67/100)</f>
        <v>27.3</v>
      </c>
      <c r="G67" s="10">
        <v>2074.63</v>
      </c>
      <c r="H67" s="82">
        <f t="shared" si="7"/>
        <v>56.637399000000002</v>
      </c>
      <c r="I67" s="10">
        <v>0</v>
      </c>
    </row>
    <row r="68" spans="1:9" ht="15.75" hidden="1" customHeight="1">
      <c r="A68" s="22"/>
      <c r="B68" s="101" t="s">
        <v>75</v>
      </c>
      <c r="C68" s="13" t="s">
        <v>33</v>
      </c>
      <c r="D68" s="11"/>
      <c r="E68" s="86">
        <v>21.4</v>
      </c>
      <c r="F68" s="10">
        <f>SUM(E68)</f>
        <v>21.4</v>
      </c>
      <c r="G68" s="10">
        <v>45.32</v>
      </c>
      <c r="H68" s="82">
        <f t="shared" si="7"/>
        <v>0.96984799999999993</v>
      </c>
      <c r="I68" s="10">
        <v>0</v>
      </c>
    </row>
    <row r="69" spans="1:9" ht="15.75" hidden="1" customHeight="1">
      <c r="A69" s="22"/>
      <c r="B69" s="101" t="s">
        <v>76</v>
      </c>
      <c r="C69" s="13" t="s">
        <v>33</v>
      </c>
      <c r="D69" s="11"/>
      <c r="E69" s="86">
        <v>21.4</v>
      </c>
      <c r="F69" s="10">
        <f>SUM(E69)</f>
        <v>21.4</v>
      </c>
      <c r="G69" s="10">
        <v>42.28</v>
      </c>
      <c r="H69" s="82">
        <f t="shared" si="7"/>
        <v>0.90479199999999993</v>
      </c>
      <c r="I69" s="10">
        <v>0</v>
      </c>
    </row>
    <row r="70" spans="1:9" ht="15.75" hidden="1" customHeight="1">
      <c r="A70" s="22">
        <v>22</v>
      </c>
      <c r="B70" s="101" t="s">
        <v>133</v>
      </c>
      <c r="C70" s="13"/>
      <c r="D70" s="11"/>
      <c r="E70" s="102"/>
      <c r="F70" s="76">
        <v>1</v>
      </c>
      <c r="G70" s="10">
        <v>5600</v>
      </c>
      <c r="H70" s="82">
        <f t="shared" si="7"/>
        <v>5.6</v>
      </c>
      <c r="I70" s="10">
        <f>F70*G70</f>
        <v>5600</v>
      </c>
    </row>
    <row r="71" spans="1:9" ht="15.75" customHeight="1">
      <c r="A71" s="22">
        <v>21</v>
      </c>
      <c r="B71" s="11" t="s">
        <v>59</v>
      </c>
      <c r="C71" s="13" t="s">
        <v>60</v>
      </c>
      <c r="D71" s="11" t="s">
        <v>55</v>
      </c>
      <c r="E71" s="16">
        <v>10</v>
      </c>
      <c r="F71" s="87">
        <f>SUM(E71)</f>
        <v>10</v>
      </c>
      <c r="G71" s="10">
        <v>49.88</v>
      </c>
      <c r="H71" s="82">
        <f t="shared" si="7"/>
        <v>0.49880000000000002</v>
      </c>
      <c r="I71" s="10">
        <f>F71*G71</f>
        <v>498.8</v>
      </c>
    </row>
    <row r="72" spans="1:9" ht="15.75" customHeight="1">
      <c r="A72" s="22"/>
      <c r="B72" s="70" t="s">
        <v>77</v>
      </c>
      <c r="C72" s="13"/>
      <c r="D72" s="11"/>
      <c r="E72" s="16"/>
      <c r="F72" s="10"/>
      <c r="G72" s="10"/>
      <c r="H72" s="82" t="s">
        <v>156</v>
      </c>
      <c r="I72" s="10"/>
    </row>
    <row r="73" spans="1:9" ht="15.75" customHeight="1">
      <c r="A73" s="22">
        <v>22</v>
      </c>
      <c r="B73" s="11" t="s">
        <v>78</v>
      </c>
      <c r="C73" s="13" t="s">
        <v>79</v>
      </c>
      <c r="D73" s="11"/>
      <c r="E73" s="16">
        <v>160</v>
      </c>
      <c r="F73" s="10">
        <v>16</v>
      </c>
      <c r="G73" s="10">
        <v>501.62</v>
      </c>
      <c r="H73" s="82">
        <f t="shared" si="7"/>
        <v>8.0259199999999993</v>
      </c>
      <c r="I73" s="10">
        <f>G73*4.2</f>
        <v>2106.8040000000001</v>
      </c>
    </row>
    <row r="74" spans="1:9" ht="15.75" hidden="1" customHeight="1">
      <c r="A74" s="22"/>
      <c r="B74" s="11" t="s">
        <v>128</v>
      </c>
      <c r="C74" s="13" t="s">
        <v>102</v>
      </c>
      <c r="D74" s="11"/>
      <c r="E74" s="16">
        <v>1</v>
      </c>
      <c r="F74" s="87">
        <f>SUM(E74)</f>
        <v>1</v>
      </c>
      <c r="G74" s="10">
        <v>358.51</v>
      </c>
      <c r="H74" s="82">
        <f t="shared" si="7"/>
        <v>0.35851</v>
      </c>
      <c r="I74" s="10">
        <v>0</v>
      </c>
    </row>
    <row r="75" spans="1:9" ht="15.75" customHeight="1">
      <c r="A75" s="22">
        <v>23</v>
      </c>
      <c r="B75" s="11" t="s">
        <v>134</v>
      </c>
      <c r="C75" s="13" t="s">
        <v>31</v>
      </c>
      <c r="D75" s="11"/>
      <c r="E75" s="16">
        <v>3</v>
      </c>
      <c r="F75" s="10">
        <v>3</v>
      </c>
      <c r="G75" s="10">
        <v>99.85</v>
      </c>
      <c r="H75" s="82">
        <f>F75*G75/1000</f>
        <v>0.29954999999999993</v>
      </c>
      <c r="I75" s="10">
        <f>G75*(2+2+9)</f>
        <v>1298.05</v>
      </c>
    </row>
    <row r="76" spans="1:9" ht="15.75" customHeight="1">
      <c r="A76" s="22">
        <v>24</v>
      </c>
      <c r="B76" s="11" t="s">
        <v>135</v>
      </c>
      <c r="C76" s="13" t="s">
        <v>31</v>
      </c>
      <c r="D76" s="11"/>
      <c r="E76" s="16">
        <v>2</v>
      </c>
      <c r="F76" s="10">
        <v>2</v>
      </c>
      <c r="G76" s="10">
        <v>120.26</v>
      </c>
      <c r="H76" s="82">
        <f>F76*G76/1000</f>
        <v>0.24052000000000001</v>
      </c>
      <c r="I76" s="10">
        <f>G76</f>
        <v>120.26</v>
      </c>
    </row>
    <row r="77" spans="1:9" ht="15.75" hidden="1" customHeight="1">
      <c r="A77" s="22"/>
      <c r="B77" s="11" t="s">
        <v>127</v>
      </c>
      <c r="C77" s="13" t="s">
        <v>102</v>
      </c>
      <c r="D77" s="11"/>
      <c r="E77" s="16">
        <v>1</v>
      </c>
      <c r="F77" s="87">
        <f>SUM(E77)</f>
        <v>1</v>
      </c>
      <c r="G77" s="10">
        <v>911.85</v>
      </c>
      <c r="H77" s="82">
        <f t="shared" ref="H77" si="8">SUM(F77*G77/1000)</f>
        <v>0.91185000000000005</v>
      </c>
      <c r="I77" s="10">
        <v>0</v>
      </c>
    </row>
    <row r="78" spans="1:9" ht="15.75" hidden="1" customHeight="1">
      <c r="A78" s="22"/>
      <c r="B78" s="104" t="s">
        <v>80</v>
      </c>
      <c r="C78" s="13"/>
      <c r="D78" s="11"/>
      <c r="E78" s="16"/>
      <c r="F78" s="10"/>
      <c r="G78" s="10" t="s">
        <v>156</v>
      </c>
      <c r="H78" s="82" t="s">
        <v>156</v>
      </c>
      <c r="I78" s="10"/>
    </row>
    <row r="79" spans="1:9" ht="15.75" hidden="1" customHeight="1">
      <c r="A79" s="22"/>
      <c r="B79" s="49" t="s">
        <v>107</v>
      </c>
      <c r="C79" s="13" t="s">
        <v>81</v>
      </c>
      <c r="D79" s="11"/>
      <c r="E79" s="16"/>
      <c r="F79" s="10">
        <v>0.6</v>
      </c>
      <c r="G79" s="10">
        <v>2759.44</v>
      </c>
      <c r="H79" s="82">
        <f t="shared" si="7"/>
        <v>1.655664</v>
      </c>
      <c r="I79" s="10">
        <v>0</v>
      </c>
    </row>
    <row r="80" spans="1:9" ht="15.75" hidden="1" customHeight="1">
      <c r="A80" s="22"/>
      <c r="B80" s="70" t="s">
        <v>99</v>
      </c>
      <c r="C80" s="104"/>
      <c r="D80" s="24"/>
      <c r="E80" s="25"/>
      <c r="F80" s="90"/>
      <c r="G80" s="90"/>
      <c r="H80" s="105">
        <f>SUM(H56:H79)</f>
        <v>181.74382075399996</v>
      </c>
      <c r="I80" s="90"/>
    </row>
    <row r="81" spans="1:9" ht="15.75" hidden="1" customHeight="1">
      <c r="A81" s="22"/>
      <c r="B81" s="84" t="s">
        <v>105</v>
      </c>
      <c r="C81" s="13"/>
      <c r="D81" s="11"/>
      <c r="E81" s="77"/>
      <c r="F81" s="10">
        <v>1</v>
      </c>
      <c r="G81" s="10">
        <v>17508</v>
      </c>
      <c r="H81" s="82">
        <f>G81*F81/1000</f>
        <v>17.507999999999999</v>
      </c>
      <c r="I81" s="10">
        <v>0</v>
      </c>
    </row>
    <row r="82" spans="1:9" ht="15.75" customHeight="1">
      <c r="A82" s="153" t="s">
        <v>151</v>
      </c>
      <c r="B82" s="154"/>
      <c r="C82" s="154"/>
      <c r="D82" s="154"/>
      <c r="E82" s="154"/>
      <c r="F82" s="154"/>
      <c r="G82" s="154"/>
      <c r="H82" s="154"/>
      <c r="I82" s="155"/>
    </row>
    <row r="83" spans="1:9" ht="15.75" customHeight="1">
      <c r="A83" s="22">
        <v>25</v>
      </c>
      <c r="B83" s="84" t="s">
        <v>106</v>
      </c>
      <c r="C83" s="13" t="s">
        <v>56</v>
      </c>
      <c r="D83" s="106" t="s">
        <v>57</v>
      </c>
      <c r="E83" s="10">
        <v>4394.8999999999996</v>
      </c>
      <c r="F83" s="10">
        <f>SUM(E83*12)</f>
        <v>52738.799999999996</v>
      </c>
      <c r="G83" s="10">
        <v>2.1</v>
      </c>
      <c r="H83" s="82">
        <f>SUM(F83*G83/1000)</f>
        <v>110.75148</v>
      </c>
      <c r="I83" s="10">
        <f>F83/12*G83</f>
        <v>9229.2899999999991</v>
      </c>
    </row>
    <row r="84" spans="1:9" ht="31.5" customHeight="1">
      <c r="A84" s="22">
        <v>26</v>
      </c>
      <c r="B84" s="11" t="s">
        <v>82</v>
      </c>
      <c r="C84" s="13"/>
      <c r="D84" s="106" t="s">
        <v>57</v>
      </c>
      <c r="E84" s="86">
        <f>E83</f>
        <v>4394.8999999999996</v>
      </c>
      <c r="F84" s="10">
        <f>E84*12</f>
        <v>52738.799999999996</v>
      </c>
      <c r="G84" s="10">
        <v>1.63</v>
      </c>
      <c r="H84" s="82">
        <f>F84*G84/1000</f>
        <v>85.964243999999994</v>
      </c>
      <c r="I84" s="10">
        <f>F84/12*G84</f>
        <v>7163.686999999999</v>
      </c>
    </row>
    <row r="85" spans="1:9" ht="15.75" customHeight="1">
      <c r="A85" s="22"/>
      <c r="B85" s="38" t="s">
        <v>85</v>
      </c>
      <c r="C85" s="104"/>
      <c r="D85" s="103"/>
      <c r="E85" s="90"/>
      <c r="F85" s="90"/>
      <c r="G85" s="90"/>
      <c r="H85" s="105">
        <f>SUM(H84)</f>
        <v>85.964243999999994</v>
      </c>
      <c r="I85" s="90">
        <f>I16+I17+I18+I20+I21+I24+I25+I26+I27+I30+I31+I33+I44+I45+I46+I47+I48+I49+I53+I59+I71+I73+I75+I76+I83+I84</f>
        <v>82867.48606538889</v>
      </c>
    </row>
    <row r="86" spans="1:9" ht="15.75" customHeight="1">
      <c r="A86" s="167" t="s">
        <v>62</v>
      </c>
      <c r="B86" s="168"/>
      <c r="C86" s="168"/>
      <c r="D86" s="168"/>
      <c r="E86" s="168"/>
      <c r="F86" s="168"/>
      <c r="G86" s="168"/>
      <c r="H86" s="168"/>
      <c r="I86" s="169"/>
    </row>
    <row r="87" spans="1:9" ht="15.75" customHeight="1">
      <c r="A87" s="22">
        <v>27</v>
      </c>
      <c r="B87" s="68" t="s">
        <v>182</v>
      </c>
      <c r="C87" s="69" t="s">
        <v>144</v>
      </c>
      <c r="D87" s="112"/>
      <c r="E87" s="31"/>
      <c r="F87" s="31">
        <f>((3+3+3+10+5+10+15+3+10+10+3+15+3+3+10)/3)</f>
        <v>35.333333333333336</v>
      </c>
      <c r="G87" s="31">
        <v>1120.8900000000001</v>
      </c>
      <c r="H87" s="111">
        <f>G87*F87/1000</f>
        <v>39.604780000000005</v>
      </c>
      <c r="I87" s="10">
        <f>G87*2</f>
        <v>2241.7800000000002</v>
      </c>
    </row>
    <row r="88" spans="1:9" ht="15.75" customHeight="1">
      <c r="A88" s="22">
        <v>28</v>
      </c>
      <c r="B88" s="56" t="s">
        <v>137</v>
      </c>
      <c r="C88" s="57" t="s">
        <v>102</v>
      </c>
      <c r="D88" s="49"/>
      <c r="E88" s="10"/>
      <c r="F88" s="10">
        <v>790</v>
      </c>
      <c r="G88" s="10">
        <v>53.42</v>
      </c>
      <c r="H88" s="111">
        <f t="shared" ref="H88:H101" si="9">G88*F88/1000</f>
        <v>42.201800000000006</v>
      </c>
      <c r="I88" s="10">
        <f>G88*79</f>
        <v>4220.18</v>
      </c>
    </row>
    <row r="89" spans="1:9" ht="31.5" customHeight="1">
      <c r="A89" s="22">
        <v>29</v>
      </c>
      <c r="B89" s="56" t="s">
        <v>88</v>
      </c>
      <c r="C89" s="57" t="s">
        <v>39</v>
      </c>
      <c r="D89" s="49"/>
      <c r="E89" s="10"/>
      <c r="F89" s="10">
        <v>0.08</v>
      </c>
      <c r="G89" s="10">
        <v>3581.13</v>
      </c>
      <c r="H89" s="82">
        <f t="shared" si="9"/>
        <v>0.28649040000000003</v>
      </c>
      <c r="I89" s="10">
        <f>G89*(0.03+0.01+0.01+0.01)</f>
        <v>214.86780000000002</v>
      </c>
    </row>
    <row r="90" spans="1:9" ht="31.5" customHeight="1">
      <c r="A90" s="22">
        <v>30</v>
      </c>
      <c r="B90" s="56" t="s">
        <v>84</v>
      </c>
      <c r="C90" s="13" t="s">
        <v>31</v>
      </c>
      <c r="D90" s="49"/>
      <c r="E90" s="10"/>
      <c r="F90" s="10">
        <v>8</v>
      </c>
      <c r="G90" s="10">
        <v>83.36</v>
      </c>
      <c r="H90" s="82">
        <f t="shared" si="9"/>
        <v>0.66688000000000003</v>
      </c>
      <c r="I90" s="10">
        <f>G90*5</f>
        <v>416.8</v>
      </c>
    </row>
    <row r="91" spans="1:9" ht="15.75" customHeight="1">
      <c r="A91" s="22">
        <v>31</v>
      </c>
      <c r="B91" s="56" t="s">
        <v>87</v>
      </c>
      <c r="C91" s="57" t="s">
        <v>102</v>
      </c>
      <c r="D91" s="22"/>
      <c r="E91" s="16"/>
      <c r="F91" s="16">
        <v>13</v>
      </c>
      <c r="G91" s="16">
        <v>189.88</v>
      </c>
      <c r="H91" s="82">
        <f t="shared" si="9"/>
        <v>2.4684400000000002</v>
      </c>
      <c r="I91" s="10">
        <f>G91</f>
        <v>189.88</v>
      </c>
    </row>
    <row r="92" spans="1:9" ht="31.5" customHeight="1">
      <c r="A92" s="22">
        <v>32</v>
      </c>
      <c r="B92" s="56" t="s">
        <v>225</v>
      </c>
      <c r="C92" s="57" t="s">
        <v>226</v>
      </c>
      <c r="D92" s="112"/>
      <c r="E92" s="31"/>
      <c r="F92" s="31">
        <v>4</v>
      </c>
      <c r="G92" s="31">
        <v>663.38</v>
      </c>
      <c r="H92" s="111">
        <f t="shared" si="9"/>
        <v>2.6535199999999999</v>
      </c>
      <c r="I92" s="10">
        <f>G92*3</f>
        <v>1990.1399999999999</v>
      </c>
    </row>
    <row r="93" spans="1:9" ht="15.75" customHeight="1">
      <c r="A93" s="22">
        <v>33</v>
      </c>
      <c r="B93" s="56" t="s">
        <v>231</v>
      </c>
      <c r="C93" s="57" t="s">
        <v>136</v>
      </c>
      <c r="D93" s="112"/>
      <c r="E93" s="31"/>
      <c r="F93" s="31">
        <v>6</v>
      </c>
      <c r="G93" s="10">
        <v>727.73</v>
      </c>
      <c r="H93" s="111">
        <f t="shared" si="9"/>
        <v>4.3663800000000004</v>
      </c>
      <c r="I93" s="10">
        <f t="shared" ref="I93" si="10">G93*3</f>
        <v>2183.19</v>
      </c>
    </row>
    <row r="94" spans="1:9" ht="15.75" customHeight="1">
      <c r="A94" s="22">
        <v>34</v>
      </c>
      <c r="B94" s="56" t="s">
        <v>164</v>
      </c>
      <c r="C94" s="57" t="s">
        <v>102</v>
      </c>
      <c r="D94" s="112"/>
      <c r="E94" s="31"/>
      <c r="F94" s="31">
        <v>10</v>
      </c>
      <c r="G94" s="31">
        <v>62</v>
      </c>
      <c r="H94" s="111">
        <f t="shared" si="9"/>
        <v>0.62</v>
      </c>
      <c r="I94" s="10">
        <f>G94*6</f>
        <v>372</v>
      </c>
    </row>
    <row r="95" spans="1:9" ht="15.75" customHeight="1">
      <c r="A95" s="22">
        <v>35</v>
      </c>
      <c r="B95" s="56" t="s">
        <v>232</v>
      </c>
      <c r="C95" s="57" t="s">
        <v>102</v>
      </c>
      <c r="D95" s="112"/>
      <c r="E95" s="31"/>
      <c r="F95" s="31">
        <v>3</v>
      </c>
      <c r="G95" s="31">
        <v>22</v>
      </c>
      <c r="H95" s="111">
        <f t="shared" si="9"/>
        <v>6.6000000000000003E-2</v>
      </c>
      <c r="I95" s="10">
        <f>G95*3</f>
        <v>66</v>
      </c>
    </row>
    <row r="96" spans="1:9" ht="15.75" customHeight="1">
      <c r="A96" s="22">
        <v>36</v>
      </c>
      <c r="B96" s="56" t="s">
        <v>227</v>
      </c>
      <c r="C96" s="57" t="s">
        <v>102</v>
      </c>
      <c r="D96" s="112"/>
      <c r="E96" s="31"/>
      <c r="F96" s="31">
        <v>3</v>
      </c>
      <c r="G96" s="31">
        <v>75</v>
      </c>
      <c r="H96" s="111">
        <f t="shared" si="9"/>
        <v>0.22500000000000001</v>
      </c>
      <c r="I96" s="10">
        <f t="shared" ref="I96:I99" si="11">G96*3</f>
        <v>225</v>
      </c>
    </row>
    <row r="97" spans="1:9" ht="15.75" customHeight="1">
      <c r="A97" s="22">
        <v>37</v>
      </c>
      <c r="B97" s="81" t="s">
        <v>228</v>
      </c>
      <c r="C97" s="22" t="s">
        <v>102</v>
      </c>
      <c r="D97" s="34"/>
      <c r="E97" s="15"/>
      <c r="F97" s="31">
        <v>5</v>
      </c>
      <c r="G97" s="10">
        <v>45</v>
      </c>
      <c r="H97" s="111">
        <f t="shared" si="9"/>
        <v>0.22500000000000001</v>
      </c>
      <c r="I97" s="10">
        <f t="shared" si="11"/>
        <v>135</v>
      </c>
    </row>
    <row r="98" spans="1:9" ht="15.75" customHeight="1">
      <c r="A98" s="22">
        <v>38</v>
      </c>
      <c r="B98" s="56" t="s">
        <v>233</v>
      </c>
      <c r="C98" s="57" t="s">
        <v>102</v>
      </c>
      <c r="D98" s="112"/>
      <c r="E98" s="31"/>
      <c r="F98" s="31">
        <v>3</v>
      </c>
      <c r="G98" s="31">
        <v>30</v>
      </c>
      <c r="H98" s="111">
        <f t="shared" si="9"/>
        <v>0.09</v>
      </c>
      <c r="I98" s="10">
        <f>G98</f>
        <v>30</v>
      </c>
    </row>
    <row r="99" spans="1:9" ht="15.75" customHeight="1">
      <c r="A99" s="22">
        <v>39</v>
      </c>
      <c r="B99" s="56" t="s">
        <v>229</v>
      </c>
      <c r="C99" s="57" t="s">
        <v>102</v>
      </c>
      <c r="D99" s="112"/>
      <c r="E99" s="31"/>
      <c r="F99" s="31">
        <v>5</v>
      </c>
      <c r="G99" s="31">
        <v>42</v>
      </c>
      <c r="H99" s="111">
        <f t="shared" si="9"/>
        <v>0.21</v>
      </c>
      <c r="I99" s="10">
        <f t="shared" si="11"/>
        <v>126</v>
      </c>
    </row>
    <row r="100" spans="1:9" ht="15.75" customHeight="1">
      <c r="A100" s="22">
        <v>40</v>
      </c>
      <c r="B100" s="113" t="s">
        <v>167</v>
      </c>
      <c r="C100" s="59" t="s">
        <v>168</v>
      </c>
      <c r="D100" s="112"/>
      <c r="E100" s="31"/>
      <c r="F100" s="31">
        <v>28</v>
      </c>
      <c r="G100" s="31">
        <v>143.97999999999999</v>
      </c>
      <c r="H100" s="111">
        <f t="shared" si="9"/>
        <v>4.0314399999999999</v>
      </c>
      <c r="I100" s="10">
        <f>G100*(15+5+2+1+5)</f>
        <v>4031.4399999999996</v>
      </c>
    </row>
    <row r="101" spans="1:9" ht="15.75" customHeight="1">
      <c r="A101" s="22">
        <v>41</v>
      </c>
      <c r="B101" s="113" t="s">
        <v>230</v>
      </c>
      <c r="C101" s="59" t="s">
        <v>102</v>
      </c>
      <c r="D101" s="112"/>
      <c r="E101" s="31"/>
      <c r="F101" s="31">
        <v>1</v>
      </c>
      <c r="G101" s="31">
        <v>1037.95</v>
      </c>
      <c r="H101" s="111">
        <f t="shared" si="9"/>
        <v>1.0379500000000002</v>
      </c>
      <c r="I101" s="10">
        <f>G101</f>
        <v>1037.95</v>
      </c>
    </row>
    <row r="102" spans="1:9">
      <c r="A102" s="22"/>
      <c r="B102" s="45" t="s">
        <v>53</v>
      </c>
      <c r="C102" s="41"/>
      <c r="D102" s="51"/>
      <c r="E102" s="41">
        <v>1</v>
      </c>
      <c r="F102" s="41"/>
      <c r="G102" s="41"/>
      <c r="H102" s="41"/>
      <c r="I102" s="25">
        <f>SUM(I87:I101)</f>
        <v>17480.227800000001</v>
      </c>
    </row>
    <row r="103" spans="1:9" ht="15.75" customHeight="1">
      <c r="A103" s="22"/>
      <c r="B103" s="49" t="s">
        <v>83</v>
      </c>
      <c r="C103" s="12"/>
      <c r="D103" s="12"/>
      <c r="E103" s="42"/>
      <c r="F103" s="42"/>
      <c r="G103" s="43"/>
      <c r="H103" s="43"/>
      <c r="I103" s="15">
        <v>0</v>
      </c>
    </row>
    <row r="104" spans="1:9" ht="15.75" customHeight="1">
      <c r="A104" s="52"/>
      <c r="B104" s="46" t="s">
        <v>192</v>
      </c>
      <c r="C104" s="30"/>
      <c r="D104" s="30"/>
      <c r="E104" s="30"/>
      <c r="F104" s="30"/>
      <c r="G104" s="30"/>
      <c r="H104" s="30"/>
      <c r="I104" s="44">
        <f>I85+I102</f>
        <v>100347.71386538888</v>
      </c>
    </row>
    <row r="105" spans="1:9" ht="15.75">
      <c r="A105" s="166" t="s">
        <v>234</v>
      </c>
      <c r="B105" s="166"/>
      <c r="C105" s="166"/>
      <c r="D105" s="166"/>
      <c r="E105" s="166"/>
      <c r="F105" s="166"/>
      <c r="G105" s="166"/>
      <c r="H105" s="166"/>
      <c r="I105" s="166"/>
    </row>
    <row r="106" spans="1:9" ht="15.75" customHeight="1">
      <c r="A106" s="67"/>
      <c r="B106" s="161" t="s">
        <v>235</v>
      </c>
      <c r="C106" s="161"/>
      <c r="D106" s="161"/>
      <c r="E106" s="161"/>
      <c r="F106" s="161"/>
      <c r="G106" s="161"/>
      <c r="H106" s="80"/>
      <c r="I106" s="2"/>
    </row>
    <row r="107" spans="1:9" ht="15.75" customHeight="1">
      <c r="A107" s="71"/>
      <c r="B107" s="157" t="s">
        <v>6</v>
      </c>
      <c r="C107" s="157"/>
      <c r="D107" s="157"/>
      <c r="E107" s="157"/>
      <c r="F107" s="157"/>
      <c r="G107" s="157"/>
      <c r="H107" s="17"/>
      <c r="I107" s="4"/>
    </row>
    <row r="108" spans="1:9" ht="15.75" customHeight="1">
      <c r="A108" s="7"/>
      <c r="B108" s="7"/>
      <c r="C108" s="7"/>
      <c r="D108" s="7"/>
      <c r="E108" s="7"/>
      <c r="F108" s="7"/>
      <c r="G108" s="7"/>
      <c r="H108" s="7"/>
      <c r="I108" s="7"/>
    </row>
    <row r="109" spans="1:9" ht="15.75" customHeight="1">
      <c r="A109" s="162" t="s">
        <v>7</v>
      </c>
      <c r="B109" s="162"/>
      <c r="C109" s="162"/>
      <c r="D109" s="162"/>
      <c r="E109" s="162"/>
      <c r="F109" s="162"/>
      <c r="G109" s="162"/>
      <c r="H109" s="162"/>
      <c r="I109" s="162"/>
    </row>
    <row r="110" spans="1:9" ht="15.75" customHeight="1">
      <c r="A110" s="162" t="s">
        <v>8</v>
      </c>
      <c r="B110" s="162"/>
      <c r="C110" s="162"/>
      <c r="D110" s="162"/>
      <c r="E110" s="162"/>
      <c r="F110" s="162"/>
      <c r="G110" s="162"/>
      <c r="H110" s="162"/>
      <c r="I110" s="162"/>
    </row>
    <row r="111" spans="1:9" ht="15.75">
      <c r="A111" s="163" t="s">
        <v>63</v>
      </c>
      <c r="B111" s="163"/>
      <c r="C111" s="163"/>
      <c r="D111" s="163"/>
      <c r="E111" s="163"/>
      <c r="F111" s="163"/>
      <c r="G111" s="163"/>
      <c r="H111" s="163"/>
      <c r="I111" s="163"/>
    </row>
    <row r="112" spans="1:9" ht="15.75" customHeight="1">
      <c r="A112" s="8"/>
    </row>
    <row r="113" spans="1:9" ht="15.75">
      <c r="A113" s="164" t="s">
        <v>9</v>
      </c>
      <c r="B113" s="164"/>
      <c r="C113" s="164"/>
      <c r="D113" s="164"/>
      <c r="E113" s="164"/>
      <c r="F113" s="164"/>
      <c r="G113" s="164"/>
      <c r="H113" s="164"/>
      <c r="I113" s="164"/>
    </row>
    <row r="114" spans="1:9" ht="15.75" customHeight="1">
      <c r="A114" s="3"/>
    </row>
    <row r="115" spans="1:9" ht="15.75">
      <c r="B115" s="74" t="s">
        <v>10</v>
      </c>
      <c r="C115" s="156" t="s">
        <v>150</v>
      </c>
      <c r="D115" s="156"/>
      <c r="E115" s="156"/>
      <c r="F115" s="78"/>
      <c r="I115" s="75"/>
    </row>
    <row r="116" spans="1:9">
      <c r="A116" s="71"/>
      <c r="C116" s="157" t="s">
        <v>11</v>
      </c>
      <c r="D116" s="157"/>
      <c r="E116" s="157"/>
      <c r="F116" s="17"/>
      <c r="I116" s="73" t="s">
        <v>12</v>
      </c>
    </row>
    <row r="117" spans="1:9" ht="15.75">
      <c r="A117" s="18"/>
      <c r="C117" s="9"/>
      <c r="D117" s="9"/>
      <c r="G117" s="9"/>
      <c r="H117" s="9"/>
    </row>
    <row r="118" spans="1:9" ht="15.75" customHeight="1">
      <c r="B118" s="74" t="s">
        <v>13</v>
      </c>
      <c r="C118" s="158"/>
      <c r="D118" s="158"/>
      <c r="E118" s="158"/>
      <c r="F118" s="79"/>
      <c r="I118" s="75"/>
    </row>
    <row r="119" spans="1:9" ht="15.75" customHeight="1">
      <c r="A119" s="71"/>
      <c r="C119" s="159" t="s">
        <v>11</v>
      </c>
      <c r="D119" s="159"/>
      <c r="E119" s="159"/>
      <c r="F119" s="71"/>
      <c r="I119" s="73" t="s">
        <v>12</v>
      </c>
    </row>
    <row r="120" spans="1:9" ht="15.75" customHeight="1">
      <c r="A120" s="3" t="s">
        <v>14</v>
      </c>
    </row>
    <row r="121" spans="1:9">
      <c r="A121" s="160" t="s">
        <v>15</v>
      </c>
      <c r="B121" s="160"/>
      <c r="C121" s="160"/>
      <c r="D121" s="160"/>
      <c r="E121" s="160"/>
      <c r="F121" s="160"/>
      <c r="G121" s="160"/>
      <c r="H121" s="160"/>
      <c r="I121" s="160"/>
    </row>
    <row r="122" spans="1:9" ht="45" customHeight="1">
      <c r="A122" s="152" t="s">
        <v>16</v>
      </c>
      <c r="B122" s="152"/>
      <c r="C122" s="152"/>
      <c r="D122" s="152"/>
      <c r="E122" s="152"/>
      <c r="F122" s="152"/>
      <c r="G122" s="152"/>
      <c r="H122" s="152"/>
      <c r="I122" s="152"/>
    </row>
    <row r="123" spans="1:9" ht="30" customHeight="1">
      <c r="A123" s="152" t="s">
        <v>17</v>
      </c>
      <c r="B123" s="152"/>
      <c r="C123" s="152"/>
      <c r="D123" s="152"/>
      <c r="E123" s="152"/>
      <c r="F123" s="152"/>
      <c r="G123" s="152"/>
      <c r="H123" s="152"/>
      <c r="I123" s="152"/>
    </row>
    <row r="124" spans="1:9" ht="30" customHeight="1">
      <c r="A124" s="152" t="s">
        <v>21</v>
      </c>
      <c r="B124" s="152"/>
      <c r="C124" s="152"/>
      <c r="D124" s="152"/>
      <c r="E124" s="152"/>
      <c r="F124" s="152"/>
      <c r="G124" s="152"/>
      <c r="H124" s="152"/>
      <c r="I124" s="152"/>
    </row>
    <row r="125" spans="1:9" ht="15" customHeight="1">
      <c r="A125" s="152" t="s">
        <v>20</v>
      </c>
      <c r="B125" s="152"/>
      <c r="C125" s="152"/>
      <c r="D125" s="152"/>
      <c r="E125" s="152"/>
      <c r="F125" s="152"/>
      <c r="G125" s="152"/>
      <c r="H125" s="152"/>
      <c r="I125" s="152"/>
    </row>
  </sheetData>
  <mergeCells count="28">
    <mergeCell ref="A123:I123"/>
    <mergeCell ref="A124:I124"/>
    <mergeCell ref="A125:I125"/>
    <mergeCell ref="C115:E115"/>
    <mergeCell ref="C116:E116"/>
    <mergeCell ref="C118:E118"/>
    <mergeCell ref="C119:E119"/>
    <mergeCell ref="A121:I121"/>
    <mergeCell ref="A122:I122"/>
    <mergeCell ref="A113:I113"/>
    <mergeCell ref="A15:I15"/>
    <mergeCell ref="A28:I28"/>
    <mergeCell ref="A43:I43"/>
    <mergeCell ref="A54:I54"/>
    <mergeCell ref="A82:I82"/>
    <mergeCell ref="A105:I105"/>
    <mergeCell ref="B106:G106"/>
    <mergeCell ref="B107:G107"/>
    <mergeCell ref="A109:I109"/>
    <mergeCell ref="A110:I110"/>
    <mergeCell ref="A111:I111"/>
    <mergeCell ref="A86:I86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14</vt:i4>
      </vt:variant>
    </vt:vector>
  </HeadingPairs>
  <TitlesOfParts>
    <vt:vector size="26" baseType="lpstr"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09.17</vt:lpstr>
      <vt:lpstr>10.17</vt:lpstr>
      <vt:lpstr>11.17</vt:lpstr>
      <vt:lpstr>12.17</vt:lpstr>
      <vt:lpstr>'10.17'!Заголовки_для_печати</vt:lpstr>
      <vt:lpstr>'11.17'!Заголовки_для_печати</vt:lpstr>
      <vt:lpstr>'01.17'!Область_печати</vt:lpstr>
      <vt:lpstr>'02.17'!Область_печати</vt:lpstr>
      <vt:lpstr>'03.17'!Область_печати</vt:lpstr>
      <vt:lpstr>'04.17'!Область_печати</vt:lpstr>
      <vt:lpstr>'05.17'!Область_печати</vt:lpstr>
      <vt:lpstr>'06.17'!Область_печати</vt:lpstr>
      <vt:lpstr>'07.17'!Область_печати</vt:lpstr>
      <vt:lpstr>'08.17'!Область_печати</vt:lpstr>
      <vt:lpstr>'09.17'!Область_печати</vt:lpstr>
      <vt:lpstr>'10.17'!Область_печати</vt:lpstr>
      <vt:lpstr>'11.17'!Область_печати</vt:lpstr>
      <vt:lpstr>'12.17'!Область_печати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2018-04-27T07:38:05Z</cp:lastPrinted>
  <dcterms:created xsi:type="dcterms:W3CDTF">2016-03-25T08:33:47Z</dcterms:created>
  <dcterms:modified xsi:type="dcterms:W3CDTF">2018-04-27T07:38:06Z</dcterms:modified>
</cp:coreProperties>
</file>