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45" windowWidth="15480" windowHeight="8145" activeTab="11"/>
  </bookViews>
  <sheets>
    <sheet name="01.20" sheetId="17" r:id="rId1"/>
    <sheet name="02.20" sheetId="18" r:id="rId2"/>
    <sheet name="03.20" sheetId="19" r:id="rId3"/>
    <sheet name="04.20" sheetId="20" r:id="rId4"/>
    <sheet name="05.20" sheetId="21" r:id="rId5"/>
    <sheet name="06.20" sheetId="22" r:id="rId6"/>
    <sheet name="07.20" sheetId="23" r:id="rId7"/>
    <sheet name="08.20" sheetId="24" r:id="rId8"/>
    <sheet name="09.20" sheetId="25" r:id="rId9"/>
    <sheet name="10.20" sheetId="26" r:id="rId10"/>
    <sheet name="11.20" sheetId="27" r:id="rId11"/>
    <sheet name="12.20" sheetId="28" r:id="rId12"/>
  </sheets>
  <definedNames>
    <definedName name="_xlnm._FilterDatabase" localSheetId="0" hidden="1">'01.20'!$I$12:$I$56</definedName>
    <definedName name="_xlnm._FilterDatabase" localSheetId="1" hidden="1">'02.20'!$I$12:$I$58</definedName>
    <definedName name="_xlnm._FilterDatabase" localSheetId="2" hidden="1">'03.20'!$I$12:$I$58</definedName>
    <definedName name="_xlnm._FilterDatabase" localSheetId="3" hidden="1">'04.20'!$I$12:$I$57</definedName>
    <definedName name="_xlnm._FilterDatabase" localSheetId="4" hidden="1">'05.20'!$I$12:$I$56</definedName>
    <definedName name="_xlnm._FilterDatabase" localSheetId="5" hidden="1">'06.20'!$I$12:$I$56</definedName>
    <definedName name="_xlnm._FilterDatabase" localSheetId="6" hidden="1">'07.20'!$I$12:$I$56</definedName>
    <definedName name="_xlnm._FilterDatabase" localSheetId="7" hidden="1">'08.20'!$I$12:$I$56</definedName>
    <definedName name="_xlnm._FilterDatabase" localSheetId="8" hidden="1">'09.20'!$I$12:$I$56</definedName>
    <definedName name="_xlnm._FilterDatabase" localSheetId="9" hidden="1">'10.20'!$I$12:$I$56</definedName>
    <definedName name="_xlnm._FilterDatabase" localSheetId="10" hidden="1">'11.20'!$I$12:$I$59</definedName>
    <definedName name="_xlnm._FilterDatabase" localSheetId="11" hidden="1">'12.20'!$I$12:$I$59</definedName>
    <definedName name="_xlnm.Print_Area" localSheetId="0">'01.20'!$A$1:$I$117</definedName>
    <definedName name="_xlnm.Print_Area" localSheetId="1">'02.20'!$A$1:$I$111</definedName>
    <definedName name="_xlnm.Print_Area" localSheetId="2">'03.20'!$A$1:$I$113</definedName>
    <definedName name="_xlnm.Print_Area" localSheetId="3">'04.20'!$A$1:$I$113</definedName>
    <definedName name="_xlnm.Print_Area" localSheetId="4">'05.20'!$A$1:$I$107</definedName>
    <definedName name="_xlnm.Print_Area" localSheetId="5">'06.20'!$A$1:$I$109</definedName>
    <definedName name="_xlnm.Print_Area" localSheetId="6">'07.20'!$A$1:$I$112</definedName>
    <definedName name="_xlnm.Print_Area" localSheetId="7">'08.20'!$A$1:$I$119</definedName>
    <definedName name="_xlnm.Print_Area" localSheetId="9">'10.20'!$A$1:$I$106</definedName>
    <definedName name="_xlnm.Print_Area" localSheetId="10">'11.20'!$A$1:$I$122</definedName>
    <definedName name="_xlnm.Print_Area" localSheetId="11">'12.20'!$A$1:$I$119</definedName>
  </definedNames>
  <calcPr calcId="124519"/>
</workbook>
</file>

<file path=xl/calcChain.xml><?xml version="1.0" encoding="utf-8"?>
<calcChain xmlns="http://schemas.openxmlformats.org/spreadsheetml/2006/main">
  <c r="I92" i="25"/>
  <c r="I91"/>
  <c r="I54" i="28" l="1"/>
  <c r="I85"/>
  <c r="I96"/>
  <c r="I95"/>
  <c r="I94"/>
  <c r="I93"/>
  <c r="I92"/>
  <c r="I91"/>
  <c r="I90"/>
  <c r="I89"/>
  <c r="I88"/>
  <c r="I87"/>
  <c r="E84"/>
  <c r="F84" s="1"/>
  <c r="F83"/>
  <c r="H83" s="1"/>
  <c r="I77"/>
  <c r="I74"/>
  <c r="I57"/>
  <c r="I71"/>
  <c r="F71"/>
  <c r="I37"/>
  <c r="F44"/>
  <c r="I44" s="1"/>
  <c r="I43"/>
  <c r="H43"/>
  <c r="F42"/>
  <c r="I42" s="1"/>
  <c r="F41"/>
  <c r="I41" s="1"/>
  <c r="F40"/>
  <c r="I40" s="1"/>
  <c r="H39"/>
  <c r="H38"/>
  <c r="F38"/>
  <c r="I38" s="1"/>
  <c r="H37"/>
  <c r="F25"/>
  <c r="H25" s="1"/>
  <c r="F24"/>
  <c r="H24" s="1"/>
  <c r="H23"/>
  <c r="F23"/>
  <c r="H22"/>
  <c r="F22"/>
  <c r="H21"/>
  <c r="F21"/>
  <c r="H20"/>
  <c r="F20"/>
  <c r="H19"/>
  <c r="F19"/>
  <c r="F18"/>
  <c r="I18" s="1"/>
  <c r="E18"/>
  <c r="F17"/>
  <c r="I17" s="1"/>
  <c r="F16"/>
  <c r="I16" s="1"/>
  <c r="H16" l="1"/>
  <c r="H40"/>
  <c r="H84"/>
  <c r="I84"/>
  <c r="I83"/>
  <c r="H42"/>
  <c r="H41"/>
  <c r="H17"/>
  <c r="H18"/>
  <c r="I25"/>
  <c r="I25" i="27" l="1"/>
  <c r="I86" s="1"/>
  <c r="I99"/>
  <c r="I98"/>
  <c r="I97"/>
  <c r="I96"/>
  <c r="I95"/>
  <c r="I94"/>
  <c r="I93"/>
  <c r="I92"/>
  <c r="I91"/>
  <c r="I90"/>
  <c r="I89"/>
  <c r="I88"/>
  <c r="I85"/>
  <c r="F85"/>
  <c r="E84"/>
  <c r="F84" s="1"/>
  <c r="F83"/>
  <c r="I71"/>
  <c r="F71"/>
  <c r="I77"/>
  <c r="I74"/>
  <c r="F44"/>
  <c r="I44" s="1"/>
  <c r="F42"/>
  <c r="F41"/>
  <c r="F40"/>
  <c r="F38"/>
  <c r="F25"/>
  <c r="E18"/>
  <c r="F18" s="1"/>
  <c r="I18" s="1"/>
  <c r="F17"/>
  <c r="F16"/>
  <c r="I79" i="26"/>
  <c r="I83"/>
  <c r="I82"/>
  <c r="I81"/>
  <c r="I69"/>
  <c r="I59"/>
  <c r="I90" i="25" l="1"/>
  <c r="I86"/>
  <c r="I89" l="1"/>
  <c r="I88"/>
  <c r="I87"/>
  <c r="I85"/>
  <c r="I84"/>
  <c r="I83"/>
  <c r="I82"/>
  <c r="I81"/>
  <c r="I69"/>
  <c r="I59"/>
  <c r="I86" i="24"/>
  <c r="I95"/>
  <c r="I94"/>
  <c r="I93"/>
  <c r="I92"/>
  <c r="I91"/>
  <c r="I90"/>
  <c r="I89"/>
  <c r="I88"/>
  <c r="I87"/>
  <c r="I85"/>
  <c r="I84"/>
  <c r="I83"/>
  <c r="I82"/>
  <c r="I81"/>
  <c r="I96" s="1"/>
  <c r="I69"/>
  <c r="I81" i="19"/>
  <c r="I79" i="23" l="1"/>
  <c r="I89"/>
  <c r="I88"/>
  <c r="I87"/>
  <c r="I86"/>
  <c r="I85"/>
  <c r="I84"/>
  <c r="I83"/>
  <c r="I82"/>
  <c r="I81"/>
  <c r="I69"/>
  <c r="I90" i="19"/>
  <c r="I89"/>
  <c r="I79" i="22"/>
  <c r="I86"/>
  <c r="I85"/>
  <c r="I81"/>
  <c r="I69"/>
  <c r="I90" i="20" l="1"/>
  <c r="I89"/>
  <c r="I79" i="21"/>
  <c r="I84"/>
  <c r="I83"/>
  <c r="I82"/>
  <c r="I81"/>
  <c r="F81"/>
  <c r="I82" i="20" l="1"/>
  <c r="I80"/>
  <c r="I88"/>
  <c r="I87"/>
  <c r="I86"/>
  <c r="I85"/>
  <c r="I84"/>
  <c r="I83"/>
  <c r="F82"/>
  <c r="I70"/>
  <c r="I55"/>
  <c r="I71" i="19"/>
  <c r="I88" l="1"/>
  <c r="I87"/>
  <c r="I86"/>
  <c r="I85"/>
  <c r="I84"/>
  <c r="I83"/>
  <c r="I56"/>
  <c r="I43"/>
  <c r="I37"/>
  <c r="I56" i="18"/>
  <c r="I81" l="1"/>
  <c r="I88"/>
  <c r="I87"/>
  <c r="I86"/>
  <c r="I85"/>
  <c r="I84"/>
  <c r="I83"/>
  <c r="I71"/>
  <c r="I37"/>
  <c r="I86" i="17" l="1"/>
  <c r="I79"/>
  <c r="I94"/>
  <c r="I93"/>
  <c r="I92"/>
  <c r="I91"/>
  <c r="I90"/>
  <c r="I89"/>
  <c r="I88"/>
  <c r="I87"/>
  <c r="I85"/>
  <c r="I84"/>
  <c r="I83"/>
  <c r="I82"/>
  <c r="I81"/>
  <c r="F93"/>
  <c r="I69"/>
  <c r="I59"/>
  <c r="I54"/>
  <c r="I36"/>
  <c r="I57" i="27"/>
  <c r="I37"/>
  <c r="H25"/>
  <c r="F24"/>
  <c r="H24" s="1"/>
  <c r="F23"/>
  <c r="H23" s="1"/>
  <c r="F22"/>
  <c r="H22" s="1"/>
  <c r="F21"/>
  <c r="H21" s="1"/>
  <c r="F20"/>
  <c r="H20" s="1"/>
  <c r="F19"/>
  <c r="H19" s="1"/>
  <c r="I17"/>
  <c r="H16"/>
  <c r="H17" l="1"/>
  <c r="H18"/>
  <c r="I16"/>
  <c r="I31" i="26" l="1"/>
  <c r="H31"/>
  <c r="F30"/>
  <c r="H30" s="1"/>
  <c r="F29"/>
  <c r="I29" s="1"/>
  <c r="F28"/>
  <c r="H28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31" i="25"/>
  <c r="H31"/>
  <c r="F30"/>
  <c r="H30" s="1"/>
  <c r="F29"/>
  <c r="I29" s="1"/>
  <c r="F28"/>
  <c r="H28" s="1"/>
  <c r="F25"/>
  <c r="H25" s="1"/>
  <c r="E18"/>
  <c r="F18" s="1"/>
  <c r="F17"/>
  <c r="I17" s="1"/>
  <c r="F16"/>
  <c r="I16" s="1"/>
  <c r="I31" i="24"/>
  <c r="H31"/>
  <c r="F30"/>
  <c r="H30" s="1"/>
  <c r="F29"/>
  <c r="I29" s="1"/>
  <c r="F28"/>
  <c r="H28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5" i="23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5" i="22"/>
  <c r="H25" s="1"/>
  <c r="F24"/>
  <c r="F23"/>
  <c r="F22"/>
  <c r="F21"/>
  <c r="F20"/>
  <c r="F19"/>
  <c r="E18"/>
  <c r="F18" s="1"/>
  <c r="F17"/>
  <c r="I17" s="1"/>
  <c r="F16"/>
  <c r="I16" s="1"/>
  <c r="F25" i="21"/>
  <c r="H25" s="1"/>
  <c r="F25" i="20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5" i="19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5" i="18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5" i="17"/>
  <c r="H20" i="22" l="1"/>
  <c r="I20"/>
  <c r="H22"/>
  <c r="I22"/>
  <c r="H24"/>
  <c r="I24"/>
  <c r="H19"/>
  <c r="I19"/>
  <c r="H21"/>
  <c r="I21"/>
  <c r="H23"/>
  <c r="I23"/>
  <c r="H17" i="19"/>
  <c r="H17" i="18"/>
  <c r="H17" i="26"/>
  <c r="H29"/>
  <c r="I28"/>
  <c r="I30"/>
  <c r="I18"/>
  <c r="H18"/>
  <c r="I16"/>
  <c r="I25"/>
  <c r="H17" i="25"/>
  <c r="H29"/>
  <c r="I28"/>
  <c r="I30"/>
  <c r="I25"/>
  <c r="H18"/>
  <c r="I18"/>
  <c r="H16"/>
  <c r="H17" i="24"/>
  <c r="H29"/>
  <c r="I28"/>
  <c r="I30"/>
  <c r="I18"/>
  <c r="H18"/>
  <c r="I16"/>
  <c r="I25"/>
  <c r="H17" i="23"/>
  <c r="I18"/>
  <c r="H18"/>
  <c r="I16"/>
  <c r="I25"/>
  <c r="H16" i="22"/>
  <c r="I18"/>
  <c r="H18"/>
  <c r="H17"/>
  <c r="I25"/>
  <c r="I25" i="21"/>
  <c r="I18" i="20"/>
  <c r="H18"/>
  <c r="I16"/>
  <c r="I25"/>
  <c r="I18" i="19"/>
  <c r="H18"/>
  <c r="I16"/>
  <c r="I25"/>
  <c r="I18" i="18"/>
  <c r="H18"/>
  <c r="I16"/>
  <c r="I25"/>
  <c r="I69" i="21" l="1"/>
  <c r="I50"/>
  <c r="I38" i="20"/>
  <c r="I36"/>
  <c r="I77" i="19"/>
  <c r="I61"/>
  <c r="I73"/>
  <c r="I71" i="17" l="1"/>
  <c r="I43" i="27" l="1"/>
  <c r="I62"/>
  <c r="I54" i="26" l="1"/>
  <c r="I50"/>
  <c r="I51" i="20" l="1"/>
  <c r="F55"/>
  <c r="H55" s="1"/>
  <c r="I42"/>
  <c r="H83" i="19"/>
  <c r="F59"/>
  <c r="I43" i="18"/>
  <c r="I42" i="17"/>
  <c r="H84" i="18" l="1"/>
  <c r="H83"/>
  <c r="F59"/>
  <c r="H59" s="1"/>
  <c r="H84" i="17"/>
  <c r="H83"/>
  <c r="H82"/>
  <c r="H81"/>
  <c r="F57"/>
  <c r="H57" s="1"/>
  <c r="I59" i="18" l="1"/>
  <c r="H84" i="22" l="1"/>
  <c r="I81" i="28"/>
  <c r="H81"/>
  <c r="H79"/>
  <c r="H76"/>
  <c r="H75"/>
  <c r="H74"/>
  <c r="H73"/>
  <c r="F73"/>
  <c r="H69"/>
  <c r="F68"/>
  <c r="H68" s="1"/>
  <c r="F67"/>
  <c r="H67" s="1"/>
  <c r="F66"/>
  <c r="H66" s="1"/>
  <c r="F65"/>
  <c r="H65" s="1"/>
  <c r="F64"/>
  <c r="H64" s="1"/>
  <c r="H63"/>
  <c r="I62"/>
  <c r="H62"/>
  <c r="F60"/>
  <c r="H60" s="1"/>
  <c r="H59"/>
  <c r="F57"/>
  <c r="H57" s="1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35"/>
  <c r="H34"/>
  <c r="H33"/>
  <c r="F33"/>
  <c r="I33" s="1"/>
  <c r="I32"/>
  <c r="H32"/>
  <c r="F31"/>
  <c r="H31" s="1"/>
  <c r="F30"/>
  <c r="I30" s="1"/>
  <c r="F29"/>
  <c r="H29" s="1"/>
  <c r="F26"/>
  <c r="I26" s="1"/>
  <c r="H83" i="27"/>
  <c r="H81"/>
  <c r="H79"/>
  <c r="H76"/>
  <c r="H75"/>
  <c r="H74"/>
  <c r="F73"/>
  <c r="H73" s="1"/>
  <c r="H69"/>
  <c r="F68"/>
  <c r="H68" s="1"/>
  <c r="F67"/>
  <c r="H67" s="1"/>
  <c r="F66"/>
  <c r="H66" s="1"/>
  <c r="F65"/>
  <c r="H65" s="1"/>
  <c r="F64"/>
  <c r="H64" s="1"/>
  <c r="H63"/>
  <c r="H62"/>
  <c r="F60"/>
  <c r="H60" s="1"/>
  <c r="H59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43"/>
  <c r="I41"/>
  <c r="H40"/>
  <c r="H39"/>
  <c r="H38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H81" i="26"/>
  <c r="H42" i="27" l="1"/>
  <c r="I42"/>
  <c r="H80" i="28"/>
  <c r="H85"/>
  <c r="H26"/>
  <c r="I29"/>
  <c r="H30"/>
  <c r="I31"/>
  <c r="H50"/>
  <c r="I60"/>
  <c r="H84" i="27"/>
  <c r="H86" s="1"/>
  <c r="I84"/>
  <c r="H80"/>
  <c r="H26"/>
  <c r="I29"/>
  <c r="H30"/>
  <c r="I31"/>
  <c r="I38"/>
  <c r="I40"/>
  <c r="H41"/>
  <c r="H50"/>
  <c r="I60"/>
  <c r="I83"/>
  <c r="I101" l="1"/>
  <c r="I98" i="28"/>
  <c r="H81" i="25" l="1"/>
  <c r="H81" i="24"/>
  <c r="H81" i="23"/>
  <c r="H81" i="22"/>
  <c r="H81" i="21"/>
  <c r="H86" i="20"/>
  <c r="H85"/>
  <c r="H84"/>
  <c r="H83"/>
  <c r="H82"/>
  <c r="I61" i="18"/>
  <c r="E78" i="26" l="1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I57" s="1"/>
  <c r="H56"/>
  <c r="F54"/>
  <c r="I51"/>
  <c r="F51"/>
  <c r="H51" s="1"/>
  <c r="H50"/>
  <c r="F49"/>
  <c r="F48"/>
  <c r="F47"/>
  <c r="H47" s="1"/>
  <c r="F46"/>
  <c r="H46" s="1"/>
  <c r="F45"/>
  <c r="H45" s="1"/>
  <c r="F44"/>
  <c r="H44" s="1"/>
  <c r="F43"/>
  <c r="H43" s="1"/>
  <c r="I41"/>
  <c r="H41"/>
  <c r="F40"/>
  <c r="I40" s="1"/>
  <c r="F39"/>
  <c r="I39" s="1"/>
  <c r="F38"/>
  <c r="I38" s="1"/>
  <c r="H37"/>
  <c r="F36"/>
  <c r="I36" s="1"/>
  <c r="I35"/>
  <c r="H35"/>
  <c r="H33"/>
  <c r="H32"/>
  <c r="I66" i="25"/>
  <c r="I50"/>
  <c r="E78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H57" s="1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F24"/>
  <c r="H24" s="1"/>
  <c r="F23"/>
  <c r="H23" s="1"/>
  <c r="F22"/>
  <c r="H22" s="1"/>
  <c r="F21"/>
  <c r="H21" s="1"/>
  <c r="F20"/>
  <c r="H20" s="1"/>
  <c r="F19"/>
  <c r="H19" s="1"/>
  <c r="E78" i="24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E78" i="23"/>
  <c r="F78" s="1"/>
  <c r="I78" s="1"/>
  <c r="F77"/>
  <c r="I77" s="1"/>
  <c r="H75"/>
  <c r="H73"/>
  <c r="H71"/>
  <c r="H70"/>
  <c r="H69"/>
  <c r="F68"/>
  <c r="H68" s="1"/>
  <c r="H66"/>
  <c r="F65"/>
  <c r="F64"/>
  <c r="F63"/>
  <c r="F62"/>
  <c r="F61"/>
  <c r="H60"/>
  <c r="H59"/>
  <c r="F57"/>
  <c r="H57" s="1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I31"/>
  <c r="H31"/>
  <c r="F30"/>
  <c r="H30" s="1"/>
  <c r="F29"/>
  <c r="I29" s="1"/>
  <c r="F28"/>
  <c r="H28" s="1"/>
  <c r="E78" i="22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H57" s="1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I31"/>
  <c r="H31"/>
  <c r="F30"/>
  <c r="H30" s="1"/>
  <c r="F29"/>
  <c r="I29" s="1"/>
  <c r="F28"/>
  <c r="H28" s="1"/>
  <c r="E78" i="21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I57" s="1"/>
  <c r="H56"/>
  <c r="F54"/>
  <c r="I54" s="1"/>
  <c r="I51"/>
  <c r="F51"/>
  <c r="H51" s="1"/>
  <c r="H50"/>
  <c r="F49"/>
  <c r="F48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I31"/>
  <c r="H31"/>
  <c r="F30"/>
  <c r="H30" s="1"/>
  <c r="F29"/>
  <c r="I29" s="1"/>
  <c r="F28"/>
  <c r="H28" s="1"/>
  <c r="F24"/>
  <c r="H24" s="1"/>
  <c r="F23"/>
  <c r="H23" s="1"/>
  <c r="F22"/>
  <c r="H22" s="1"/>
  <c r="F21"/>
  <c r="H21" s="1"/>
  <c r="F20"/>
  <c r="H20" s="1"/>
  <c r="F19"/>
  <c r="E18"/>
  <c r="F18" s="1"/>
  <c r="F17"/>
  <c r="I17" s="1"/>
  <c r="F16"/>
  <c r="H16" s="1"/>
  <c r="H62" i="23" l="1"/>
  <c r="I62"/>
  <c r="H64"/>
  <c r="I64"/>
  <c r="H61"/>
  <c r="I61"/>
  <c r="H63"/>
  <c r="I63"/>
  <c r="H65"/>
  <c r="I65"/>
  <c r="H49" i="26"/>
  <c r="I49"/>
  <c r="H48"/>
  <c r="I48"/>
  <c r="H74" i="25"/>
  <c r="H74" i="23"/>
  <c r="H49" i="21"/>
  <c r="I49"/>
  <c r="H48"/>
  <c r="I48"/>
  <c r="H74" i="22"/>
  <c r="H19" i="21"/>
  <c r="I19"/>
  <c r="H57" i="24"/>
  <c r="I57"/>
  <c r="I79" s="1"/>
  <c r="H74"/>
  <c r="H38" i="26"/>
  <c r="H57"/>
  <c r="H54"/>
  <c r="H36"/>
  <c r="H40"/>
  <c r="I47"/>
  <c r="H39"/>
  <c r="H77"/>
  <c r="H78"/>
  <c r="H79" s="1"/>
  <c r="I20" i="25"/>
  <c r="I46"/>
  <c r="I44"/>
  <c r="I48"/>
  <c r="I49"/>
  <c r="I19"/>
  <c r="I21"/>
  <c r="I45"/>
  <c r="I43"/>
  <c r="I36"/>
  <c r="I38"/>
  <c r="H39"/>
  <c r="I40"/>
  <c r="H47"/>
  <c r="I54"/>
  <c r="I57"/>
  <c r="I79" s="1"/>
  <c r="H77"/>
  <c r="H78"/>
  <c r="H79" s="1"/>
  <c r="I36" i="24"/>
  <c r="I38"/>
  <c r="H39"/>
  <c r="I40"/>
  <c r="H47"/>
  <c r="I54"/>
  <c r="H77"/>
  <c r="H78"/>
  <c r="H79" s="1"/>
  <c r="I28" i="23"/>
  <c r="H29"/>
  <c r="I30"/>
  <c r="I36"/>
  <c r="I38"/>
  <c r="H39"/>
  <c r="I40"/>
  <c r="H47"/>
  <c r="I54"/>
  <c r="I57"/>
  <c r="H77"/>
  <c r="H78"/>
  <c r="H79" s="1"/>
  <c r="I28" i="22"/>
  <c r="H29"/>
  <c r="I30"/>
  <c r="I36"/>
  <c r="I38"/>
  <c r="H39"/>
  <c r="I40"/>
  <c r="H47"/>
  <c r="I54"/>
  <c r="I57"/>
  <c r="H77"/>
  <c r="H78"/>
  <c r="H79" s="1"/>
  <c r="I21" i="21"/>
  <c r="I24"/>
  <c r="I45"/>
  <c r="I43"/>
  <c r="I61"/>
  <c r="I64"/>
  <c r="I62"/>
  <c r="I20"/>
  <c r="I22"/>
  <c r="I23"/>
  <c r="I46"/>
  <c r="I44"/>
  <c r="I65"/>
  <c r="I63"/>
  <c r="H57"/>
  <c r="H54"/>
  <c r="I18"/>
  <c r="H18"/>
  <c r="I16"/>
  <c r="H17"/>
  <c r="I28"/>
  <c r="H29"/>
  <c r="I30"/>
  <c r="I36"/>
  <c r="I38"/>
  <c r="H39"/>
  <c r="I40"/>
  <c r="H47"/>
  <c r="H77"/>
  <c r="H78"/>
  <c r="H79" s="1"/>
  <c r="E79" i="20"/>
  <c r="F79" s="1"/>
  <c r="I79" s="1"/>
  <c r="F78"/>
  <c r="I78" s="1"/>
  <c r="H76"/>
  <c r="H74"/>
  <c r="H72"/>
  <c r="H71"/>
  <c r="H70"/>
  <c r="F69"/>
  <c r="H69" s="1"/>
  <c r="H67"/>
  <c r="F66"/>
  <c r="H66" s="1"/>
  <c r="F65"/>
  <c r="H65" s="1"/>
  <c r="F64"/>
  <c r="H64" s="1"/>
  <c r="F63"/>
  <c r="H63" s="1"/>
  <c r="F62"/>
  <c r="H62" s="1"/>
  <c r="H61"/>
  <c r="H60"/>
  <c r="F58"/>
  <c r="H58" s="1"/>
  <c r="H57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H42"/>
  <c r="F41"/>
  <c r="F40"/>
  <c r="I40" s="1"/>
  <c r="F39"/>
  <c r="H39" s="1"/>
  <c r="H38"/>
  <c r="F37"/>
  <c r="H37" s="1"/>
  <c r="H36"/>
  <c r="H34"/>
  <c r="H33"/>
  <c r="H32"/>
  <c r="F32"/>
  <c r="I32" s="1"/>
  <c r="I31"/>
  <c r="H31"/>
  <c r="F30"/>
  <c r="H30" s="1"/>
  <c r="F29"/>
  <c r="I29" s="1"/>
  <c r="F28"/>
  <c r="H28" s="1"/>
  <c r="I52" i="19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H59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I42" s="1"/>
  <c r="F41"/>
  <c r="I41" s="1"/>
  <c r="F40"/>
  <c r="H40" s="1"/>
  <c r="H39"/>
  <c r="F38"/>
  <c r="H38" s="1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I62" i="18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F41"/>
  <c r="I41" s="1"/>
  <c r="F40"/>
  <c r="H40" s="1"/>
  <c r="H39"/>
  <c r="F38"/>
  <c r="H38" s="1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I86" i="21" l="1"/>
  <c r="H42" i="18"/>
  <c r="I42"/>
  <c r="H74" i="26"/>
  <c r="I94" i="25"/>
  <c r="H41" i="20"/>
  <c r="I41"/>
  <c r="H42" i="19"/>
  <c r="I98" i="24"/>
  <c r="H76" i="19"/>
  <c r="I85" i="26"/>
  <c r="I91" i="23"/>
  <c r="I88" i="22"/>
  <c r="H74" i="21"/>
  <c r="I50" i="20"/>
  <c r="H75"/>
  <c r="I49"/>
  <c r="I28"/>
  <c r="H29"/>
  <c r="I30"/>
  <c r="I37"/>
  <c r="I39"/>
  <c r="H40"/>
  <c r="H48"/>
  <c r="I58"/>
  <c r="H78"/>
  <c r="H79"/>
  <c r="H80" s="1"/>
  <c r="H26" i="19"/>
  <c r="I29"/>
  <c r="H30"/>
  <c r="I31"/>
  <c r="I38"/>
  <c r="I40"/>
  <c r="H41"/>
  <c r="H49"/>
  <c r="I59"/>
  <c r="H79"/>
  <c r="H80"/>
  <c r="H81" s="1"/>
  <c r="H76" i="18"/>
  <c r="H26"/>
  <c r="I29"/>
  <c r="H30"/>
  <c r="I31"/>
  <c r="I38"/>
  <c r="I40"/>
  <c r="H41"/>
  <c r="H49"/>
  <c r="H79"/>
  <c r="H80"/>
  <c r="H81" s="1"/>
  <c r="I31" i="17"/>
  <c r="E78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H56"/>
  <c r="F54"/>
  <c r="H54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F40"/>
  <c r="I40" s="1"/>
  <c r="F39"/>
  <c r="H39" s="1"/>
  <c r="H38"/>
  <c r="F37"/>
  <c r="H37" s="1"/>
  <c r="H36"/>
  <c r="H34"/>
  <c r="H33"/>
  <c r="I25"/>
  <c r="H32"/>
  <c r="F32"/>
  <c r="I32" s="1"/>
  <c r="H31"/>
  <c r="F30"/>
  <c r="H30" s="1"/>
  <c r="F29"/>
  <c r="H29" s="1"/>
  <c r="F28"/>
  <c r="H28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I92" i="20" l="1"/>
  <c r="I90" i="18"/>
  <c r="H41" i="17"/>
  <c r="I41"/>
  <c r="I92" i="19"/>
  <c r="I28" i="17"/>
  <c r="I29"/>
  <c r="I30"/>
  <c r="H74"/>
  <c r="H77"/>
  <c r="F78"/>
  <c r="H78" s="1"/>
  <c r="H79" s="1"/>
  <c r="H17"/>
  <c r="H18"/>
  <c r="I18"/>
  <c r="H16"/>
  <c r="H25"/>
  <c r="I37"/>
  <c r="I39"/>
  <c r="H40"/>
  <c r="I48"/>
  <c r="I57"/>
  <c r="I78" l="1"/>
  <c r="I96"/>
</calcChain>
</file>

<file path=xl/sharedStrings.xml><?xml version="1.0" encoding="utf-8"?>
<sst xmlns="http://schemas.openxmlformats.org/spreadsheetml/2006/main" count="2622" uniqueCount="321">
  <si>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</si>
  <si>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</si>
  <si>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</si>
  <si>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</si>
  <si>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</si>
  <si>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</si>
  <si>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</si>
  <si>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</si>
  <si>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</si>
  <si>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</si>
  <si>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</si>
  <si>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</si>
  <si>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</si>
  <si>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</si>
  <si>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</si>
  <si>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</si>
  <si>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</si>
  <si>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</si>
  <si>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</si>
  <si>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</si>
  <si>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</si>
  <si>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</si>
  <si>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</si>
  <si>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</si>
  <si>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</si>
  <si>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</si>
  <si>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</si>
  <si>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</si>
  <si>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</si>
  <si>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</si>
  <si>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</si>
  <si>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</si>
  <si>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</si>
  <si>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</si>
  <si>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</si>
  <si>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</si>
  <si>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</si>
  <si>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</si>
  <si>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</si>
  <si>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</si>
  <si>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</si>
  <si>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</si>
  <si>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</si>
  <si>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</si>
  <si>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</si>
  <si>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</si>
  <si>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</si>
  <si>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</si>
  <si>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</si>
  <si>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</si>
  <si>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</si>
  <si>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</si>
  <si>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</si>
  <si>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</si>
  <si>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</si>
  <si>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</si>
  <si>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</si>
  <si>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</si>
  <si>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</si>
  <si>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</si>
  <si>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</si>
  <si>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</si>
  <si>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</si>
  <si>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</si>
  <si>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</si>
  <si>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</si>
  <si>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</si>
  <si>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</si>
  <si>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</si>
  <si>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</si>
  <si>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</si>
  <si>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</si>
  <si>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</si>
  <si>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</si>
  <si>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</si>
  <si>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</si>
  <si>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</si>
  <si>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</si>
  <si>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</si>
  <si>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</si>
  <si>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</si>
  <si>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</si>
  <si>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</si>
  <si>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</si>
  <si>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</si>
  <si>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Дератизация</t>
  </si>
  <si>
    <t>Смена патронов</t>
  </si>
  <si>
    <t>Влажное подметание лестничных клеток 2-5 этажа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</si>
  <si>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</si>
  <si>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</si>
  <si>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</si>
  <si>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</si>
  <si>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</si>
  <si>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</si>
  <si>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</si>
  <si>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</si>
  <si>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</si>
  <si>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</si>
  <si>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</si>
  <si>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</si>
  <si>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</si>
  <si>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</si>
  <si>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</si>
  <si>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Сдвигание снега в дни снегопада (проезд)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</si>
  <si>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</si>
  <si>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</si>
  <si>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</si>
  <si>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</si>
  <si>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</si>
  <si>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</si>
  <si>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</si>
  <si>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</si>
  <si>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</si>
  <si>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</si>
  <si>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</si>
  <si>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</si>
  <si>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</si>
  <si>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</si>
  <si>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</si>
  <si>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</si>
  <si>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</si>
  <si>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</si>
  <si>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</si>
  <si>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ул.Космонавтов пгт.Ярега
</t>
  </si>
  <si>
    <t>Смена выключателей</t>
  </si>
  <si>
    <t>1 шт</t>
  </si>
  <si>
    <t>АКТ №1</t>
  </si>
  <si>
    <t>1000-м2</t>
  </si>
  <si>
    <t>2 раза в неделю 52 раза в сезон</t>
  </si>
  <si>
    <t>3 раза в неделю 78 раз за сезон</t>
  </si>
  <si>
    <t>по мере необходимости</t>
  </si>
  <si>
    <t xml:space="preserve"> </t>
  </si>
  <si>
    <t>30 раз за сезон</t>
  </si>
  <si>
    <t>Очистка  от мусора</t>
  </si>
  <si>
    <t>Мытье лестничных площадок и маршей 1-5 этаж.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</si>
  <si>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</si>
  <si>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</si>
  <si>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</si>
  <si>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</si>
  <si>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1 раз в месяц (5 раз в год)</t>
  </si>
  <si>
    <t>АКТ №2</t>
  </si>
  <si>
    <t>АКТ №3</t>
  </si>
  <si>
    <t>АКТ №4</t>
  </si>
  <si>
    <t>АКТ №5</t>
  </si>
  <si>
    <t>АКТ №6</t>
  </si>
  <si>
    <t>III. Содержание общего имущества МКД</t>
  </si>
  <si>
    <t>IV. Прочие услуги</t>
  </si>
  <si>
    <t>АКТ №7</t>
  </si>
  <si>
    <t>АКТ №8</t>
  </si>
  <si>
    <t>АКТ №9</t>
  </si>
  <si>
    <t>АКТ №10</t>
  </si>
  <si>
    <t>Итого затраты за месяц</t>
  </si>
  <si>
    <t>АКТ №11</t>
  </si>
  <si>
    <t>м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</si>
  <si>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</si>
  <si>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д.10</t>
    </r>
  </si>
  <si>
    <t>II. Уборка земельного участка</t>
  </si>
  <si>
    <t>Очистка канализационной сети внутренней</t>
  </si>
  <si>
    <t>ООО «Движение»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</si>
  <si>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30.12.2014г.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</si>
  <si>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Работа автовышки</t>
  </si>
  <si>
    <t>Очистка вручную от снега и наледи люков каналиационных и водопроводных колодцев</t>
  </si>
  <si>
    <t xml:space="preserve">Осмотр водопроводов, канализации, отопления </t>
  </si>
  <si>
    <t>Осмотр электросетей, армазуры и электрооборудования на лестничных клетках</t>
  </si>
  <si>
    <t>руб</t>
  </si>
  <si>
    <t xml:space="preserve">Вывертывание и ввертывание радиаторной пробки.   </t>
  </si>
  <si>
    <t>1 пробка</t>
  </si>
  <si>
    <t>Смена автомата на ток до 25А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</si>
  <si>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</si>
  <si>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</si>
  <si>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</si>
  <si>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</si>
  <si>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</si>
  <si>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</si>
  <si>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</si>
  <si>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раза</t>
  </si>
  <si>
    <t>7 раз</t>
  </si>
  <si>
    <t>1 раз</t>
  </si>
  <si>
    <t xml:space="preserve">1 раз </t>
  </si>
  <si>
    <t>65 м3</t>
  </si>
  <si>
    <t xml:space="preserve">1 раз    </t>
  </si>
  <si>
    <t xml:space="preserve">1 раз   </t>
  </si>
  <si>
    <t>10 м2</t>
  </si>
  <si>
    <t>Изол</t>
  </si>
  <si>
    <t>Битум</t>
  </si>
  <si>
    <t>Осмотр кровли рулонной</t>
  </si>
  <si>
    <t>Пропан</t>
  </si>
  <si>
    <t>за период с 01.12.2019 г. по 31.12.2019 г.</t>
  </si>
  <si>
    <t>за период с 01.01.2020 г. по 31.01.2020 г.</t>
  </si>
  <si>
    <t>Смена внутренних трубопроводов на плипропиленовые трубы PN 25 Dу 20</t>
  </si>
  <si>
    <t>Заменили подводку к радиатору</t>
  </si>
  <si>
    <t>Установка заглушек диаметром трубопроводов до 100 мм ( без материалов)</t>
  </si>
  <si>
    <t>заглушка</t>
  </si>
  <si>
    <t>Водоотлив из подвала электрическими (механическими) насосами (100 м3 воды)</t>
  </si>
  <si>
    <t>10 м3</t>
  </si>
  <si>
    <t>Установка насоса в подвале для откачки воды</t>
  </si>
  <si>
    <t>подвал</t>
  </si>
  <si>
    <t>Смена розеток</t>
  </si>
  <si>
    <t>под.№1</t>
  </si>
  <si>
    <t>кв.1</t>
  </si>
  <si>
    <t>кв.23</t>
  </si>
  <si>
    <t>подвал с/о</t>
  </si>
  <si>
    <t>2. Всего за период с 01.01.2020 по 31.01.2020 выполнено работ (оказано услуг) на общую сумму: 38803,67 руб.</t>
  </si>
  <si>
    <t>(тридцать восемь тысяч восемьсот три рубля 67 копеек)</t>
  </si>
  <si>
    <t>за период с 01.02.2020 г. по 29.02.2020 г.</t>
  </si>
  <si>
    <t>10,18,20 февраля</t>
  </si>
  <si>
    <t>Установка хомута диаметром до 50 мм</t>
  </si>
  <si>
    <t>место</t>
  </si>
  <si>
    <t>Ремонт и регулировка доводчика (без стоимости доводчика)</t>
  </si>
  <si>
    <t>1шт.</t>
  </si>
  <si>
    <t>ХВС подвал</t>
  </si>
  <si>
    <t>2 под.</t>
  </si>
  <si>
    <t>23 шт.</t>
  </si>
  <si>
    <t>2. Всего за период с 01.02.2020 по 29.02.2020 выполнено работ (оказано услуг) на общую сумму: 40853,43 руб.</t>
  </si>
  <si>
    <t>(сорок тысяч восемьсот пятьдесят три рубля 43 копейки)</t>
  </si>
  <si>
    <t>за период с 01.03.2020 г. по 31.03.2020 г.</t>
  </si>
  <si>
    <t>13 марта</t>
  </si>
  <si>
    <t>25 марта</t>
  </si>
  <si>
    <t>за период с 01.04.2020 г. по 30.04.2020 г.</t>
  </si>
  <si>
    <t>установили трап</t>
  </si>
  <si>
    <t>100 м</t>
  </si>
  <si>
    <t>15 м3</t>
  </si>
  <si>
    <t>под.№2</t>
  </si>
  <si>
    <t>2 шт.под.№2</t>
  </si>
  <si>
    <t>за период с 01.05.2020 г. по 31.05.2020 г.</t>
  </si>
  <si>
    <t>Закрыли чердачный люк</t>
  </si>
  <si>
    <t>2. Всего за период с 01.05.2020 по 31.05.2020 выполнено работ (оказано услуг) на общую сумму: 51884,85 руб.</t>
  </si>
  <si>
    <t>(пятьдесят одна тысяча восемьсот восемьдесят четыре рубля 85 копеек)</t>
  </si>
  <si>
    <t>Ремонт ограждения конт. площадки</t>
  </si>
  <si>
    <t>2. Всего за период с 01.04.2020 по 30.04.2020 выполнено работ (оказано услуг) на общую сумму: 37023,34 руб.</t>
  </si>
  <si>
    <t>(тридцать семь тысяч двадцать три рубля 34 копейки)</t>
  </si>
  <si>
    <t>за период с 01.06.2020 г. по 30.06.2020 г.</t>
  </si>
  <si>
    <t>23 шт</t>
  </si>
  <si>
    <t>2. Всего за период с 01.06.2020 по 30.06.2020 выполнено работ (оказано услуг) на общую сумму: 47533,31 руб.</t>
  </si>
  <si>
    <t>(сорок семь тысяч пятьсот тридцать три рубля 31 копейка)</t>
  </si>
  <si>
    <t>ВДГО</t>
  </si>
  <si>
    <t>за период с 01.07.2020 г. по 30.07.2020 г.</t>
  </si>
  <si>
    <t>17 шт</t>
  </si>
  <si>
    <t>Осмотр элекгросетей, арматуры и электрооборудования на чердаках и подвалах</t>
  </si>
  <si>
    <t>Смена полипропиленовых канализационных труб ПП 100*1000</t>
  </si>
  <si>
    <t>Тройник 100-90</t>
  </si>
  <si>
    <t>Переход чугун-пластик 100</t>
  </si>
  <si>
    <t>Ревизия 100</t>
  </si>
  <si>
    <t>Патрубок компенсационный 100</t>
  </si>
  <si>
    <t>Манжета 100</t>
  </si>
  <si>
    <t>кв.8 -1м</t>
  </si>
  <si>
    <t>2. Всего за период с 01.07.2020 по 31.07.2020 выполнено работ (оказано услуг) на общую сумму: 77704,21 руб.</t>
  </si>
  <si>
    <t>(семьдесят семь тысяч семьсот четыре рубля 21 копейка)</t>
  </si>
  <si>
    <t>2. Всего за период с 01.03.2020 по 31.03.2020 выполнено работ (оказано услуг) на общую сумму: 61788,25 руб.</t>
  </si>
  <si>
    <t>(шестьдесят одна тысяча семьсот восемьдесят восемь рублей 25 копеек)</t>
  </si>
  <si>
    <t>за период с 01.08.2020 г. по 31.08.2020 г.</t>
  </si>
  <si>
    <t>18 шт.</t>
  </si>
  <si>
    <t>Работа ротенбергера</t>
  </si>
  <si>
    <t>час</t>
  </si>
  <si>
    <t>Ремонт групповых щитков на лестничной клетке без ремонта автоматов</t>
  </si>
  <si>
    <t>Смена полипропиленовых канализационных труб ПП 50*1000</t>
  </si>
  <si>
    <t>Переход чугун-пластик 50</t>
  </si>
  <si>
    <t xml:space="preserve">Ремонт крвли </t>
  </si>
  <si>
    <t>30 м2 над кв.36</t>
  </si>
  <si>
    <t>2 мач/часа</t>
  </si>
  <si>
    <t>3 шт</t>
  </si>
  <si>
    <t>2 шт</t>
  </si>
  <si>
    <t>кв.75</t>
  </si>
  <si>
    <t>за период с 01.09.2020 г. по 30.09.2020 г.</t>
  </si>
  <si>
    <t>Отвод 100</t>
  </si>
  <si>
    <t>Герметик</t>
  </si>
  <si>
    <t>кв.32-1 м</t>
  </si>
  <si>
    <t>с/о кв.31-1шт.</t>
  </si>
  <si>
    <t>Смена внутренних трубопроводов на плипропиленовые трубы PN 20 Dу 25</t>
  </si>
  <si>
    <t>4 м ХВС с кв.61 до кв.69</t>
  </si>
  <si>
    <t>за период с 01.10.2020 г. по 31.10.2020 г.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</si>
  <si>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30.12.2014г.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</si>
  <si>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2. Всего за период с 01.10.2020 по 31.10.2020 выполнено работ (оказано услуг) на общую сумму: 34794,89 руб.</t>
  </si>
  <si>
    <t>(тридцать четыре тысячи семьсот девяносто четыре рубля 89 копеек)</t>
  </si>
  <si>
    <t>генеральный директор Кочанова И.Л.</t>
  </si>
  <si>
    <t>за период с 01.11.2020 г. по 30.11.2020 г.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</si>
  <si>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21.10.2020г. стороны,  и ООО «Движение», именуемое в дальнейшем "Исполнитель",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</si>
  <si>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Мытье лестничных  площадок и маршей 1-5 этаж.</t>
  </si>
  <si>
    <t>Очистка вручную от снега и наледи люков  канализационых и водопроводных колодцев</t>
  </si>
  <si>
    <t>Снятие показаний с общедомовых приборов учета холодной воды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</si>
  <si>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</si>
  <si>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</si>
  <si>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мес.</t>
  </si>
  <si>
    <t>Работы по ведению технической  и отчетной кокументации, сбору и начислению платежей</t>
  </si>
  <si>
    <t>Работы по проведению одного общего собрания собственников МКД</t>
  </si>
  <si>
    <t>Установка заглушек диаметром трубопроводов до 100 мм</t>
  </si>
  <si>
    <t>Смена сгонов у трубопроводов диаметром до 32 мм</t>
  </si>
  <si>
    <t>1 сгон</t>
  </si>
  <si>
    <t>Смена арматуры - вентилей и клапанов обратных муфтовых диаметром до 32 мм</t>
  </si>
  <si>
    <t>Смена внутренних трубопроводов на полипропиленовые трубы PN 25 Dу 20</t>
  </si>
  <si>
    <t>Смена внутренних трубопроводов на полипропиленовые трубы 32*5,4</t>
  </si>
  <si>
    <t>1 м</t>
  </si>
  <si>
    <t>Установка хомута диаметром до 100 мм</t>
  </si>
  <si>
    <t>Смена радиаторов отопительных (без стоимости радиаторов)</t>
  </si>
  <si>
    <t>2 шт. подвал ХВС</t>
  </si>
  <si>
    <t>1 т. с/о подвал</t>
  </si>
  <si>
    <t>с/о кв.57 1,5 м</t>
  </si>
  <si>
    <t>кв.57</t>
  </si>
  <si>
    <t>с/о 1 м подвал</t>
  </si>
  <si>
    <t>с/о подвал 4 шт; 1 шт. ХВС подвал</t>
  </si>
  <si>
    <t>ХВС подвал 1 шт</t>
  </si>
  <si>
    <t>2. Всего за период с 01.11.2020 по 30.11.2020 выполнено работ (оказано услуг) на общую сумму:60647,36 руб.</t>
  </si>
  <si>
    <t>(шестьдесят тысяч шестьсот сорок семь рублей 36 копеек)</t>
  </si>
  <si>
    <t xml:space="preserve">2 раза </t>
  </si>
  <si>
    <t>0,8 ч ( 18 и 21 дек)</t>
  </si>
  <si>
    <t>11  шт.</t>
  </si>
  <si>
    <t>Смена внутренних трубопроводов на полипропиленовые трубы PN 20 Dу 25</t>
  </si>
  <si>
    <t>очистка канализационной сети</t>
  </si>
  <si>
    <t>Патрубок компенсационный 110</t>
  </si>
  <si>
    <t>Манжета 110</t>
  </si>
  <si>
    <t>Тройник 110-90</t>
  </si>
  <si>
    <t>Отвод 110-90</t>
  </si>
  <si>
    <t>ХВС с 24 кв до 16 кв. 1,5 м</t>
  </si>
  <si>
    <t>ХВС 1 щт. подвал</t>
  </si>
  <si>
    <t>2 м кв.68</t>
  </si>
  <si>
    <t>2. Всего за период с 01.12.2020 по 31.12.2020 выполнено работ (оказано услуг) на общую сумму: 56355,68 руб.</t>
  </si>
  <si>
    <t>(пятьдесят шесть тысяч триста пятьдесят пять рублей 68 копеек)</t>
  </si>
  <si>
    <t>2. Всего за период с 01.08.2020 по 31.08.2020 выполнено работ (оказано услуг) на общую сумму: 61267,29 руб.</t>
  </si>
  <si>
    <t>(шестьдесят одна тысяча двести шестьдесят семь рублей 29 копеек)</t>
  </si>
  <si>
    <t>2. Всего за период с 01.09.2020 по 30.09.2020 выполнено работ (оказано услуг) на общую сумму: 67669,55 руб.</t>
  </si>
  <si>
    <t>(шестьдесят семь тысяч шестьсот шестьдесят девять рублей 55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</si>
</sst>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2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9" fillId="0" borderId="1" xfId="0" applyFont="1" applyFill="1" applyBorder="1" applyAlignment="1">
      <alignment horizontal="center" wrapText="1"/>
    </xf>
    <xf numFmtId="4" fontId="20" fillId="2" borderId="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20" fillId="4" borderId="3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7"/>
  <sheetViews>
    <sheetView topLeftCell="A91" workbookViewId="0">
      <selection activeCell="B92" sqref="B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126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188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43861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32" t="s">
        <v>156</v>
      </c>
      <c r="B26" s="133"/>
      <c r="C26" s="133"/>
      <c r="D26" s="133"/>
      <c r="E26" s="133"/>
      <c r="F26" s="133"/>
      <c r="G26" s="133"/>
      <c r="H26" s="133"/>
      <c r="I26" s="134"/>
      <c r="J26" s="22"/>
      <c r="K26" s="8"/>
      <c r="L26" s="8"/>
      <c r="M26" s="8"/>
    </row>
    <row r="27" spans="1:13" ht="15.75" hidden="1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31.5" hidden="1" customHeight="1">
      <c r="A28" s="29">
        <v>6</v>
      </c>
      <c r="B28" s="63" t="s">
        <v>97</v>
      </c>
      <c r="C28" s="64" t="s">
        <v>127</v>
      </c>
      <c r="D28" s="63" t="s">
        <v>128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4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hidden="1" customHeight="1">
      <c r="A29" s="29">
        <v>7</v>
      </c>
      <c r="B29" s="63" t="s">
        <v>138</v>
      </c>
      <c r="C29" s="64" t="s">
        <v>98</v>
      </c>
      <c r="D29" s="63" t="s">
        <v>129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98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101</v>
      </c>
      <c r="C31" s="64" t="s">
        <v>39</v>
      </c>
      <c r="D31" s="63" t="s">
        <v>61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>
        <v>9</v>
      </c>
      <c r="B32" s="63" t="s">
        <v>102</v>
      </c>
      <c r="C32" s="64" t="s">
        <v>31</v>
      </c>
      <c r="D32" s="63" t="s">
        <v>61</v>
      </c>
      <c r="E32" s="70">
        <v>0.33333333333333331</v>
      </c>
      <c r="F32" s="66">
        <f>155/3</f>
        <v>51.666666666666664</v>
      </c>
      <c r="G32" s="66">
        <v>64.48</v>
      </c>
      <c r="H32" s="67">
        <f>SUM(G32*155/3/1000)</f>
        <v>3.331466666666667</v>
      </c>
      <c r="I32" s="13">
        <f>F32/6*G32</f>
        <v>555.24444444444441</v>
      </c>
      <c r="J32" s="22"/>
      <c r="K32" s="8"/>
      <c r="L32" s="8"/>
      <c r="M32" s="8"/>
    </row>
    <row r="33" spans="1:14" ht="15.75" hidden="1" customHeight="1">
      <c r="A33" s="29"/>
      <c r="B33" s="63" t="s">
        <v>62</v>
      </c>
      <c r="C33" s="64" t="s">
        <v>33</v>
      </c>
      <c r="D33" s="63" t="s">
        <v>130</v>
      </c>
      <c r="E33" s="65"/>
      <c r="F33" s="66">
        <v>2</v>
      </c>
      <c r="G33" s="66">
        <v>217.61</v>
      </c>
      <c r="H33" s="67">
        <f t="shared" si="1"/>
        <v>0.43522000000000005</v>
      </c>
      <c r="I33" s="13">
        <v>0</v>
      </c>
      <c r="J33" s="22"/>
      <c r="K33" s="8"/>
    </row>
    <row r="34" spans="1:14" ht="15.75" hidden="1" customHeight="1">
      <c r="A34" s="29"/>
      <c r="B34" s="63" t="s">
        <v>63</v>
      </c>
      <c r="C34" s="64" t="s">
        <v>32</v>
      </c>
      <c r="D34" s="63" t="s">
        <v>130</v>
      </c>
      <c r="E34" s="65"/>
      <c r="F34" s="66">
        <v>1</v>
      </c>
      <c r="G34" s="66">
        <v>1292.47</v>
      </c>
      <c r="H34" s="67">
        <f t="shared" si="1"/>
        <v>1.29247</v>
      </c>
      <c r="I34" s="13">
        <v>0</v>
      </c>
      <c r="J34" s="23"/>
    </row>
    <row r="35" spans="1:14" ht="15.75" customHeight="1">
      <c r="A35" s="72"/>
      <c r="B35" s="86" t="s">
        <v>5</v>
      </c>
      <c r="C35" s="64"/>
      <c r="D35" s="63"/>
      <c r="E35" s="65"/>
      <c r="F35" s="66"/>
      <c r="G35" s="66"/>
      <c r="H35" s="67" t="s">
        <v>131</v>
      </c>
      <c r="I35" s="13"/>
      <c r="J35" s="23"/>
    </row>
    <row r="36" spans="1:14" ht="15.75" customHeight="1">
      <c r="A36" s="72">
        <v>5</v>
      </c>
      <c r="B36" s="63" t="s">
        <v>26</v>
      </c>
      <c r="C36" s="64" t="s">
        <v>32</v>
      </c>
      <c r="D36" s="113">
        <v>43843</v>
      </c>
      <c r="E36" s="65"/>
      <c r="F36" s="66">
        <v>6</v>
      </c>
      <c r="G36" s="66">
        <v>1737.08</v>
      </c>
      <c r="H36" s="67">
        <f t="shared" ref="H36:H42" si="2">SUM(F36*G36/1000)</f>
        <v>10.42248</v>
      </c>
      <c r="I36" s="13">
        <f>G36*0.5</f>
        <v>868.54</v>
      </c>
      <c r="J36" s="23"/>
    </row>
    <row r="37" spans="1:14" ht="15.75" customHeight="1">
      <c r="A37" s="72">
        <v>6</v>
      </c>
      <c r="B37" s="63" t="s">
        <v>103</v>
      </c>
      <c r="C37" s="64" t="s">
        <v>29</v>
      </c>
      <c r="D37" s="63" t="s">
        <v>173</v>
      </c>
      <c r="E37" s="65">
        <v>48.36</v>
      </c>
      <c r="F37" s="66">
        <f>E37*30/1000</f>
        <v>1.4507999999999999</v>
      </c>
      <c r="G37" s="66">
        <v>2391.67</v>
      </c>
      <c r="H37" s="67">
        <f>G37*F37/1000</f>
        <v>3.469834836</v>
      </c>
      <c r="I37" s="13">
        <f>F37/6*G37</f>
        <v>578.30580599999996</v>
      </c>
      <c r="J37" s="23"/>
    </row>
    <row r="38" spans="1:14" ht="15.75" hidden="1" customHeight="1">
      <c r="A38" s="72">
        <v>8</v>
      </c>
      <c r="B38" s="63" t="s">
        <v>104</v>
      </c>
      <c r="C38" s="64" t="s">
        <v>105</v>
      </c>
      <c r="D38" s="63" t="s">
        <v>64</v>
      </c>
      <c r="E38" s="65"/>
      <c r="F38" s="66">
        <v>65</v>
      </c>
      <c r="G38" s="66">
        <v>226.85</v>
      </c>
      <c r="H38" s="67">
        <f>G38*F38/1000</f>
        <v>14.74525</v>
      </c>
      <c r="I38" s="13">
        <v>0</v>
      </c>
      <c r="J38" s="23"/>
      <c r="L38" s="19"/>
      <c r="M38" s="20"/>
      <c r="N38" s="21"/>
    </row>
    <row r="39" spans="1:14" ht="15.75" customHeight="1">
      <c r="A39" s="72">
        <v>7</v>
      </c>
      <c r="B39" s="63" t="s">
        <v>65</v>
      </c>
      <c r="C39" s="64" t="s">
        <v>29</v>
      </c>
      <c r="D39" s="63" t="s">
        <v>174</v>
      </c>
      <c r="E39" s="66">
        <v>53.69</v>
      </c>
      <c r="F39" s="66">
        <f>SUM(E39*155/1000)</f>
        <v>8.3219499999999993</v>
      </c>
      <c r="G39" s="66">
        <v>398.95</v>
      </c>
      <c r="H39" s="67">
        <f t="shared" si="2"/>
        <v>3.3200419524999996</v>
      </c>
      <c r="I39" s="13">
        <f>F39/6*G39</f>
        <v>553.34032541666659</v>
      </c>
      <c r="J39" s="23"/>
      <c r="L39" s="19"/>
      <c r="M39" s="20"/>
      <c r="N39" s="21"/>
    </row>
    <row r="40" spans="1:14" ht="47.25" customHeight="1">
      <c r="A40" s="72">
        <v>8</v>
      </c>
      <c r="B40" s="63" t="s">
        <v>79</v>
      </c>
      <c r="C40" s="64" t="s">
        <v>98</v>
      </c>
      <c r="D40" s="63" t="s">
        <v>175</v>
      </c>
      <c r="E40" s="66">
        <v>23.93</v>
      </c>
      <c r="F40" s="66">
        <f>SUM(E40*24/1000)</f>
        <v>0.57431999999999994</v>
      </c>
      <c r="G40" s="66">
        <v>6600.74</v>
      </c>
      <c r="H40" s="67">
        <f t="shared" si="2"/>
        <v>3.7909369967999997</v>
      </c>
      <c r="I40" s="13">
        <f>F40/6*G40</f>
        <v>631.8228327999999</v>
      </c>
      <c r="J40" s="23"/>
      <c r="L40" s="19"/>
      <c r="M40" s="20"/>
      <c r="N40" s="21"/>
    </row>
    <row r="41" spans="1:14" ht="15.75" hidden="1" customHeight="1">
      <c r="A41" s="29">
        <v>9</v>
      </c>
      <c r="B41" s="63" t="s">
        <v>108</v>
      </c>
      <c r="C41" s="64" t="s">
        <v>98</v>
      </c>
      <c r="D41" s="63" t="s">
        <v>176</v>
      </c>
      <c r="E41" s="66">
        <v>48.36</v>
      </c>
      <c r="F41" s="66">
        <f>SUM(E41*45/1000)</f>
        <v>2.1761999999999997</v>
      </c>
      <c r="G41" s="66">
        <v>487.61</v>
      </c>
      <c r="H41" s="67">
        <f t="shared" si="2"/>
        <v>1.0611368819999998</v>
      </c>
      <c r="I41" s="13">
        <f>F41/7.5*G41</f>
        <v>141.48491759999999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3" t="s">
        <v>67</v>
      </c>
      <c r="C42" s="64" t="s">
        <v>33</v>
      </c>
      <c r="D42" s="63"/>
      <c r="E42" s="65"/>
      <c r="F42" s="66">
        <v>0.9</v>
      </c>
      <c r="G42" s="66">
        <v>907.66</v>
      </c>
      <c r="H42" s="67">
        <f t="shared" si="2"/>
        <v>0.81689400000000001</v>
      </c>
      <c r="I42" s="13">
        <f>F42/7.5*G42</f>
        <v>108.9192</v>
      </c>
      <c r="J42" s="23"/>
      <c r="L42" s="19"/>
      <c r="M42" s="20"/>
      <c r="N42" s="21"/>
    </row>
    <row r="43" spans="1:14" ht="15.75" customHeight="1">
      <c r="A43" s="132" t="s">
        <v>135</v>
      </c>
      <c r="B43" s="133"/>
      <c r="C43" s="133"/>
      <c r="D43" s="133"/>
      <c r="E43" s="133"/>
      <c r="F43" s="133"/>
      <c r="G43" s="133"/>
      <c r="H43" s="133"/>
      <c r="I43" s="134"/>
      <c r="J43" s="23"/>
      <c r="L43" s="19"/>
      <c r="M43" s="20"/>
      <c r="N43" s="21"/>
    </row>
    <row r="44" spans="1:14" ht="15.75" hidden="1" customHeight="1">
      <c r="A44" s="29"/>
      <c r="B44" s="63" t="s">
        <v>109</v>
      </c>
      <c r="C44" s="64" t="s">
        <v>98</v>
      </c>
      <c r="D44" s="63" t="s">
        <v>41</v>
      </c>
      <c r="E44" s="65">
        <v>614.29999999999995</v>
      </c>
      <c r="F44" s="66">
        <f>SUM(E44*2/1000)</f>
        <v>1.2285999999999999</v>
      </c>
      <c r="G44" s="13">
        <v>1094.96</v>
      </c>
      <c r="H44" s="67">
        <f t="shared" ref="H44:H51" si="3">SUM(F44*G44/1000)</f>
        <v>1.345267856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3" t="s">
        <v>34</v>
      </c>
      <c r="C45" s="64" t="s">
        <v>98</v>
      </c>
      <c r="D45" s="63" t="s">
        <v>41</v>
      </c>
      <c r="E45" s="65">
        <v>61</v>
      </c>
      <c r="F45" s="66">
        <f>E45*2/1000</f>
        <v>0.122</v>
      </c>
      <c r="G45" s="13">
        <v>3832.4</v>
      </c>
      <c r="H45" s="67">
        <f t="shared" si="3"/>
        <v>0.46755279999999999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35</v>
      </c>
      <c r="C46" s="64" t="s">
        <v>98</v>
      </c>
      <c r="D46" s="63" t="s">
        <v>41</v>
      </c>
      <c r="E46" s="65">
        <v>3135.64</v>
      </c>
      <c r="F46" s="66">
        <f>SUM(E46*2/1000)</f>
        <v>6.27128</v>
      </c>
      <c r="G46" s="13">
        <v>1564.24</v>
      </c>
      <c r="H46" s="67">
        <f t="shared" si="3"/>
        <v>9.8097870272000005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36</v>
      </c>
      <c r="C47" s="64" t="s">
        <v>98</v>
      </c>
      <c r="D47" s="63" t="s">
        <v>41</v>
      </c>
      <c r="E47" s="65">
        <v>1678.47</v>
      </c>
      <c r="F47" s="66">
        <f>SUM(E47*2/1000)</f>
        <v>3.3569400000000003</v>
      </c>
      <c r="G47" s="13">
        <v>1078.3599999999999</v>
      </c>
      <c r="H47" s="67">
        <f t="shared" si="3"/>
        <v>3.6199898183999997</v>
      </c>
      <c r="I47" s="13">
        <v>0</v>
      </c>
      <c r="J47" s="23"/>
      <c r="L47" s="19"/>
      <c r="M47" s="20"/>
      <c r="N47" s="21"/>
    </row>
    <row r="48" spans="1:14" ht="15.75" customHeight="1">
      <c r="A48" s="29">
        <v>9</v>
      </c>
      <c r="B48" s="63" t="s">
        <v>54</v>
      </c>
      <c r="C48" s="64" t="s">
        <v>98</v>
      </c>
      <c r="D48" s="63" t="s">
        <v>177</v>
      </c>
      <c r="E48" s="65">
        <v>614.29999999999995</v>
      </c>
      <c r="F48" s="66">
        <f>SUM(E48*5/1000)</f>
        <v>3.0714999999999999</v>
      </c>
      <c r="G48" s="13">
        <v>1838.49</v>
      </c>
      <c r="H48" s="67">
        <f t="shared" si="3"/>
        <v>5.6469220349999993</v>
      </c>
      <c r="I48" s="13">
        <f>F48/5*G48</f>
        <v>1129.384407</v>
      </c>
      <c r="J48" s="23"/>
      <c r="L48" s="19"/>
      <c r="M48" s="20"/>
      <c r="N48" s="21"/>
    </row>
    <row r="49" spans="1:22" ht="31.5" hidden="1" customHeight="1">
      <c r="A49" s="29"/>
      <c r="B49" s="63" t="s">
        <v>110</v>
      </c>
      <c r="C49" s="64" t="s">
        <v>98</v>
      </c>
      <c r="D49" s="63" t="s">
        <v>41</v>
      </c>
      <c r="E49" s="65">
        <v>614.29999999999995</v>
      </c>
      <c r="F49" s="66">
        <f>SUM(E49*2/1000)</f>
        <v>1.2285999999999999</v>
      </c>
      <c r="G49" s="13">
        <v>1380.31</v>
      </c>
      <c r="H49" s="67">
        <f t="shared" si="3"/>
        <v>1.6958488659999997</v>
      </c>
      <c r="I49" s="13">
        <v>0</v>
      </c>
      <c r="J49" s="23"/>
      <c r="L49" s="19"/>
      <c r="M49" s="20"/>
      <c r="N49" s="21"/>
    </row>
    <row r="50" spans="1:22" ht="31.5" hidden="1" customHeight="1">
      <c r="A50" s="44"/>
      <c r="B50" s="63" t="s">
        <v>111</v>
      </c>
      <c r="C50" s="64" t="s">
        <v>37</v>
      </c>
      <c r="D50" s="63" t="s">
        <v>41</v>
      </c>
      <c r="E50" s="65">
        <v>20</v>
      </c>
      <c r="F50" s="66">
        <f>SUM(E50*2/100)</f>
        <v>0.4</v>
      </c>
      <c r="G50" s="13">
        <v>3519.56</v>
      </c>
      <c r="H50" s="67">
        <f t="shared" si="3"/>
        <v>1.407824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3" t="s">
        <v>38</v>
      </c>
      <c r="C51" s="64" t="s">
        <v>39</v>
      </c>
      <c r="D51" s="63" t="s">
        <v>41</v>
      </c>
      <c r="E51" s="65">
        <v>1</v>
      </c>
      <c r="F51" s="66">
        <v>0.02</v>
      </c>
      <c r="G51" s="13">
        <v>6428.82</v>
      </c>
      <c r="H51" s="67">
        <f t="shared" si="3"/>
        <v>0.12857640000000001</v>
      </c>
      <c r="I51" s="13">
        <v>0</v>
      </c>
      <c r="J51" s="23"/>
      <c r="L51" s="19"/>
      <c r="M51" s="20"/>
      <c r="N51" s="21"/>
    </row>
    <row r="52" spans="1:22" ht="15.75" customHeight="1">
      <c r="A52" s="132" t="s">
        <v>136</v>
      </c>
      <c r="B52" s="133"/>
      <c r="C52" s="133"/>
      <c r="D52" s="133"/>
      <c r="E52" s="133"/>
      <c r="F52" s="133"/>
      <c r="G52" s="133"/>
      <c r="H52" s="133"/>
      <c r="I52" s="134"/>
      <c r="J52" s="23"/>
      <c r="L52" s="19"/>
      <c r="M52" s="20"/>
      <c r="N52" s="21"/>
    </row>
    <row r="53" spans="1:22" ht="15.75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customHeight="1">
      <c r="A54" s="29">
        <v>10</v>
      </c>
      <c r="B54" s="63" t="s">
        <v>113</v>
      </c>
      <c r="C54" s="64" t="s">
        <v>88</v>
      </c>
      <c r="D54" s="63"/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G54*0.256</f>
        <v>450.53440000000001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133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11</v>
      </c>
      <c r="B57" s="100" t="s">
        <v>85</v>
      </c>
      <c r="C57" s="101" t="s">
        <v>25</v>
      </c>
      <c r="D57" s="100" t="s">
        <v>178</v>
      </c>
      <c r="E57" s="102">
        <v>100</v>
      </c>
      <c r="F57" s="103">
        <f>E57*12</f>
        <v>1200</v>
      </c>
      <c r="G57" s="104">
        <v>1.4</v>
      </c>
      <c r="H57" s="105">
        <f>F57*G57/1000</f>
        <v>1.68</v>
      </c>
      <c r="I57" s="13">
        <f>F57/12*G57</f>
        <v>140</v>
      </c>
    </row>
    <row r="58" spans="1:22" ht="15.75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131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20.25" customHeight="1">
      <c r="A59" s="29">
        <v>12</v>
      </c>
      <c r="B59" s="14" t="s">
        <v>45</v>
      </c>
      <c r="C59" s="16" t="s">
        <v>112</v>
      </c>
      <c r="D59" s="14" t="s">
        <v>171</v>
      </c>
      <c r="E59" s="18">
        <v>25</v>
      </c>
      <c r="F59" s="66">
        <v>25</v>
      </c>
      <c r="G59" s="13">
        <v>252.96</v>
      </c>
      <c r="H59" s="79">
        <f t="shared" ref="H59:H73" si="4">SUM(F59*G59/1000)</f>
        <v>6.3239999999999998</v>
      </c>
      <c r="I59" s="13">
        <f>G59*2</f>
        <v>505.92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21" hidden="1" customHeight="1">
      <c r="A60" s="29"/>
      <c r="B60" s="14" t="s">
        <v>46</v>
      </c>
      <c r="C60" s="16" t="s">
        <v>112</v>
      </c>
      <c r="D60" s="14" t="s">
        <v>64</v>
      </c>
      <c r="E60" s="18">
        <v>2</v>
      </c>
      <c r="F60" s="66">
        <v>2</v>
      </c>
      <c r="G60" s="13">
        <v>86.74</v>
      </c>
      <c r="H60" s="79">
        <f t="shared" si="4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8.75" hidden="1" customHeight="1">
      <c r="A61" s="29"/>
      <c r="B61" s="14" t="s">
        <v>47</v>
      </c>
      <c r="C61" s="16" t="s">
        <v>115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4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38"/>
      <c r="S61" s="138"/>
      <c r="T61" s="138"/>
      <c r="U61" s="138"/>
    </row>
    <row r="62" spans="1:22" ht="19.5" hidden="1" customHeight="1">
      <c r="A62" s="29"/>
      <c r="B62" s="14" t="s">
        <v>48</v>
      </c>
      <c r="C62" s="16" t="s">
        <v>116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4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22.5" hidden="1" customHeight="1">
      <c r="A63" s="44"/>
      <c r="B63" s="14" t="s">
        <v>49</v>
      </c>
      <c r="C63" s="16" t="s">
        <v>74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4"/>
        <v>20.175605999999998</v>
      </c>
      <c r="I63" s="13">
        <v>0</v>
      </c>
    </row>
    <row r="64" spans="1:22" ht="21" hidden="1" customHeight="1">
      <c r="A64" s="29"/>
      <c r="B64" s="80" t="s">
        <v>117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4"/>
        <v>0.36696200000000001</v>
      </c>
      <c r="I64" s="13">
        <v>0</v>
      </c>
    </row>
    <row r="65" spans="1:9" ht="18" hidden="1" customHeight="1">
      <c r="A65" s="29"/>
      <c r="B65" s="80" t="s">
        <v>118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4"/>
        <v>0.342366</v>
      </c>
      <c r="I65" s="13">
        <v>0</v>
      </c>
    </row>
    <row r="66" spans="1:9" ht="18.75" hidden="1" customHeight="1">
      <c r="A66" s="29"/>
      <c r="B66" s="14" t="s">
        <v>55</v>
      </c>
      <c r="C66" s="16" t="s">
        <v>56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4"/>
        <v>0.28370000000000001</v>
      </c>
      <c r="I66" s="13">
        <v>0</v>
      </c>
    </row>
    <row r="67" spans="1:9" ht="15.75" customHeight="1">
      <c r="A67" s="29"/>
      <c r="B67" s="88" t="s">
        <v>69</v>
      </c>
      <c r="C67" s="16"/>
      <c r="D67" s="14"/>
      <c r="E67" s="18"/>
      <c r="F67" s="13"/>
      <c r="G67" s="13"/>
      <c r="H67" s="79" t="s">
        <v>131</v>
      </c>
      <c r="I67" s="13"/>
    </row>
    <row r="68" spans="1:9" ht="15.75" hidden="1" customHeight="1">
      <c r="A68" s="29"/>
      <c r="B68" s="14" t="s">
        <v>124</v>
      </c>
      <c r="C68" s="16" t="s">
        <v>125</v>
      </c>
      <c r="D68" s="14"/>
      <c r="E68" s="18">
        <v>4</v>
      </c>
      <c r="F68" s="13">
        <f>E68</f>
        <v>4</v>
      </c>
      <c r="G68" s="13">
        <v>113.57</v>
      </c>
      <c r="H68" s="79">
        <f t="shared" si="4"/>
        <v>0.45427999999999996</v>
      </c>
      <c r="I68" s="13">
        <v>0</v>
      </c>
    </row>
    <row r="69" spans="1:9" ht="15.75" customHeight="1">
      <c r="A69" s="29">
        <v>13</v>
      </c>
      <c r="B69" s="14" t="s">
        <v>70</v>
      </c>
      <c r="C69" s="16" t="s">
        <v>72</v>
      </c>
      <c r="D69" s="14"/>
      <c r="E69" s="18">
        <v>20</v>
      </c>
      <c r="F69" s="13">
        <v>2</v>
      </c>
      <c r="G69" s="13">
        <v>570.54</v>
      </c>
      <c r="H69" s="79">
        <f t="shared" si="4"/>
        <v>1.1410799999999999</v>
      </c>
      <c r="I69" s="13">
        <f>G69*3.4</f>
        <v>1939.8359999999998</v>
      </c>
    </row>
    <row r="70" spans="1:9" ht="15.75" hidden="1" customHeight="1">
      <c r="A70" s="29"/>
      <c r="B70" s="14" t="s">
        <v>71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4.25" hidden="1" customHeight="1">
      <c r="A71" s="29">
        <v>16</v>
      </c>
      <c r="B71" s="14" t="s">
        <v>82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f>G71*1</f>
        <v>407.79</v>
      </c>
    </row>
    <row r="72" spans="1:9" ht="20.25" hidden="1" customHeight="1">
      <c r="A72" s="29"/>
      <c r="B72" s="82" t="s">
        <v>73</v>
      </c>
      <c r="C72" s="16"/>
      <c r="D72" s="14"/>
      <c r="E72" s="18"/>
      <c r="F72" s="13"/>
      <c r="G72" s="13" t="s">
        <v>131</v>
      </c>
      <c r="H72" s="79" t="s">
        <v>131</v>
      </c>
      <c r="I72" s="13"/>
    </row>
    <row r="73" spans="1:9" ht="20.25" hidden="1" customHeight="1">
      <c r="A73" s="29"/>
      <c r="B73" s="43" t="s">
        <v>121</v>
      </c>
      <c r="C73" s="16" t="s">
        <v>74</v>
      </c>
      <c r="D73" s="14"/>
      <c r="E73" s="18"/>
      <c r="F73" s="13">
        <v>1</v>
      </c>
      <c r="G73" s="13">
        <v>3138.63</v>
      </c>
      <c r="H73" s="79">
        <f t="shared" si="4"/>
        <v>3.13863</v>
      </c>
      <c r="I73" s="13">
        <v>0</v>
      </c>
    </row>
    <row r="74" spans="1:9" ht="15.75" hidden="1" customHeight="1">
      <c r="A74" s="29"/>
      <c r="B74" s="55" t="s">
        <v>119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120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32" t="s">
        <v>137</v>
      </c>
      <c r="B76" s="133"/>
      <c r="C76" s="133"/>
      <c r="D76" s="133"/>
      <c r="E76" s="133"/>
      <c r="F76" s="133"/>
      <c r="G76" s="133"/>
      <c r="H76" s="133"/>
      <c r="I76" s="134"/>
    </row>
    <row r="77" spans="1:9" ht="15.75" customHeight="1">
      <c r="A77" s="29">
        <v>14</v>
      </c>
      <c r="B77" s="63" t="s">
        <v>122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15</v>
      </c>
      <c r="B78" s="14" t="s">
        <v>75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77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I78+I77+I69+I59+I57+I54+I48+I40+I39+I37+I36+I25+I18+I17+I16</f>
        <v>31776.05172921667</v>
      </c>
    </row>
    <row r="80" spans="1:9" ht="15.75" customHeight="1">
      <c r="A80" s="146" t="s">
        <v>58</v>
      </c>
      <c r="B80" s="147"/>
      <c r="C80" s="147"/>
      <c r="D80" s="147"/>
      <c r="E80" s="147"/>
      <c r="F80" s="147"/>
      <c r="G80" s="147"/>
      <c r="H80" s="147"/>
      <c r="I80" s="148"/>
    </row>
    <row r="81" spans="1:9" ht="34.5" customHeight="1">
      <c r="A81" s="29">
        <v>16</v>
      </c>
      <c r="B81" s="98" t="s">
        <v>83</v>
      </c>
      <c r="C81" s="49" t="s">
        <v>125</v>
      </c>
      <c r="D81" s="114" t="s">
        <v>201</v>
      </c>
      <c r="E81" s="34"/>
      <c r="F81" s="34">
        <v>2</v>
      </c>
      <c r="G81" s="34">
        <v>670.1</v>
      </c>
      <c r="H81" s="79">
        <f>G81*F81/1000</f>
        <v>1.3402000000000001</v>
      </c>
      <c r="I81" s="85">
        <f>G81*2</f>
        <v>1340.2</v>
      </c>
    </row>
    <row r="82" spans="1:9" ht="31.5" customHeight="1">
      <c r="A82" s="29">
        <v>17</v>
      </c>
      <c r="B82" s="98" t="s">
        <v>189</v>
      </c>
      <c r="C82" s="49" t="s">
        <v>153</v>
      </c>
      <c r="D82" s="114" t="s">
        <v>200</v>
      </c>
      <c r="E82" s="34"/>
      <c r="F82" s="34">
        <v>0.5</v>
      </c>
      <c r="G82" s="34">
        <v>1421.68</v>
      </c>
      <c r="H82" s="79">
        <f>G82*F82/1000</f>
        <v>0.71084000000000003</v>
      </c>
      <c r="I82" s="13">
        <f>G82*0.5</f>
        <v>710.84</v>
      </c>
    </row>
    <row r="83" spans="1:9" ht="18" customHeight="1">
      <c r="A83" s="29">
        <v>18</v>
      </c>
      <c r="B83" s="98" t="s">
        <v>190</v>
      </c>
      <c r="C83" s="49" t="s">
        <v>164</v>
      </c>
      <c r="D83" s="114" t="s">
        <v>199</v>
      </c>
      <c r="E83" s="34"/>
      <c r="F83" s="34">
        <v>1</v>
      </c>
      <c r="G83" s="34">
        <v>284</v>
      </c>
      <c r="H83" s="79">
        <f>G83*F83/1000</f>
        <v>0.28399999999999997</v>
      </c>
      <c r="I83" s="85">
        <f>G83*1</f>
        <v>284</v>
      </c>
    </row>
    <row r="84" spans="1:9" ht="15.75" customHeight="1">
      <c r="A84" s="29">
        <v>19</v>
      </c>
      <c r="B84" s="98" t="s">
        <v>165</v>
      </c>
      <c r="C84" s="108" t="s">
        <v>166</v>
      </c>
      <c r="D84" s="114" t="s">
        <v>199</v>
      </c>
      <c r="E84" s="34"/>
      <c r="F84" s="34">
        <v>1</v>
      </c>
      <c r="G84" s="34">
        <v>159.56</v>
      </c>
      <c r="H84" s="79">
        <f>G84*F84/1000</f>
        <v>0.15956000000000001</v>
      </c>
      <c r="I84" s="85">
        <f>G84*1</f>
        <v>159.56</v>
      </c>
    </row>
    <row r="85" spans="1:9" ht="15.75" customHeight="1">
      <c r="A85" s="29">
        <v>20</v>
      </c>
      <c r="B85" s="98" t="s">
        <v>157</v>
      </c>
      <c r="C85" s="108" t="s">
        <v>153</v>
      </c>
      <c r="D85" s="114"/>
      <c r="E85" s="34"/>
      <c r="F85" s="34">
        <v>3</v>
      </c>
      <c r="G85" s="34">
        <v>284</v>
      </c>
      <c r="H85" s="79"/>
      <c r="I85" s="85">
        <f>G85*3</f>
        <v>852</v>
      </c>
    </row>
    <row r="86" spans="1:9" ht="15.75" customHeight="1">
      <c r="A86" s="29">
        <v>21</v>
      </c>
      <c r="B86" s="98" t="s">
        <v>86</v>
      </c>
      <c r="C86" s="49" t="s">
        <v>112</v>
      </c>
      <c r="D86" s="114" t="s">
        <v>198</v>
      </c>
      <c r="E86" s="34"/>
      <c r="F86" s="34">
        <v>1</v>
      </c>
      <c r="G86" s="34">
        <v>179.3</v>
      </c>
      <c r="H86" s="79"/>
      <c r="I86" s="85">
        <f>G86*2</f>
        <v>358.6</v>
      </c>
    </row>
    <row r="87" spans="1:9" ht="31.5" customHeight="1">
      <c r="A87" s="29">
        <v>22</v>
      </c>
      <c r="B87" s="98" t="s">
        <v>191</v>
      </c>
      <c r="C87" s="49" t="s">
        <v>192</v>
      </c>
      <c r="D87" s="114" t="s">
        <v>196</v>
      </c>
      <c r="E87" s="34"/>
      <c r="F87" s="34">
        <v>1</v>
      </c>
      <c r="G87" s="34">
        <v>698.94</v>
      </c>
      <c r="H87" s="79"/>
      <c r="I87" s="85">
        <f>G87*1</f>
        <v>698.94</v>
      </c>
    </row>
    <row r="88" spans="1:9" ht="30" customHeight="1">
      <c r="A88" s="29">
        <v>23</v>
      </c>
      <c r="B88" s="106" t="s">
        <v>193</v>
      </c>
      <c r="C88" s="107" t="s">
        <v>194</v>
      </c>
      <c r="D88" s="114"/>
      <c r="E88" s="34"/>
      <c r="F88" s="34">
        <v>0.2</v>
      </c>
      <c r="G88" s="34">
        <v>1873.58</v>
      </c>
      <c r="H88" s="79"/>
      <c r="I88" s="85">
        <f>G88*0.2</f>
        <v>374.71600000000001</v>
      </c>
    </row>
    <row r="89" spans="1:9" ht="15.75" customHeight="1">
      <c r="A89" s="29">
        <v>24</v>
      </c>
      <c r="B89" s="98" t="s">
        <v>195</v>
      </c>
      <c r="C89" s="49" t="s">
        <v>196</v>
      </c>
      <c r="D89" s="114"/>
      <c r="E89" s="34"/>
      <c r="F89" s="34">
        <v>1</v>
      </c>
      <c r="G89" s="34">
        <v>923.85</v>
      </c>
      <c r="H89" s="79"/>
      <c r="I89" s="85">
        <f>G89*1</f>
        <v>923.85</v>
      </c>
    </row>
    <row r="90" spans="1:9" ht="15.75" customHeight="1">
      <c r="A90" s="29">
        <v>25</v>
      </c>
      <c r="B90" s="98" t="s">
        <v>78</v>
      </c>
      <c r="C90" s="49" t="s">
        <v>112</v>
      </c>
      <c r="D90" s="114"/>
      <c r="E90" s="34"/>
      <c r="F90" s="34">
        <v>2</v>
      </c>
      <c r="G90" s="34">
        <v>215.85</v>
      </c>
      <c r="H90" s="79"/>
      <c r="I90" s="85">
        <f>G90*2</f>
        <v>431.7</v>
      </c>
    </row>
    <row r="91" spans="1:9" ht="15.75" customHeight="1">
      <c r="A91" s="29">
        <v>26</v>
      </c>
      <c r="B91" s="98" t="s">
        <v>167</v>
      </c>
      <c r="C91" s="49" t="s">
        <v>112</v>
      </c>
      <c r="D91" s="114" t="s">
        <v>196</v>
      </c>
      <c r="E91" s="34"/>
      <c r="F91" s="34">
        <v>1</v>
      </c>
      <c r="G91" s="34">
        <v>697.23</v>
      </c>
      <c r="H91" s="79"/>
      <c r="I91" s="85">
        <f>G91*1</f>
        <v>697.23</v>
      </c>
    </row>
    <row r="92" spans="1:9" ht="15.75" customHeight="1">
      <c r="A92" s="29">
        <v>27</v>
      </c>
      <c r="B92" s="98" t="s">
        <v>197</v>
      </c>
      <c r="C92" s="49" t="s">
        <v>112</v>
      </c>
      <c r="D92" s="114" t="s">
        <v>196</v>
      </c>
      <c r="E92" s="34"/>
      <c r="F92" s="34">
        <v>1</v>
      </c>
      <c r="G92" s="34">
        <v>171.37</v>
      </c>
      <c r="H92" s="79"/>
      <c r="I92" s="85">
        <f>G92*1</f>
        <v>171.37</v>
      </c>
    </row>
    <row r="93" spans="1:9" ht="27.75" customHeight="1">
      <c r="A93" s="29">
        <v>28</v>
      </c>
      <c r="B93" s="98" t="s">
        <v>161</v>
      </c>
      <c r="C93" s="49" t="s">
        <v>29</v>
      </c>
      <c r="D93" s="35"/>
      <c r="E93" s="17"/>
      <c r="F93" s="115">
        <f>0.599*2/1000</f>
        <v>1.1979999999999998E-3</v>
      </c>
      <c r="G93" s="34">
        <v>20547.34</v>
      </c>
      <c r="H93" s="79"/>
      <c r="I93" s="85">
        <f>G93*0.599*2/1000</f>
        <v>24.615713319999998</v>
      </c>
    </row>
    <row r="94" spans="1:9" ht="15.75" customHeight="1">
      <c r="A94" s="29"/>
      <c r="B94" s="41" t="s">
        <v>50</v>
      </c>
      <c r="C94" s="37"/>
      <c r="D94" s="45"/>
      <c r="E94" s="37">
        <v>1</v>
      </c>
      <c r="F94" s="37"/>
      <c r="G94" s="37"/>
      <c r="H94" s="37"/>
      <c r="I94" s="32">
        <f>SUM(I81:I93)</f>
        <v>7027.6217133200007</v>
      </c>
    </row>
    <row r="95" spans="1:9" ht="15.75" customHeight="1">
      <c r="A95" s="29"/>
      <c r="B95" s="43" t="s">
        <v>76</v>
      </c>
      <c r="C95" s="15"/>
      <c r="D95" s="15"/>
      <c r="E95" s="38"/>
      <c r="F95" s="38"/>
      <c r="G95" s="39"/>
      <c r="H95" s="39"/>
      <c r="I95" s="17">
        <v>0</v>
      </c>
    </row>
    <row r="96" spans="1:9" ht="15.75" customHeight="1">
      <c r="A96" s="46"/>
      <c r="B96" s="42" t="s">
        <v>151</v>
      </c>
      <c r="C96" s="33"/>
      <c r="D96" s="33"/>
      <c r="E96" s="33"/>
      <c r="F96" s="33"/>
      <c r="G96" s="33"/>
      <c r="H96" s="33"/>
      <c r="I96" s="40">
        <f>I79+I94</f>
        <v>38803.673442536674</v>
      </c>
    </row>
    <row r="97" spans="1:9" ht="15.75">
      <c r="A97" s="145" t="s">
        <v>202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>
      <c r="A98" s="56"/>
      <c r="B98" s="140" t="s">
        <v>203</v>
      </c>
      <c r="C98" s="140"/>
      <c r="D98" s="140"/>
      <c r="E98" s="140"/>
      <c r="F98" s="140"/>
      <c r="G98" s="140"/>
      <c r="H98" s="61"/>
      <c r="I98" s="3"/>
    </row>
    <row r="99" spans="1:9">
      <c r="A99" s="53"/>
      <c r="B99" s="136" t="s">
        <v>6</v>
      </c>
      <c r="C99" s="136"/>
      <c r="D99" s="136"/>
      <c r="E99" s="136"/>
      <c r="F99" s="136"/>
      <c r="G99" s="136"/>
      <c r="H99" s="24"/>
      <c r="I99" s="5"/>
    </row>
    <row r="100" spans="1:9" ht="8.2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41" t="s">
        <v>7</v>
      </c>
      <c r="B101" s="141"/>
      <c r="C101" s="141"/>
      <c r="D101" s="141"/>
      <c r="E101" s="141"/>
      <c r="F101" s="141"/>
      <c r="G101" s="141"/>
      <c r="H101" s="141"/>
      <c r="I101" s="141"/>
    </row>
    <row r="102" spans="1:9" ht="15.75">
      <c r="A102" s="141" t="s">
        <v>8</v>
      </c>
      <c r="B102" s="141"/>
      <c r="C102" s="141"/>
      <c r="D102" s="141"/>
      <c r="E102" s="141"/>
      <c r="F102" s="141"/>
      <c r="G102" s="141"/>
      <c r="H102" s="141"/>
      <c r="I102" s="141"/>
    </row>
    <row r="103" spans="1:9" ht="15.75">
      <c r="A103" s="142" t="s">
        <v>59</v>
      </c>
      <c r="B103" s="142"/>
      <c r="C103" s="142"/>
      <c r="D103" s="142"/>
      <c r="E103" s="142"/>
      <c r="F103" s="142"/>
      <c r="G103" s="142"/>
      <c r="H103" s="142"/>
      <c r="I103" s="142"/>
    </row>
    <row r="104" spans="1:9" ht="15.75">
      <c r="A104" s="11"/>
    </row>
    <row r="105" spans="1:9" ht="15.75">
      <c r="A105" s="143" t="s">
        <v>9</v>
      </c>
      <c r="B105" s="143"/>
      <c r="C105" s="143"/>
      <c r="D105" s="143"/>
      <c r="E105" s="143"/>
      <c r="F105" s="143"/>
      <c r="G105" s="143"/>
      <c r="H105" s="143"/>
      <c r="I105" s="143"/>
    </row>
    <row r="106" spans="1:9" ht="15.75">
      <c r="A106" s="4"/>
    </row>
    <row r="107" spans="1:9" ht="15.75">
      <c r="B107" s="51" t="s">
        <v>10</v>
      </c>
      <c r="C107" s="135" t="s">
        <v>84</v>
      </c>
      <c r="D107" s="135"/>
      <c r="E107" s="135"/>
      <c r="F107" s="59"/>
      <c r="I107" s="52"/>
    </row>
    <row r="108" spans="1:9">
      <c r="A108" s="53"/>
      <c r="C108" s="136" t="s">
        <v>11</v>
      </c>
      <c r="D108" s="136"/>
      <c r="E108" s="136"/>
      <c r="F108" s="24"/>
      <c r="I108" s="50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51" t="s">
        <v>13</v>
      </c>
      <c r="C110" s="137"/>
      <c r="D110" s="137"/>
      <c r="E110" s="137"/>
      <c r="F110" s="60"/>
      <c r="I110" s="52"/>
    </row>
    <row r="111" spans="1:9">
      <c r="A111" s="53"/>
      <c r="C111" s="138" t="s">
        <v>11</v>
      </c>
      <c r="D111" s="138"/>
      <c r="E111" s="138"/>
      <c r="F111" s="53"/>
      <c r="I111" s="50" t="s">
        <v>12</v>
      </c>
    </row>
    <row r="112" spans="1:9" ht="15.75">
      <c r="A112" s="4" t="s">
        <v>14</v>
      </c>
    </row>
    <row r="113" spans="1:9">
      <c r="A113" s="139" t="s">
        <v>15</v>
      </c>
      <c r="B113" s="139"/>
      <c r="C113" s="139"/>
      <c r="D113" s="139"/>
      <c r="E113" s="139"/>
      <c r="F113" s="139"/>
      <c r="G113" s="139"/>
      <c r="H113" s="139"/>
      <c r="I113" s="139"/>
    </row>
    <row r="114" spans="1:9" ht="45" customHeight="1">
      <c r="A114" s="131" t="s">
        <v>16</v>
      </c>
      <c r="B114" s="131"/>
      <c r="C114" s="131"/>
      <c r="D114" s="131"/>
      <c r="E114" s="131"/>
      <c r="F114" s="131"/>
      <c r="G114" s="131"/>
      <c r="H114" s="131"/>
      <c r="I114" s="131"/>
    </row>
    <row r="115" spans="1:9" ht="30" customHeight="1">
      <c r="A115" s="131" t="s">
        <v>17</v>
      </c>
      <c r="B115" s="131"/>
      <c r="C115" s="131"/>
      <c r="D115" s="131"/>
      <c r="E115" s="131"/>
      <c r="F115" s="131"/>
      <c r="G115" s="131"/>
      <c r="H115" s="131"/>
      <c r="I115" s="131"/>
    </row>
    <row r="116" spans="1:9" ht="30" customHeight="1">
      <c r="A116" s="131" t="s">
        <v>21</v>
      </c>
      <c r="B116" s="131"/>
      <c r="C116" s="131"/>
      <c r="D116" s="131"/>
      <c r="E116" s="131"/>
      <c r="F116" s="131"/>
      <c r="G116" s="131"/>
      <c r="H116" s="131"/>
      <c r="I116" s="131"/>
    </row>
    <row r="117" spans="1:9" ht="15" customHeight="1">
      <c r="A117" s="131" t="s">
        <v>20</v>
      </c>
      <c r="B117" s="131"/>
      <c r="C117" s="131"/>
      <c r="D117" s="131"/>
      <c r="E117" s="131"/>
      <c r="F117" s="131"/>
      <c r="G117" s="131"/>
      <c r="H117" s="131"/>
      <c r="I117" s="131"/>
    </row>
  </sheetData>
  <autoFilter ref="I12:I56"/>
  <mergeCells count="29">
    <mergeCell ref="A14:I14"/>
    <mergeCell ref="A3:I3"/>
    <mergeCell ref="A4:I4"/>
    <mergeCell ref="A5:I5"/>
    <mergeCell ref="A8:I8"/>
    <mergeCell ref="A10:I10"/>
    <mergeCell ref="A103:I103"/>
    <mergeCell ref="A105:I105"/>
    <mergeCell ref="A15:I15"/>
    <mergeCell ref="R61:U61"/>
    <mergeCell ref="A97:I97"/>
    <mergeCell ref="A76:I76"/>
    <mergeCell ref="A80:I80"/>
    <mergeCell ref="A115:I115"/>
    <mergeCell ref="A116:I116"/>
    <mergeCell ref="A117:I117"/>
    <mergeCell ref="A26:I26"/>
    <mergeCell ref="A43:I43"/>
    <mergeCell ref="A52:I52"/>
    <mergeCell ref="C107:E107"/>
    <mergeCell ref="C108:E108"/>
    <mergeCell ref="C110:E110"/>
    <mergeCell ref="C111:E111"/>
    <mergeCell ref="A113:I113"/>
    <mergeCell ref="A114:I114"/>
    <mergeCell ref="B98:G98"/>
    <mergeCell ref="B99:G99"/>
    <mergeCell ref="A101:I101"/>
    <mergeCell ref="A102:I10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06"/>
  <sheetViews>
    <sheetView topLeftCell="A82" workbookViewId="0">
      <selection activeCell="G100" sqref="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71093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150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270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44135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271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32" t="s">
        <v>80</v>
      </c>
      <c r="B26" s="133"/>
      <c r="C26" s="133"/>
      <c r="D26" s="133"/>
      <c r="E26" s="133"/>
      <c r="F26" s="133"/>
      <c r="G26" s="133"/>
      <c r="H26" s="133"/>
      <c r="I26" s="13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5</v>
      </c>
      <c r="B28" s="63" t="s">
        <v>97</v>
      </c>
      <c r="C28" s="64" t="s">
        <v>127</v>
      </c>
      <c r="D28" s="63" t="s">
        <v>170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6</v>
      </c>
      <c r="B29" s="63" t="s">
        <v>138</v>
      </c>
      <c r="C29" s="64" t="s">
        <v>98</v>
      </c>
      <c r="D29" s="63" t="s">
        <v>169</v>
      </c>
      <c r="E29" s="66">
        <v>266.37</v>
      </c>
      <c r="F29" s="66">
        <f>SUM(E29*78/1000)</f>
        <v>20.776859999999999</v>
      </c>
      <c r="G29" s="66">
        <v>297.17</v>
      </c>
      <c r="H29" s="67">
        <f>SUM(F29*G29/1000)</f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98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>SUM(F30*G30/1000)</f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7</v>
      </c>
      <c r="B31" s="63" t="s">
        <v>101</v>
      </c>
      <c r="C31" s="64" t="s">
        <v>39</v>
      </c>
      <c r="D31" s="63" t="s">
        <v>174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62</v>
      </c>
      <c r="C32" s="64" t="s">
        <v>33</v>
      </c>
      <c r="D32" s="63" t="s">
        <v>130</v>
      </c>
      <c r="E32" s="65"/>
      <c r="F32" s="66">
        <v>2</v>
      </c>
      <c r="G32" s="66">
        <v>217.61</v>
      </c>
      <c r="H32" s="67">
        <f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63</v>
      </c>
      <c r="C33" s="64" t="s">
        <v>32</v>
      </c>
      <c r="D33" s="63" t="s">
        <v>130</v>
      </c>
      <c r="E33" s="65"/>
      <c r="F33" s="66">
        <v>1</v>
      </c>
      <c r="G33" s="66">
        <v>1292.47</v>
      </c>
      <c r="H33" s="67">
        <f>SUM(F33*G33/1000)</f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131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1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103</v>
      </c>
      <c r="C36" s="64" t="s">
        <v>29</v>
      </c>
      <c r="D36" s="63" t="s">
        <v>132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104</v>
      </c>
      <c r="C37" s="64" t="s">
        <v>105</v>
      </c>
      <c r="D37" s="63" t="s">
        <v>64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65</v>
      </c>
      <c r="C38" s="64" t="s">
        <v>29</v>
      </c>
      <c r="D38" s="63" t="s">
        <v>106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1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79</v>
      </c>
      <c r="C39" s="64" t="s">
        <v>98</v>
      </c>
      <c r="D39" s="63" t="s">
        <v>107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1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108</v>
      </c>
      <c r="C40" s="64" t="s">
        <v>98</v>
      </c>
      <c r="D40" s="63" t="s">
        <v>66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1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67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1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" hidden="1" customHeight="1">
      <c r="A42" s="132" t="s">
        <v>135</v>
      </c>
      <c r="B42" s="133"/>
      <c r="C42" s="133"/>
      <c r="D42" s="133"/>
      <c r="E42" s="133"/>
      <c r="F42" s="133"/>
      <c r="G42" s="133"/>
      <c r="H42" s="133"/>
      <c r="I42" s="134"/>
      <c r="J42" s="23"/>
      <c r="L42" s="19"/>
      <c r="M42" s="20"/>
      <c r="N42" s="21"/>
    </row>
    <row r="43" spans="1:14" ht="21" hidden="1" customHeight="1">
      <c r="A43" s="29"/>
      <c r="B43" s="63" t="s">
        <v>109</v>
      </c>
      <c r="C43" s="64" t="s">
        <v>98</v>
      </c>
      <c r="D43" s="63" t="s">
        <v>41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2">SUM(F43*G43/1000)</f>
        <v>1.345267856</v>
      </c>
      <c r="I43" s="13">
        <v>0</v>
      </c>
      <c r="J43" s="23"/>
      <c r="L43" s="19"/>
      <c r="M43" s="20"/>
      <c r="N43" s="21"/>
    </row>
    <row r="44" spans="1:14" ht="16.5" hidden="1" customHeight="1">
      <c r="A44" s="29"/>
      <c r="B44" s="63" t="s">
        <v>34</v>
      </c>
      <c r="C44" s="64" t="s">
        <v>98</v>
      </c>
      <c r="D44" s="63" t="s">
        <v>41</v>
      </c>
      <c r="E44" s="65">
        <v>61</v>
      </c>
      <c r="F44" s="66">
        <f>E44*2/1000</f>
        <v>0.122</v>
      </c>
      <c r="G44" s="13">
        <v>3832.4</v>
      </c>
      <c r="H44" s="67">
        <f t="shared" si="2"/>
        <v>0.46755279999999999</v>
      </c>
      <c r="I44" s="13">
        <v>0</v>
      </c>
      <c r="J44" s="23"/>
      <c r="L44" s="19"/>
      <c r="M44" s="20"/>
      <c r="N44" s="21"/>
    </row>
    <row r="45" spans="1:14" ht="21" hidden="1" customHeight="1">
      <c r="A45" s="29"/>
      <c r="B45" s="63" t="s">
        <v>35</v>
      </c>
      <c r="C45" s="64" t="s">
        <v>98</v>
      </c>
      <c r="D45" s="63" t="s">
        <v>41</v>
      </c>
      <c r="E45" s="65">
        <v>3135.64</v>
      </c>
      <c r="F45" s="66">
        <f>SUM(E45*2/1000)</f>
        <v>6.27128</v>
      </c>
      <c r="G45" s="13">
        <v>1564.24</v>
      </c>
      <c r="H45" s="67">
        <f t="shared" si="2"/>
        <v>9.8097870272000005</v>
      </c>
      <c r="I45" s="13">
        <v>0</v>
      </c>
      <c r="J45" s="23"/>
      <c r="L45" s="19"/>
      <c r="M45" s="20"/>
      <c r="N45" s="21"/>
    </row>
    <row r="46" spans="1:14" ht="24.75" hidden="1" customHeight="1">
      <c r="A46" s="29"/>
      <c r="B46" s="63" t="s">
        <v>36</v>
      </c>
      <c r="C46" s="64" t="s">
        <v>98</v>
      </c>
      <c r="D46" s="63" t="s">
        <v>41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2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3" t="s">
        <v>54</v>
      </c>
      <c r="C47" s="64" t="s">
        <v>98</v>
      </c>
      <c r="D47" s="63" t="s">
        <v>139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2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29.25" hidden="1" customHeight="1">
      <c r="A48" s="29">
        <v>10</v>
      </c>
      <c r="B48" s="63" t="s">
        <v>110</v>
      </c>
      <c r="C48" s="64" t="s">
        <v>98</v>
      </c>
      <c r="D48" s="63" t="s">
        <v>41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2"/>
        <v>1.6958488659999997</v>
      </c>
      <c r="I48" s="13">
        <f>G48*F48/2</f>
        <v>847.92443299999991</v>
      </c>
      <c r="J48" s="23"/>
      <c r="L48" s="19"/>
      <c r="M48" s="20"/>
      <c r="N48" s="21"/>
    </row>
    <row r="49" spans="1:22" ht="31.5" hidden="1" customHeight="1">
      <c r="A49" s="29">
        <v>11</v>
      </c>
      <c r="B49" s="63" t="s">
        <v>111</v>
      </c>
      <c r="C49" s="64" t="s">
        <v>37</v>
      </c>
      <c r="D49" s="63" t="s">
        <v>41</v>
      </c>
      <c r="E49" s="65">
        <v>20</v>
      </c>
      <c r="F49" s="66">
        <f>SUM(E49*2/100)</f>
        <v>0.4</v>
      </c>
      <c r="G49" s="13">
        <v>3519.56</v>
      </c>
      <c r="H49" s="67">
        <f t="shared" si="2"/>
        <v>1.407824</v>
      </c>
      <c r="I49" s="13">
        <f>G49*F49/2</f>
        <v>703.91200000000003</v>
      </c>
      <c r="J49" s="23"/>
      <c r="L49" s="19"/>
      <c r="M49" s="20"/>
      <c r="N49" s="21"/>
    </row>
    <row r="50" spans="1:22" ht="15" hidden="1" customHeight="1">
      <c r="A50" s="29">
        <v>12</v>
      </c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6428.82</v>
      </c>
      <c r="H50" s="67">
        <f t="shared" si="2"/>
        <v>0.12857640000000001</v>
      </c>
      <c r="I50" s="13">
        <f>G50*F50/2</f>
        <v>64.288200000000003</v>
      </c>
      <c r="J50" s="23"/>
      <c r="L50" s="19"/>
      <c r="M50" s="20"/>
      <c r="N50" s="21"/>
    </row>
    <row r="51" spans="1:22" ht="25.5" hidden="1" customHeight="1">
      <c r="A51" s="29">
        <v>13</v>
      </c>
      <c r="B51" s="63" t="s">
        <v>40</v>
      </c>
      <c r="C51" s="64" t="s">
        <v>112</v>
      </c>
      <c r="D51" s="63" t="s">
        <v>68</v>
      </c>
      <c r="E51" s="65">
        <v>170</v>
      </c>
      <c r="F51" s="66">
        <f>SUM(E51)*3</f>
        <v>510</v>
      </c>
      <c r="G51" s="13">
        <v>74.709999999999994</v>
      </c>
      <c r="H51" s="67">
        <f t="shared" si="2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32" t="s">
        <v>145</v>
      </c>
      <c r="B52" s="133"/>
      <c r="C52" s="133"/>
      <c r="D52" s="133"/>
      <c r="E52" s="133"/>
      <c r="F52" s="133"/>
      <c r="G52" s="133"/>
      <c r="H52" s="133"/>
      <c r="I52" s="134"/>
      <c r="J52" s="23"/>
      <c r="L52" s="19"/>
      <c r="M52" s="20"/>
      <c r="N52" s="21"/>
    </row>
    <row r="53" spans="1:22" ht="17.2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28.5" hidden="1" customHeight="1">
      <c r="A54" s="29">
        <v>13</v>
      </c>
      <c r="B54" s="63" t="s">
        <v>113</v>
      </c>
      <c r="C54" s="64" t="s">
        <v>88</v>
      </c>
      <c r="D54" s="63" t="s">
        <v>114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G54*0.205</f>
        <v>360.77949999999998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133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8</v>
      </c>
      <c r="B57" s="74" t="s">
        <v>85</v>
      </c>
      <c r="C57" s="73" t="s">
        <v>25</v>
      </c>
      <c r="D57" s="74" t="s">
        <v>178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131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29">
        <v>9</v>
      </c>
      <c r="B59" s="14" t="s">
        <v>45</v>
      </c>
      <c r="C59" s="16" t="s">
        <v>112</v>
      </c>
      <c r="D59" s="14" t="s">
        <v>175</v>
      </c>
      <c r="E59" s="18">
        <v>25</v>
      </c>
      <c r="F59" s="66">
        <v>25</v>
      </c>
      <c r="G59" s="13">
        <v>252.96</v>
      </c>
      <c r="H59" s="79">
        <f t="shared" ref="H59:H73" si="3">SUM(F59*G59/1000)</f>
        <v>6.3239999999999998</v>
      </c>
      <c r="I59" s="13">
        <f>G59*4</f>
        <v>1011.84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112</v>
      </c>
      <c r="D60" s="14" t="s">
        <v>64</v>
      </c>
      <c r="E60" s="18">
        <v>2</v>
      </c>
      <c r="F60" s="66">
        <v>2</v>
      </c>
      <c r="G60" s="13">
        <v>86.74</v>
      </c>
      <c r="H60" s="79">
        <f t="shared" si="3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47</v>
      </c>
      <c r="C61" s="16" t="s">
        <v>115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3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38"/>
      <c r="S61" s="138"/>
      <c r="T61" s="138"/>
      <c r="U61" s="138"/>
    </row>
    <row r="62" spans="1:22" ht="15.75" hidden="1" customHeight="1">
      <c r="A62" s="29"/>
      <c r="B62" s="14" t="s">
        <v>48</v>
      </c>
      <c r="C62" s="16" t="s">
        <v>116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3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49</v>
      </c>
      <c r="C63" s="16" t="s">
        <v>74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3"/>
        <v>20.175605999999998</v>
      </c>
      <c r="I63" s="13">
        <v>0</v>
      </c>
    </row>
    <row r="64" spans="1:22" ht="15.75" hidden="1" customHeight="1">
      <c r="A64" s="29"/>
      <c r="B64" s="80" t="s">
        <v>117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3"/>
        <v>0.36696200000000001</v>
      </c>
      <c r="I64" s="13">
        <v>0</v>
      </c>
    </row>
    <row r="65" spans="1:9" ht="15.75" hidden="1" customHeight="1">
      <c r="A65" s="29"/>
      <c r="B65" s="80" t="s">
        <v>118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3"/>
        <v>0.342366</v>
      </c>
      <c r="I65" s="13">
        <v>0</v>
      </c>
    </row>
    <row r="66" spans="1:9" ht="15.75" hidden="1" customHeight="1">
      <c r="A66" s="29"/>
      <c r="B66" s="14" t="s">
        <v>55</v>
      </c>
      <c r="C66" s="16" t="s">
        <v>56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3"/>
        <v>0.28370000000000001</v>
      </c>
      <c r="I66" s="13">
        <v>0</v>
      </c>
    </row>
    <row r="67" spans="1:9" ht="15.75" customHeight="1">
      <c r="A67" s="29"/>
      <c r="B67" s="88" t="s">
        <v>69</v>
      </c>
      <c r="C67" s="16"/>
      <c r="D67" s="14"/>
      <c r="E67" s="18"/>
      <c r="F67" s="13"/>
      <c r="G67" s="13"/>
      <c r="H67" s="79" t="s">
        <v>131</v>
      </c>
      <c r="I67" s="13"/>
    </row>
    <row r="68" spans="1:9" ht="15.75" hidden="1" customHeight="1">
      <c r="A68" s="29"/>
      <c r="B68" s="14" t="s">
        <v>124</v>
      </c>
      <c r="C68" s="16" t="s">
        <v>125</v>
      </c>
      <c r="D68" s="14"/>
      <c r="E68" s="18">
        <v>4</v>
      </c>
      <c r="F68" s="13">
        <f>E68</f>
        <v>4</v>
      </c>
      <c r="G68" s="13">
        <v>113.57</v>
      </c>
      <c r="H68" s="79">
        <f t="shared" si="3"/>
        <v>0.45427999999999996</v>
      </c>
      <c r="I68" s="13">
        <v>0</v>
      </c>
    </row>
    <row r="69" spans="1:9" ht="15.75" customHeight="1">
      <c r="A69" s="29">
        <v>10</v>
      </c>
      <c r="B69" s="14" t="s">
        <v>70</v>
      </c>
      <c r="C69" s="16" t="s">
        <v>72</v>
      </c>
      <c r="D69" s="14"/>
      <c r="E69" s="18">
        <v>20</v>
      </c>
      <c r="F69" s="13">
        <v>2</v>
      </c>
      <c r="G69" s="13">
        <v>570.54</v>
      </c>
      <c r="H69" s="79">
        <f t="shared" si="3"/>
        <v>1.1410799999999999</v>
      </c>
      <c r="I69" s="13">
        <f>G69*1.7</f>
        <v>969.91799999999989</v>
      </c>
    </row>
    <row r="70" spans="1:9" ht="15.75" hidden="1" customHeight="1">
      <c r="A70" s="29"/>
      <c r="B70" s="14" t="s">
        <v>71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82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73</v>
      </c>
      <c r="C72" s="16"/>
      <c r="D72" s="14"/>
      <c r="E72" s="18"/>
      <c r="F72" s="13"/>
      <c r="G72" s="13" t="s">
        <v>131</v>
      </c>
      <c r="H72" s="79" t="s">
        <v>131</v>
      </c>
      <c r="I72" s="13"/>
    </row>
    <row r="73" spans="1:9" ht="15.75" hidden="1" customHeight="1">
      <c r="A73" s="29"/>
      <c r="B73" s="43" t="s">
        <v>121</v>
      </c>
      <c r="C73" s="16" t="s">
        <v>74</v>
      </c>
      <c r="D73" s="14"/>
      <c r="E73" s="18"/>
      <c r="F73" s="13">
        <v>1</v>
      </c>
      <c r="G73" s="13">
        <v>3138.63</v>
      </c>
      <c r="H73" s="79">
        <f t="shared" si="3"/>
        <v>3.13863</v>
      </c>
      <c r="I73" s="13">
        <v>0</v>
      </c>
    </row>
    <row r="74" spans="1:9" ht="15.75" hidden="1" customHeight="1">
      <c r="A74" s="29"/>
      <c r="B74" s="55" t="s">
        <v>119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120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32" t="s">
        <v>146</v>
      </c>
      <c r="B76" s="133"/>
      <c r="C76" s="133"/>
      <c r="D76" s="133"/>
      <c r="E76" s="133"/>
      <c r="F76" s="133"/>
      <c r="G76" s="133"/>
      <c r="H76" s="133"/>
      <c r="I76" s="134"/>
    </row>
    <row r="77" spans="1:9" ht="15.75" customHeight="1">
      <c r="A77" s="29">
        <v>11</v>
      </c>
      <c r="B77" s="63" t="s">
        <v>122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12</v>
      </c>
      <c r="B78" s="14" t="s">
        <v>75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77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I78+I77+I69+I59+I57+I31+I29+I28+I25+I18+I17+I16</f>
        <v>32732.287359033333</v>
      </c>
    </row>
    <row r="80" spans="1:9" ht="15.75" customHeight="1">
      <c r="A80" s="146" t="s">
        <v>58</v>
      </c>
      <c r="B80" s="147"/>
      <c r="C80" s="147"/>
      <c r="D80" s="147"/>
      <c r="E80" s="147"/>
      <c r="F80" s="147"/>
      <c r="G80" s="147"/>
      <c r="H80" s="147"/>
      <c r="I80" s="148"/>
    </row>
    <row r="81" spans="1:9" ht="18.75" customHeight="1">
      <c r="A81" s="29">
        <v>13</v>
      </c>
      <c r="B81" s="98" t="s">
        <v>157</v>
      </c>
      <c r="C81" s="108" t="s">
        <v>153</v>
      </c>
      <c r="D81" s="48"/>
      <c r="E81" s="34"/>
      <c r="F81" s="34">
        <v>72</v>
      </c>
      <c r="G81" s="34">
        <v>284</v>
      </c>
      <c r="H81" s="90">
        <f t="shared" ref="H81" si="4">G81*F81/1000</f>
        <v>20.448</v>
      </c>
      <c r="I81" s="85">
        <f>G81*6</f>
        <v>1704</v>
      </c>
    </row>
    <row r="82" spans="1:9" ht="18.75" customHeight="1">
      <c r="A82" s="29">
        <v>14</v>
      </c>
      <c r="B82" s="98" t="s">
        <v>86</v>
      </c>
      <c r="C82" s="49" t="s">
        <v>112</v>
      </c>
      <c r="D82" s="48" t="s">
        <v>198</v>
      </c>
      <c r="E82" s="34"/>
      <c r="F82" s="34">
        <v>6</v>
      </c>
      <c r="G82" s="34">
        <v>179.3</v>
      </c>
      <c r="H82" s="90"/>
      <c r="I82" s="85">
        <f>G82*2</f>
        <v>358.6</v>
      </c>
    </row>
    <row r="83" spans="1:9" ht="15.75" customHeight="1">
      <c r="A83" s="29"/>
      <c r="B83" s="41" t="s">
        <v>50</v>
      </c>
      <c r="C83" s="37"/>
      <c r="D83" s="45"/>
      <c r="E83" s="37">
        <v>1</v>
      </c>
      <c r="F83" s="37"/>
      <c r="G83" s="37"/>
      <c r="H83" s="37"/>
      <c r="I83" s="32">
        <f>SUM(I81:I82)</f>
        <v>2062.6</v>
      </c>
    </row>
    <row r="84" spans="1:9" ht="15.75" customHeight="1">
      <c r="A84" s="29"/>
      <c r="B84" s="43" t="s">
        <v>76</v>
      </c>
      <c r="C84" s="15"/>
      <c r="D84" s="15"/>
      <c r="E84" s="38"/>
      <c r="F84" s="38"/>
      <c r="G84" s="39"/>
      <c r="H84" s="39"/>
      <c r="I84" s="17">
        <v>0</v>
      </c>
    </row>
    <row r="85" spans="1:9" ht="15.75" customHeight="1">
      <c r="A85" s="46"/>
      <c r="B85" s="42" t="s">
        <v>151</v>
      </c>
      <c r="C85" s="33"/>
      <c r="D85" s="33"/>
      <c r="E85" s="33"/>
      <c r="F85" s="33"/>
      <c r="G85" s="33"/>
      <c r="H85" s="33"/>
      <c r="I85" s="40">
        <f>I79+I83</f>
        <v>34794.887359033331</v>
      </c>
    </row>
    <row r="86" spans="1:9" ht="15.75">
      <c r="A86" s="145" t="s">
        <v>272</v>
      </c>
      <c r="B86" s="145"/>
      <c r="C86" s="145"/>
      <c r="D86" s="145"/>
      <c r="E86" s="145"/>
      <c r="F86" s="145"/>
      <c r="G86" s="145"/>
      <c r="H86" s="145"/>
      <c r="I86" s="145"/>
    </row>
    <row r="87" spans="1:9" ht="15.75">
      <c r="A87" s="56"/>
      <c r="B87" s="140" t="s">
        <v>273</v>
      </c>
      <c r="C87" s="140"/>
      <c r="D87" s="140"/>
      <c r="E87" s="140"/>
      <c r="F87" s="140"/>
      <c r="G87" s="140"/>
      <c r="H87" s="61"/>
      <c r="I87" s="3"/>
    </row>
    <row r="88" spans="1:9">
      <c r="A88" s="53"/>
      <c r="B88" s="136" t="s">
        <v>6</v>
      </c>
      <c r="C88" s="136"/>
      <c r="D88" s="136"/>
      <c r="E88" s="136"/>
      <c r="F88" s="136"/>
      <c r="G88" s="136"/>
      <c r="H88" s="24"/>
      <c r="I88" s="5"/>
    </row>
    <row r="89" spans="1:9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5.75">
      <c r="A90" s="141" t="s">
        <v>7</v>
      </c>
      <c r="B90" s="141"/>
      <c r="C90" s="141"/>
      <c r="D90" s="141"/>
      <c r="E90" s="141"/>
      <c r="F90" s="141"/>
      <c r="G90" s="141"/>
      <c r="H90" s="141"/>
      <c r="I90" s="141"/>
    </row>
    <row r="91" spans="1:9" ht="15.75">
      <c r="A91" s="141" t="s">
        <v>8</v>
      </c>
      <c r="B91" s="141"/>
      <c r="C91" s="141"/>
      <c r="D91" s="141"/>
      <c r="E91" s="141"/>
      <c r="F91" s="141"/>
      <c r="G91" s="141"/>
      <c r="H91" s="141"/>
      <c r="I91" s="141"/>
    </row>
    <row r="92" spans="1:9" ht="15.75">
      <c r="A92" s="142" t="s">
        <v>59</v>
      </c>
      <c r="B92" s="142"/>
      <c r="C92" s="142"/>
      <c r="D92" s="142"/>
      <c r="E92" s="142"/>
      <c r="F92" s="142"/>
      <c r="G92" s="142"/>
      <c r="H92" s="142"/>
      <c r="I92" s="142"/>
    </row>
    <row r="93" spans="1:9" ht="15.75">
      <c r="A93" s="11"/>
    </row>
    <row r="94" spans="1:9" ht="15.75">
      <c r="A94" s="143" t="s">
        <v>9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>
      <c r="A95" s="4"/>
    </row>
    <row r="96" spans="1:9" ht="15.75">
      <c r="B96" s="51" t="s">
        <v>10</v>
      </c>
      <c r="C96" s="135" t="s">
        <v>274</v>
      </c>
      <c r="D96" s="135"/>
      <c r="E96" s="135"/>
      <c r="F96" s="59"/>
      <c r="I96" s="52"/>
    </row>
    <row r="97" spans="1:9">
      <c r="A97" s="53"/>
      <c r="C97" s="136" t="s">
        <v>11</v>
      </c>
      <c r="D97" s="136"/>
      <c r="E97" s="136"/>
      <c r="F97" s="24"/>
      <c r="I97" s="50" t="s">
        <v>12</v>
      </c>
    </row>
    <row r="98" spans="1:9" ht="15.75">
      <c r="A98" s="25"/>
      <c r="C98" s="12"/>
      <c r="D98" s="12"/>
      <c r="G98" s="12"/>
      <c r="H98" s="12"/>
    </row>
    <row r="99" spans="1:9" ht="15.75">
      <c r="B99" s="51" t="s">
        <v>13</v>
      </c>
      <c r="C99" s="137"/>
      <c r="D99" s="137"/>
      <c r="E99" s="137"/>
      <c r="F99" s="60"/>
      <c r="I99" s="52"/>
    </row>
    <row r="100" spans="1:9">
      <c r="A100" s="53"/>
      <c r="C100" s="138" t="s">
        <v>11</v>
      </c>
      <c r="D100" s="138"/>
      <c r="E100" s="138"/>
      <c r="F100" s="53"/>
      <c r="I100" s="50" t="s">
        <v>12</v>
      </c>
    </row>
    <row r="101" spans="1:9" ht="15.75">
      <c r="A101" s="4" t="s">
        <v>14</v>
      </c>
    </row>
    <row r="102" spans="1:9">
      <c r="A102" s="139" t="s">
        <v>15</v>
      </c>
      <c r="B102" s="139"/>
      <c r="C102" s="139"/>
      <c r="D102" s="139"/>
      <c r="E102" s="139"/>
      <c r="F102" s="139"/>
      <c r="G102" s="139"/>
      <c r="H102" s="139"/>
      <c r="I102" s="139"/>
    </row>
    <row r="103" spans="1:9" ht="47.25" customHeight="1">
      <c r="A103" s="131" t="s">
        <v>16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31.5" customHeight="1">
      <c r="A104" s="131" t="s">
        <v>17</v>
      </c>
      <c r="B104" s="131"/>
      <c r="C104" s="131"/>
      <c r="D104" s="131"/>
      <c r="E104" s="131"/>
      <c r="F104" s="131"/>
      <c r="G104" s="131"/>
      <c r="H104" s="131"/>
      <c r="I104" s="131"/>
    </row>
    <row r="105" spans="1:9" ht="31.5" customHeight="1">
      <c r="A105" s="131" t="s">
        <v>21</v>
      </c>
      <c r="B105" s="131"/>
      <c r="C105" s="131"/>
      <c r="D105" s="131"/>
      <c r="E105" s="131"/>
      <c r="F105" s="131"/>
      <c r="G105" s="131"/>
      <c r="H105" s="131"/>
      <c r="I105" s="131"/>
    </row>
    <row r="106" spans="1:9" ht="15.75" customHeight="1">
      <c r="A106" s="131" t="s">
        <v>20</v>
      </c>
      <c r="B106" s="131"/>
      <c r="C106" s="131"/>
      <c r="D106" s="131"/>
      <c r="E106" s="131"/>
      <c r="F106" s="131"/>
      <c r="G106" s="131"/>
      <c r="H106" s="131"/>
      <c r="I106" s="13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92:I92"/>
    <mergeCell ref="A15:I15"/>
    <mergeCell ref="A26:I26"/>
    <mergeCell ref="A42:I42"/>
    <mergeCell ref="A52:I52"/>
    <mergeCell ref="A86:I86"/>
    <mergeCell ref="B87:G87"/>
    <mergeCell ref="B88:G88"/>
    <mergeCell ref="A90:I90"/>
    <mergeCell ref="A91:I91"/>
    <mergeCell ref="A80:I80"/>
    <mergeCell ref="A103:I103"/>
    <mergeCell ref="A104:I104"/>
    <mergeCell ref="A105:I105"/>
    <mergeCell ref="A106:I106"/>
    <mergeCell ref="A94:I94"/>
    <mergeCell ref="C96:E96"/>
    <mergeCell ref="C97:E97"/>
    <mergeCell ref="C99:E99"/>
    <mergeCell ref="C100:E100"/>
    <mergeCell ref="A102:I10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2"/>
  <sheetViews>
    <sheetView view="pageBreakPreview" topLeftCell="A83" zoomScale="60" workbookViewId="0">
      <selection activeCell="B83" sqref="B83:I8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2.570312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152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275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30">
        <v>44165</v>
      </c>
      <c r="J6" s="2"/>
      <c r="K6" s="2"/>
      <c r="L6" s="2"/>
      <c r="M6" s="2"/>
    </row>
    <row r="7" spans="1:13" ht="15.75">
      <c r="B7" s="93"/>
      <c r="C7" s="93"/>
      <c r="D7" s="9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276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76.5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109" t="s">
        <v>81</v>
      </c>
      <c r="C16" s="110" t="s">
        <v>88</v>
      </c>
      <c r="D16" s="109" t="s">
        <v>169</v>
      </c>
      <c r="E16" s="120">
        <v>90.18</v>
      </c>
      <c r="F16" s="112">
        <f>SUM(E16*156/100)</f>
        <v>140.6808</v>
      </c>
      <c r="G16" s="112">
        <v>261.45</v>
      </c>
      <c r="H16" s="67">
        <f t="shared" ref="H16:H24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9" t="s">
        <v>87</v>
      </c>
      <c r="C17" s="110" t="s">
        <v>88</v>
      </c>
      <c r="D17" s="109" t="s">
        <v>170</v>
      </c>
      <c r="E17" s="120">
        <v>360.72</v>
      </c>
      <c r="F17" s="112">
        <f>SUM(E17*104/100)</f>
        <v>375.14880000000005</v>
      </c>
      <c r="G17" s="112">
        <v>261.45</v>
      </c>
      <c r="H17" s="67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9" t="s">
        <v>277</v>
      </c>
      <c r="C18" s="110" t="s">
        <v>88</v>
      </c>
      <c r="D18" s="109" t="s">
        <v>177</v>
      </c>
      <c r="E18" s="120">
        <f>SUM(E16+E17)</f>
        <v>450.90000000000003</v>
      </c>
      <c r="F18" s="112">
        <f>SUM(E18*18/100)</f>
        <v>81.162000000000006</v>
      </c>
      <c r="G18" s="112">
        <v>752.16</v>
      </c>
      <c r="H18" s="67">
        <f t="shared" si="0"/>
        <v>61.046809920000001</v>
      </c>
      <c r="I18" s="13">
        <f>G18*F18/18*1</f>
        <v>3391.4894399999998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10.81</v>
      </c>
      <c r="H25" s="67">
        <f>SUM(F25*G25/1000)</f>
        <v>7.5581357999999996</v>
      </c>
      <c r="I25" s="13">
        <f>G25*F25/12</f>
        <v>629.84465</v>
      </c>
      <c r="J25" s="22"/>
      <c r="K25" s="8"/>
      <c r="L25" s="8"/>
      <c r="M25" s="8"/>
    </row>
    <row r="26" spans="1:13" ht="15.75" hidden="1" customHeight="1">
      <c r="A26" s="29">
        <v>5</v>
      </c>
      <c r="B26" s="71" t="s">
        <v>23</v>
      </c>
      <c r="C26" s="64" t="s">
        <v>24</v>
      </c>
      <c r="D26" s="63"/>
      <c r="E26" s="65">
        <v>2177.1</v>
      </c>
      <c r="F26" s="66">
        <f>SUM(E26*12)</f>
        <v>26125.199999999997</v>
      </c>
      <c r="G26" s="66">
        <v>5.15</v>
      </c>
      <c r="H26" s="67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80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86" t="s">
        <v>28</v>
      </c>
      <c r="C28" s="64"/>
      <c r="D28" s="63"/>
      <c r="E28" s="65"/>
      <c r="F28" s="66"/>
      <c r="G28" s="66"/>
      <c r="H28" s="67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3" t="s">
        <v>97</v>
      </c>
      <c r="C29" s="64" t="s">
        <v>127</v>
      </c>
      <c r="D29" s="63" t="s">
        <v>99</v>
      </c>
      <c r="E29" s="66">
        <v>2497.6999999999998</v>
      </c>
      <c r="F29" s="66">
        <f>SUM(E29*52/1000)</f>
        <v>129.88039999999998</v>
      </c>
      <c r="G29" s="66">
        <v>177.3</v>
      </c>
      <c r="H29" s="67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3" t="s">
        <v>138</v>
      </c>
      <c r="C30" s="64" t="s">
        <v>98</v>
      </c>
      <c r="D30" s="63" t="s">
        <v>100</v>
      </c>
      <c r="E30" s="66">
        <v>266.37</v>
      </c>
      <c r="F30" s="66">
        <f>SUM(E30*78/1000)</f>
        <v>20.776859999999999</v>
      </c>
      <c r="G30" s="66">
        <v>297.17</v>
      </c>
      <c r="H30" s="67">
        <f t="shared" si="1"/>
        <v>6.1742594862000004</v>
      </c>
      <c r="I30" s="13">
        <f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27</v>
      </c>
      <c r="C31" s="64" t="s">
        <v>98</v>
      </c>
      <c r="D31" s="63" t="s">
        <v>52</v>
      </c>
      <c r="E31" s="66">
        <v>2497.6999999999998</v>
      </c>
      <c r="F31" s="66">
        <f>SUM(E31/1000)</f>
        <v>2.4977</v>
      </c>
      <c r="G31" s="66">
        <v>3435.36</v>
      </c>
      <c r="H31" s="67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3" t="s">
        <v>101</v>
      </c>
      <c r="C32" s="64" t="s">
        <v>39</v>
      </c>
      <c r="D32" s="63" t="s">
        <v>61</v>
      </c>
      <c r="E32" s="66">
        <v>2</v>
      </c>
      <c r="F32" s="66">
        <v>3.1</v>
      </c>
      <c r="G32" s="66">
        <v>1480.94</v>
      </c>
      <c r="H32" s="67">
        <f>G32*F32/1000</f>
        <v>4.5909140000000006</v>
      </c>
      <c r="I32" s="13">
        <f>F32/6*G32</f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3" t="s">
        <v>102</v>
      </c>
      <c r="C33" s="64" t="s">
        <v>31</v>
      </c>
      <c r="D33" s="63" t="s">
        <v>61</v>
      </c>
      <c r="E33" s="70">
        <v>0.33333333333333331</v>
      </c>
      <c r="F33" s="66">
        <f>155/3</f>
        <v>51.666666666666664</v>
      </c>
      <c r="G33" s="66">
        <v>64.48</v>
      </c>
      <c r="H33" s="67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3" t="s">
        <v>62</v>
      </c>
      <c r="C34" s="64" t="s">
        <v>33</v>
      </c>
      <c r="D34" s="63" t="s">
        <v>130</v>
      </c>
      <c r="E34" s="65"/>
      <c r="F34" s="66">
        <v>2</v>
      </c>
      <c r="G34" s="66">
        <v>217.61</v>
      </c>
      <c r="H34" s="67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3" t="s">
        <v>63</v>
      </c>
      <c r="C35" s="64" t="s">
        <v>32</v>
      </c>
      <c r="D35" s="63" t="s">
        <v>130</v>
      </c>
      <c r="E35" s="65"/>
      <c r="F35" s="66">
        <v>1</v>
      </c>
      <c r="G35" s="66">
        <v>1292.47</v>
      </c>
      <c r="H35" s="67">
        <f t="shared" si="1"/>
        <v>1.29247</v>
      </c>
      <c r="I35" s="13">
        <v>0</v>
      </c>
      <c r="J35" s="23"/>
    </row>
    <row r="36" spans="1:14" ht="15.75" customHeight="1">
      <c r="A36" s="72"/>
      <c r="B36" s="86" t="s">
        <v>5</v>
      </c>
      <c r="C36" s="64"/>
      <c r="D36" s="63"/>
      <c r="E36" s="65"/>
      <c r="F36" s="66"/>
      <c r="G36" s="66"/>
      <c r="H36" s="67" t="s">
        <v>131</v>
      </c>
      <c r="I36" s="13"/>
      <c r="J36" s="23"/>
    </row>
    <row r="37" spans="1:14" ht="15.75" hidden="1" customHeight="1">
      <c r="A37" s="72">
        <v>5</v>
      </c>
      <c r="B37" s="121" t="s">
        <v>26</v>
      </c>
      <c r="C37" s="110" t="s">
        <v>32</v>
      </c>
      <c r="D37" s="109"/>
      <c r="E37" s="120"/>
      <c r="F37" s="112">
        <v>4</v>
      </c>
      <c r="G37" s="112">
        <v>1930</v>
      </c>
      <c r="H37" s="67">
        <f t="shared" ref="H37:H43" si="2">SUM(F37*G37/1000)</f>
        <v>7.72</v>
      </c>
      <c r="I37" s="13">
        <f>G37*0.8</f>
        <v>1544</v>
      </c>
      <c r="J37" s="23"/>
    </row>
    <row r="38" spans="1:14" ht="15.75" customHeight="1">
      <c r="A38" s="72">
        <v>5</v>
      </c>
      <c r="B38" s="121" t="s">
        <v>103</v>
      </c>
      <c r="C38" s="122" t="s">
        <v>29</v>
      </c>
      <c r="D38" s="109" t="s">
        <v>173</v>
      </c>
      <c r="E38" s="120">
        <v>48.36</v>
      </c>
      <c r="F38" s="123">
        <f>E38*30/1000</f>
        <v>1.4507999999999999</v>
      </c>
      <c r="G38" s="112">
        <v>3134.93</v>
      </c>
      <c r="H38" s="67">
        <f>G38*F38/1000</f>
        <v>4.5481564439999991</v>
      </c>
      <c r="I38" s="13">
        <f>F38/6*G38</f>
        <v>758.02607399999988</v>
      </c>
      <c r="J38" s="23"/>
    </row>
    <row r="39" spans="1:14" ht="15.75" hidden="1" customHeight="1">
      <c r="A39" s="72">
        <v>8</v>
      </c>
      <c r="B39" s="109" t="s">
        <v>104</v>
      </c>
      <c r="C39" s="110" t="s">
        <v>105</v>
      </c>
      <c r="D39" s="109" t="s">
        <v>130</v>
      </c>
      <c r="E39" s="120"/>
      <c r="F39" s="123">
        <v>39</v>
      </c>
      <c r="G39" s="112">
        <v>330</v>
      </c>
      <c r="H39" s="67">
        <f>G39*F39/1000</f>
        <v>12.87</v>
      </c>
      <c r="I39" s="13">
        <v>0</v>
      </c>
      <c r="J39" s="23"/>
      <c r="L39" s="19"/>
      <c r="M39" s="20"/>
      <c r="N39" s="21"/>
    </row>
    <row r="40" spans="1:14" ht="15.75" customHeight="1">
      <c r="A40" s="72">
        <v>6</v>
      </c>
      <c r="B40" s="109" t="s">
        <v>65</v>
      </c>
      <c r="C40" s="110" t="s">
        <v>29</v>
      </c>
      <c r="D40" s="109" t="s">
        <v>174</v>
      </c>
      <c r="E40" s="112">
        <v>53.69</v>
      </c>
      <c r="F40" s="123">
        <f>SUM(E40*155/1000)</f>
        <v>8.3219499999999993</v>
      </c>
      <c r="G40" s="112">
        <v>522.92999999999995</v>
      </c>
      <c r="H40" s="67">
        <f t="shared" si="2"/>
        <v>4.3517973134999997</v>
      </c>
      <c r="I40" s="13">
        <f>F40/6*G40</f>
        <v>725.29955224999992</v>
      </c>
      <c r="J40" s="23"/>
      <c r="L40" s="19"/>
      <c r="M40" s="20"/>
      <c r="N40" s="21"/>
    </row>
    <row r="41" spans="1:14" ht="49.5" customHeight="1">
      <c r="A41" s="72">
        <v>7</v>
      </c>
      <c r="B41" s="109" t="s">
        <v>79</v>
      </c>
      <c r="C41" s="110" t="s">
        <v>98</v>
      </c>
      <c r="D41" s="109" t="s">
        <v>175</v>
      </c>
      <c r="E41" s="112">
        <v>23.93</v>
      </c>
      <c r="F41" s="123">
        <f>SUM(E41*24/1000)</f>
        <v>0.57431999999999994</v>
      </c>
      <c r="G41" s="112">
        <v>8652.07</v>
      </c>
      <c r="H41" s="67">
        <f t="shared" si="2"/>
        <v>4.9690568423999997</v>
      </c>
      <c r="I41" s="13">
        <f>F41/6*G41</f>
        <v>828.17614039999989</v>
      </c>
      <c r="J41" s="23"/>
      <c r="L41" s="19"/>
      <c r="M41" s="20"/>
      <c r="N41" s="21"/>
    </row>
    <row r="42" spans="1:14" ht="15.75" hidden="1" customHeight="1">
      <c r="A42" s="29">
        <v>9</v>
      </c>
      <c r="B42" s="109" t="s">
        <v>108</v>
      </c>
      <c r="C42" s="110" t="s">
        <v>98</v>
      </c>
      <c r="D42" s="109" t="s">
        <v>66</v>
      </c>
      <c r="E42" s="112">
        <v>48.36</v>
      </c>
      <c r="F42" s="123">
        <f>SUM(E42*45/1000)</f>
        <v>2.1761999999999997</v>
      </c>
      <c r="G42" s="112">
        <v>639.14</v>
      </c>
      <c r="H42" s="67">
        <f t="shared" si="2"/>
        <v>1.3908964679999998</v>
      </c>
      <c r="I42" s="13">
        <f>F42/7.5*G42</f>
        <v>185.45286239999999</v>
      </c>
      <c r="J42" s="23"/>
      <c r="L42" s="19"/>
      <c r="M42" s="20"/>
      <c r="N42" s="21"/>
    </row>
    <row r="43" spans="1:14" ht="15.75" hidden="1" customHeight="1">
      <c r="A43" s="29">
        <v>10</v>
      </c>
      <c r="B43" s="121" t="s">
        <v>67</v>
      </c>
      <c r="C43" s="122" t="s">
        <v>33</v>
      </c>
      <c r="D43" s="121"/>
      <c r="E43" s="124"/>
      <c r="F43" s="123">
        <v>0.9</v>
      </c>
      <c r="G43" s="123">
        <v>900</v>
      </c>
      <c r="H43" s="67">
        <f t="shared" si="2"/>
        <v>0.81</v>
      </c>
      <c r="I43" s="13">
        <f>F43/7.5*G43</f>
        <v>108.00000000000001</v>
      </c>
      <c r="J43" s="23"/>
      <c r="L43" s="19"/>
      <c r="M43" s="20"/>
      <c r="N43" s="21"/>
    </row>
    <row r="44" spans="1:14" ht="33.75" customHeight="1">
      <c r="A44" s="29">
        <v>8</v>
      </c>
      <c r="B44" s="125" t="s">
        <v>278</v>
      </c>
      <c r="C44" s="122" t="s">
        <v>29</v>
      </c>
      <c r="D44" s="121" t="s">
        <v>303</v>
      </c>
      <c r="E44" s="124">
        <v>0.6</v>
      </c>
      <c r="F44" s="123">
        <f>E44*12/1000</f>
        <v>7.1999999999999989E-3</v>
      </c>
      <c r="G44" s="123">
        <v>20547.34</v>
      </c>
      <c r="H44" s="57"/>
      <c r="I44" s="119">
        <f>G44*F44/6</f>
        <v>24.656807999999998</v>
      </c>
      <c r="J44" s="23"/>
      <c r="L44" s="19"/>
      <c r="M44" s="20"/>
      <c r="N44" s="21"/>
    </row>
    <row r="45" spans="1:14" ht="15.75" hidden="1" customHeight="1">
      <c r="A45" s="132" t="s">
        <v>135</v>
      </c>
      <c r="B45" s="133"/>
      <c r="C45" s="133"/>
      <c r="D45" s="133"/>
      <c r="E45" s="133"/>
      <c r="F45" s="133"/>
      <c r="G45" s="133"/>
      <c r="H45" s="133"/>
      <c r="I45" s="134"/>
      <c r="J45" s="23"/>
      <c r="L45" s="19"/>
      <c r="M45" s="20"/>
      <c r="N45" s="21"/>
    </row>
    <row r="46" spans="1:14" ht="15.75" hidden="1" customHeight="1">
      <c r="A46" s="29"/>
      <c r="B46" s="63" t="s">
        <v>109</v>
      </c>
      <c r="C46" s="64" t="s">
        <v>98</v>
      </c>
      <c r="D46" s="63" t="s">
        <v>41</v>
      </c>
      <c r="E46" s="65">
        <v>614.29999999999995</v>
      </c>
      <c r="F46" s="66">
        <f>SUM(E46*2/1000)</f>
        <v>1.2285999999999999</v>
      </c>
      <c r="G46" s="13">
        <v>1094.96</v>
      </c>
      <c r="H46" s="67">
        <f t="shared" ref="H46:H54" si="3">SUM(F46*G46/1000)</f>
        <v>1.345267856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34</v>
      </c>
      <c r="C47" s="64" t="s">
        <v>98</v>
      </c>
      <c r="D47" s="63" t="s">
        <v>41</v>
      </c>
      <c r="E47" s="65">
        <v>61</v>
      </c>
      <c r="F47" s="66">
        <f>E47*2/1000</f>
        <v>0.122</v>
      </c>
      <c r="G47" s="13">
        <v>3832.4</v>
      </c>
      <c r="H47" s="67">
        <f t="shared" si="3"/>
        <v>0.46755279999999999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3" t="s">
        <v>35</v>
      </c>
      <c r="C48" s="64" t="s">
        <v>98</v>
      </c>
      <c r="D48" s="63" t="s">
        <v>41</v>
      </c>
      <c r="E48" s="65">
        <v>3135.64</v>
      </c>
      <c r="F48" s="66">
        <f>SUM(E48*2/1000)</f>
        <v>6.27128</v>
      </c>
      <c r="G48" s="13">
        <v>1564.24</v>
      </c>
      <c r="H48" s="67">
        <f t="shared" si="3"/>
        <v>9.8097870272000005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3" t="s">
        <v>36</v>
      </c>
      <c r="C49" s="64" t="s">
        <v>98</v>
      </c>
      <c r="D49" s="63" t="s">
        <v>41</v>
      </c>
      <c r="E49" s="65">
        <v>1678.47</v>
      </c>
      <c r="F49" s="66">
        <f>SUM(E49*2/1000)</f>
        <v>3.3569400000000003</v>
      </c>
      <c r="G49" s="13">
        <v>1078.3599999999999</v>
      </c>
      <c r="H49" s="67">
        <f t="shared" si="3"/>
        <v>3.6199898183999997</v>
      </c>
      <c r="I49" s="13">
        <v>0</v>
      </c>
      <c r="J49" s="23"/>
      <c r="L49" s="19"/>
      <c r="M49" s="20"/>
      <c r="N49" s="21"/>
    </row>
    <row r="50" spans="1:22" ht="31.5" hidden="1" customHeight="1">
      <c r="A50" s="29">
        <v>12</v>
      </c>
      <c r="B50" s="63" t="s">
        <v>54</v>
      </c>
      <c r="C50" s="64" t="s">
        <v>98</v>
      </c>
      <c r="D50" s="63" t="s">
        <v>139</v>
      </c>
      <c r="E50" s="65">
        <v>614.29999999999995</v>
      </c>
      <c r="F50" s="66">
        <f>SUM(E50*5/1000)</f>
        <v>3.0714999999999999</v>
      </c>
      <c r="G50" s="13">
        <v>1838.49</v>
      </c>
      <c r="H50" s="67">
        <f t="shared" si="3"/>
        <v>5.6469220349999993</v>
      </c>
      <c r="I50" s="13">
        <f>F50/5*G50</f>
        <v>1129.384407</v>
      </c>
      <c r="J50" s="23"/>
      <c r="L50" s="19"/>
      <c r="M50" s="20"/>
      <c r="N50" s="21"/>
    </row>
    <row r="51" spans="1:22" ht="31.5" hidden="1" customHeight="1">
      <c r="A51" s="29"/>
      <c r="B51" s="63" t="s">
        <v>110</v>
      </c>
      <c r="C51" s="64" t="s">
        <v>98</v>
      </c>
      <c r="D51" s="63" t="s">
        <v>41</v>
      </c>
      <c r="E51" s="65">
        <v>614.29999999999995</v>
      </c>
      <c r="F51" s="66">
        <f>SUM(E51*2/1000)</f>
        <v>1.2285999999999999</v>
      </c>
      <c r="G51" s="13">
        <v>1380.31</v>
      </c>
      <c r="H51" s="67">
        <f t="shared" si="3"/>
        <v>1.6958488659999997</v>
      </c>
      <c r="I51" s="13">
        <v>0</v>
      </c>
      <c r="J51" s="23"/>
      <c r="L51" s="19"/>
      <c r="M51" s="20"/>
      <c r="N51" s="21"/>
    </row>
    <row r="52" spans="1:22" ht="31.5" hidden="1" customHeight="1">
      <c r="A52" s="117"/>
      <c r="B52" s="63" t="s">
        <v>111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13">
        <v>3519.56</v>
      </c>
      <c r="H52" s="67">
        <f t="shared" si="3"/>
        <v>1.407824</v>
      </c>
      <c r="I52" s="13">
        <v>0</v>
      </c>
      <c r="J52" s="23"/>
      <c r="L52" s="19"/>
      <c r="M52" s="20"/>
      <c r="N52" s="21"/>
    </row>
    <row r="53" spans="1:22" ht="15.75" hidden="1" customHeight="1">
      <c r="A53" s="29"/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6428.82</v>
      </c>
      <c r="H53" s="67">
        <f t="shared" si="3"/>
        <v>0.12857640000000001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>
        <v>13</v>
      </c>
      <c r="B54" s="63" t="s">
        <v>40</v>
      </c>
      <c r="C54" s="64" t="s">
        <v>112</v>
      </c>
      <c r="D54" s="63" t="s">
        <v>68</v>
      </c>
      <c r="E54" s="65">
        <v>170</v>
      </c>
      <c r="F54" s="66">
        <f>SUM(E54)*3</f>
        <v>510</v>
      </c>
      <c r="G54" s="13">
        <v>74.709999999999994</v>
      </c>
      <c r="H54" s="67">
        <f t="shared" si="3"/>
        <v>38.1021</v>
      </c>
      <c r="I54" s="13">
        <f>G54*E54</f>
        <v>12700.699999999999</v>
      </c>
      <c r="J54" s="23"/>
      <c r="L54" s="19"/>
      <c r="M54" s="20"/>
      <c r="N54" s="21"/>
    </row>
    <row r="55" spans="1:22" ht="15.75" customHeight="1">
      <c r="A55" s="132" t="s">
        <v>145</v>
      </c>
      <c r="B55" s="133"/>
      <c r="C55" s="133"/>
      <c r="D55" s="133"/>
      <c r="E55" s="133"/>
      <c r="F55" s="133"/>
      <c r="G55" s="133"/>
      <c r="H55" s="133"/>
      <c r="I55" s="134"/>
      <c r="J55" s="23"/>
      <c r="L55" s="19"/>
      <c r="M55" s="20"/>
      <c r="N55" s="21"/>
    </row>
    <row r="56" spans="1:22" ht="15.75" hidden="1" customHeight="1">
      <c r="A56" s="29"/>
      <c r="B56" s="86" t="s">
        <v>42</v>
      </c>
      <c r="C56" s="64"/>
      <c r="D56" s="63"/>
      <c r="E56" s="65"/>
      <c r="F56" s="66"/>
      <c r="G56" s="66"/>
      <c r="H56" s="67"/>
      <c r="I56" s="13"/>
      <c r="J56" s="23"/>
      <c r="L56" s="19"/>
      <c r="M56" s="20"/>
      <c r="N56" s="21"/>
    </row>
    <row r="57" spans="1:22" ht="31.5" hidden="1" customHeight="1">
      <c r="A57" s="29">
        <v>11</v>
      </c>
      <c r="B57" s="63" t="s">
        <v>113</v>
      </c>
      <c r="C57" s="64" t="s">
        <v>88</v>
      </c>
      <c r="D57" s="63"/>
      <c r="E57" s="65">
        <v>63.07</v>
      </c>
      <c r="F57" s="66">
        <f>SUM(E57*6/100)</f>
        <v>3.7842000000000002</v>
      </c>
      <c r="G57" s="13">
        <v>1759.9</v>
      </c>
      <c r="H57" s="67">
        <f>SUM(F57*G57/1000)</f>
        <v>6.6598135800000007</v>
      </c>
      <c r="I57" s="13">
        <f>G57*0.3</f>
        <v>527.97</v>
      </c>
      <c r="J57" s="23"/>
      <c r="L57" s="19"/>
    </row>
    <row r="58" spans="1:22" ht="15.75" customHeight="1">
      <c r="A58" s="29"/>
      <c r="B58" s="87" t="s">
        <v>43</v>
      </c>
      <c r="C58" s="73"/>
      <c r="D58" s="74"/>
      <c r="E58" s="75"/>
      <c r="F58" s="76"/>
      <c r="G58" s="13"/>
      <c r="H58" s="77"/>
      <c r="I58" s="13"/>
    </row>
    <row r="59" spans="1:22" ht="15.75" hidden="1" customHeight="1">
      <c r="A59" s="29"/>
      <c r="B59" s="74" t="s">
        <v>133</v>
      </c>
      <c r="C59" s="73" t="s">
        <v>51</v>
      </c>
      <c r="D59" s="74" t="s">
        <v>52</v>
      </c>
      <c r="E59" s="75">
        <v>614.29999999999995</v>
      </c>
      <c r="F59" s="76">
        <v>6.1429999999999998</v>
      </c>
      <c r="G59" s="13">
        <v>902.66</v>
      </c>
      <c r="H59" s="77">
        <f>F59*G59/1000</f>
        <v>5.5450403799999997</v>
      </c>
      <c r="I59" s="13">
        <v>0</v>
      </c>
    </row>
    <row r="60" spans="1:22" ht="15.75" customHeight="1">
      <c r="A60" s="29">
        <v>9</v>
      </c>
      <c r="B60" s="74" t="s">
        <v>85</v>
      </c>
      <c r="C60" s="73" t="s">
        <v>25</v>
      </c>
      <c r="D60" s="74" t="s">
        <v>178</v>
      </c>
      <c r="E60" s="75">
        <v>100</v>
      </c>
      <c r="F60" s="78">
        <f>E60*12</f>
        <v>1200</v>
      </c>
      <c r="G60" s="57">
        <v>1.4</v>
      </c>
      <c r="H60" s="76">
        <f>F60*G60/1000</f>
        <v>1.68</v>
      </c>
      <c r="I60" s="13">
        <f>F60/12*G60</f>
        <v>140</v>
      </c>
    </row>
    <row r="61" spans="1:22" ht="15.75" hidden="1" customHeight="1">
      <c r="A61" s="29"/>
      <c r="B61" s="87" t="s">
        <v>44</v>
      </c>
      <c r="C61" s="73"/>
      <c r="D61" s="74"/>
      <c r="E61" s="75"/>
      <c r="F61" s="78"/>
      <c r="G61" s="78"/>
      <c r="H61" s="76" t="s">
        <v>131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13</v>
      </c>
      <c r="B62" s="14" t="s">
        <v>45</v>
      </c>
      <c r="C62" s="16" t="s">
        <v>112</v>
      </c>
      <c r="D62" s="14" t="s">
        <v>64</v>
      </c>
      <c r="E62" s="18">
        <v>25</v>
      </c>
      <c r="F62" s="66">
        <v>25</v>
      </c>
      <c r="G62" s="13">
        <v>252.96</v>
      </c>
      <c r="H62" s="79">
        <f t="shared" ref="H62:H79" si="4">SUM(F62*G62/1000)</f>
        <v>6.3239999999999998</v>
      </c>
      <c r="I62" s="13">
        <f>G62*1</f>
        <v>252.96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46</v>
      </c>
      <c r="C63" s="16" t="s">
        <v>112</v>
      </c>
      <c r="D63" s="14" t="s">
        <v>64</v>
      </c>
      <c r="E63" s="18">
        <v>2</v>
      </c>
      <c r="F63" s="66">
        <v>2</v>
      </c>
      <c r="G63" s="13">
        <v>86.74</v>
      </c>
      <c r="H63" s="79">
        <f t="shared" si="4"/>
        <v>0.17348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47</v>
      </c>
      <c r="C64" s="16" t="s">
        <v>115</v>
      </c>
      <c r="D64" s="14" t="s">
        <v>52</v>
      </c>
      <c r="E64" s="65">
        <v>8692</v>
      </c>
      <c r="F64" s="13">
        <f>SUM(E64/100)</f>
        <v>86.92</v>
      </c>
      <c r="G64" s="13">
        <v>241.31</v>
      </c>
      <c r="H64" s="79">
        <f t="shared" si="4"/>
        <v>20.9746652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38"/>
      <c r="S64" s="138"/>
      <c r="T64" s="138"/>
      <c r="U64" s="138"/>
    </row>
    <row r="65" spans="1:21" ht="15.75" hidden="1" customHeight="1">
      <c r="A65" s="29"/>
      <c r="B65" s="14" t="s">
        <v>48</v>
      </c>
      <c r="C65" s="16" t="s">
        <v>116</v>
      </c>
      <c r="D65" s="14"/>
      <c r="E65" s="65">
        <v>8692</v>
      </c>
      <c r="F65" s="13">
        <f>SUM(E65/1000)</f>
        <v>8.6920000000000002</v>
      </c>
      <c r="G65" s="13">
        <v>187.91</v>
      </c>
      <c r="H65" s="79">
        <f t="shared" si="4"/>
        <v>1.6333137200000001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117"/>
      <c r="B66" s="14" t="s">
        <v>49</v>
      </c>
      <c r="C66" s="16" t="s">
        <v>74</v>
      </c>
      <c r="D66" s="14" t="s">
        <v>52</v>
      </c>
      <c r="E66" s="65">
        <v>855</v>
      </c>
      <c r="F66" s="13">
        <f>SUM(E66/100)</f>
        <v>8.5500000000000007</v>
      </c>
      <c r="G66" s="13">
        <v>2359.7199999999998</v>
      </c>
      <c r="H66" s="79">
        <f t="shared" si="4"/>
        <v>20.175605999999998</v>
      </c>
      <c r="I66" s="13">
        <v>0</v>
      </c>
    </row>
    <row r="67" spans="1:21" ht="15.75" hidden="1" customHeight="1">
      <c r="A67" s="29"/>
      <c r="B67" s="80" t="s">
        <v>117</v>
      </c>
      <c r="C67" s="16" t="s">
        <v>33</v>
      </c>
      <c r="D67" s="14"/>
      <c r="E67" s="65">
        <v>8.6</v>
      </c>
      <c r="F67" s="13">
        <f>SUM(E67)</f>
        <v>8.6</v>
      </c>
      <c r="G67" s="13">
        <v>42.67</v>
      </c>
      <c r="H67" s="79">
        <f t="shared" si="4"/>
        <v>0.36696200000000001</v>
      </c>
      <c r="I67" s="13">
        <v>0</v>
      </c>
    </row>
    <row r="68" spans="1:21" ht="15.75" hidden="1" customHeight="1">
      <c r="A68" s="29"/>
      <c r="B68" s="80" t="s">
        <v>118</v>
      </c>
      <c r="C68" s="16" t="s">
        <v>33</v>
      </c>
      <c r="D68" s="14"/>
      <c r="E68" s="65">
        <v>8.6</v>
      </c>
      <c r="F68" s="13">
        <f>SUM(E68)</f>
        <v>8.6</v>
      </c>
      <c r="G68" s="13">
        <v>39.81</v>
      </c>
      <c r="H68" s="79">
        <f t="shared" si="4"/>
        <v>0.342366</v>
      </c>
      <c r="I68" s="13">
        <v>0</v>
      </c>
    </row>
    <row r="69" spans="1:21" ht="15.75" hidden="1" customHeight="1">
      <c r="A69" s="29"/>
      <c r="B69" s="14" t="s">
        <v>55</v>
      </c>
      <c r="C69" s="16" t="s">
        <v>56</v>
      </c>
      <c r="D69" s="14" t="s">
        <v>52</v>
      </c>
      <c r="E69" s="18">
        <v>5</v>
      </c>
      <c r="F69" s="66">
        <v>5</v>
      </c>
      <c r="G69" s="13">
        <v>56.74</v>
      </c>
      <c r="H69" s="79">
        <f t="shared" si="4"/>
        <v>0.28370000000000001</v>
      </c>
      <c r="I69" s="13">
        <v>0</v>
      </c>
    </row>
    <row r="70" spans="1:21" ht="15.75" customHeight="1">
      <c r="A70" s="29"/>
      <c r="B70" s="126" t="s">
        <v>280</v>
      </c>
      <c r="C70" s="114"/>
      <c r="D70" s="35"/>
      <c r="E70" s="17"/>
      <c r="F70" s="104"/>
      <c r="G70" s="34"/>
      <c r="H70" s="79"/>
      <c r="I70" s="13"/>
    </row>
    <row r="71" spans="1:21" ht="29.25" customHeight="1">
      <c r="A71" s="29">
        <v>10</v>
      </c>
      <c r="B71" s="127" t="s">
        <v>281</v>
      </c>
      <c r="C71" s="107" t="s">
        <v>282</v>
      </c>
      <c r="D71" s="35"/>
      <c r="E71" s="17">
        <v>2177.1</v>
      </c>
      <c r="F71" s="34">
        <f>E71*12</f>
        <v>26125.199999999997</v>
      </c>
      <c r="G71" s="34">
        <v>2.6</v>
      </c>
      <c r="H71" s="79"/>
      <c r="I71" s="13">
        <f>G71*F71/12</f>
        <v>5660.4599999999991</v>
      </c>
    </row>
    <row r="72" spans="1:21" ht="15.75" customHeight="1">
      <c r="A72" s="29"/>
      <c r="B72" s="88" t="s">
        <v>69</v>
      </c>
      <c r="C72" s="16"/>
      <c r="D72" s="14"/>
      <c r="E72" s="18"/>
      <c r="F72" s="13"/>
      <c r="G72" s="13"/>
      <c r="H72" s="79" t="s">
        <v>131</v>
      </c>
      <c r="I72" s="13"/>
    </row>
    <row r="73" spans="1:21" ht="15.75" hidden="1" customHeight="1">
      <c r="A73" s="29"/>
      <c r="B73" s="14" t="s">
        <v>124</v>
      </c>
      <c r="C73" s="16" t="s">
        <v>125</v>
      </c>
      <c r="D73" s="14"/>
      <c r="E73" s="18">
        <v>4</v>
      </c>
      <c r="F73" s="13">
        <f>E73</f>
        <v>4</v>
      </c>
      <c r="G73" s="13">
        <v>113.57</v>
      </c>
      <c r="H73" s="79">
        <f t="shared" si="4"/>
        <v>0.45427999999999996</v>
      </c>
      <c r="I73" s="13">
        <v>0</v>
      </c>
    </row>
    <row r="74" spans="1:21" ht="15.75" customHeight="1">
      <c r="A74" s="29">
        <v>11</v>
      </c>
      <c r="B74" s="14" t="s">
        <v>70</v>
      </c>
      <c r="C74" s="16" t="s">
        <v>72</v>
      </c>
      <c r="D74" s="14"/>
      <c r="E74" s="18">
        <v>20</v>
      </c>
      <c r="F74" s="13">
        <v>2</v>
      </c>
      <c r="G74" s="34">
        <v>747.85</v>
      </c>
      <c r="H74" s="79">
        <f t="shared" si="4"/>
        <v>1.4957</v>
      </c>
      <c r="I74" s="13">
        <f>G74*2.7</f>
        <v>2019.1950000000002</v>
      </c>
    </row>
    <row r="75" spans="1:21" ht="15.75" hidden="1" customHeight="1">
      <c r="A75" s="29"/>
      <c r="B75" s="14" t="s">
        <v>71</v>
      </c>
      <c r="C75" s="16" t="s">
        <v>31</v>
      </c>
      <c r="D75" s="14"/>
      <c r="E75" s="18">
        <v>2</v>
      </c>
      <c r="F75" s="57">
        <v>2</v>
      </c>
      <c r="G75" s="13">
        <v>970.21</v>
      </c>
      <c r="H75" s="79">
        <f>F75*G75/1000</f>
        <v>1.94042</v>
      </c>
      <c r="I75" s="13">
        <v>0</v>
      </c>
    </row>
    <row r="76" spans="1:21" ht="15.75" hidden="1" customHeight="1">
      <c r="A76" s="29"/>
      <c r="B76" s="14" t="s">
        <v>82</v>
      </c>
      <c r="C76" s="16" t="s">
        <v>31</v>
      </c>
      <c r="D76" s="14"/>
      <c r="E76" s="18">
        <v>2</v>
      </c>
      <c r="F76" s="13">
        <v>2</v>
      </c>
      <c r="G76" s="13">
        <v>407.79</v>
      </c>
      <c r="H76" s="79">
        <f>G76*F76/1000</f>
        <v>0.81558000000000008</v>
      </c>
      <c r="I76" s="13">
        <v>0</v>
      </c>
    </row>
    <row r="77" spans="1:21" ht="30.75" customHeight="1">
      <c r="A77" s="29">
        <v>12</v>
      </c>
      <c r="B77" s="35" t="s">
        <v>279</v>
      </c>
      <c r="C77" s="114" t="s">
        <v>31</v>
      </c>
      <c r="D77" s="35" t="s">
        <v>177</v>
      </c>
      <c r="E77" s="17">
        <v>1</v>
      </c>
      <c r="F77" s="34">
        <v>1</v>
      </c>
      <c r="G77" s="34">
        <v>425</v>
      </c>
      <c r="H77" s="79"/>
      <c r="I77" s="13">
        <f>G77*1</f>
        <v>425</v>
      </c>
    </row>
    <row r="78" spans="1:21" ht="15.75" hidden="1" customHeight="1">
      <c r="A78" s="29"/>
      <c r="B78" s="82" t="s">
        <v>73</v>
      </c>
      <c r="C78" s="16"/>
      <c r="D78" s="14"/>
      <c r="E78" s="18"/>
      <c r="F78" s="13"/>
      <c r="G78" s="13" t="s">
        <v>131</v>
      </c>
      <c r="H78" s="79" t="s">
        <v>131</v>
      </c>
      <c r="I78" s="13"/>
    </row>
    <row r="79" spans="1:21" ht="15.75" hidden="1" customHeight="1">
      <c r="A79" s="29"/>
      <c r="B79" s="43" t="s">
        <v>121</v>
      </c>
      <c r="C79" s="16" t="s">
        <v>74</v>
      </c>
      <c r="D79" s="14"/>
      <c r="E79" s="18"/>
      <c r="F79" s="13">
        <v>1</v>
      </c>
      <c r="G79" s="13">
        <v>3138.63</v>
      </c>
      <c r="H79" s="79">
        <f t="shared" si="4"/>
        <v>3.13863</v>
      </c>
      <c r="I79" s="13">
        <v>0</v>
      </c>
    </row>
    <row r="80" spans="1:21" ht="15.75" hidden="1" customHeight="1">
      <c r="A80" s="29"/>
      <c r="B80" s="118" t="s">
        <v>119</v>
      </c>
      <c r="C80" s="82"/>
      <c r="D80" s="31"/>
      <c r="E80" s="32"/>
      <c r="F80" s="69"/>
      <c r="G80" s="69"/>
      <c r="H80" s="83">
        <f>SUM(H57:H79)</f>
        <v>72.003556879999991</v>
      </c>
      <c r="I80" s="69"/>
    </row>
    <row r="81" spans="1:9" ht="15.75" hidden="1" customHeight="1">
      <c r="A81" s="117"/>
      <c r="B81" s="63" t="s">
        <v>120</v>
      </c>
      <c r="C81" s="16"/>
      <c r="D81" s="14"/>
      <c r="E81" s="58"/>
      <c r="F81" s="13">
        <v>1</v>
      </c>
      <c r="G81" s="13">
        <v>19285</v>
      </c>
      <c r="H81" s="79">
        <f>G81*F81/1000</f>
        <v>19.285</v>
      </c>
      <c r="I81" s="13">
        <v>0</v>
      </c>
    </row>
    <row r="82" spans="1:9" ht="15.75" customHeight="1">
      <c r="A82" s="132" t="s">
        <v>146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29">
        <v>13</v>
      </c>
      <c r="B83" s="128" t="s">
        <v>122</v>
      </c>
      <c r="C83" s="114" t="s">
        <v>53</v>
      </c>
      <c r="D83" s="129"/>
      <c r="E83" s="34">
        <v>2177.1</v>
      </c>
      <c r="F83" s="34">
        <f>SUM(E83*12)</f>
        <v>26125.199999999997</v>
      </c>
      <c r="G83" s="130">
        <v>3.5</v>
      </c>
      <c r="H83" s="79">
        <f>SUM(F83*G83/1000)</f>
        <v>91.438199999999981</v>
      </c>
      <c r="I83" s="13">
        <f>F83/12*G83</f>
        <v>7619.8499999999995</v>
      </c>
    </row>
    <row r="84" spans="1:9" ht="31.5" customHeight="1">
      <c r="A84" s="29">
        <v>14</v>
      </c>
      <c r="B84" s="35" t="s">
        <v>283</v>
      </c>
      <c r="C84" s="114" t="s">
        <v>53</v>
      </c>
      <c r="D84" s="48"/>
      <c r="E84" s="102">
        <f>E83</f>
        <v>2177.1</v>
      </c>
      <c r="F84" s="34">
        <f>E84*12</f>
        <v>26125.199999999997</v>
      </c>
      <c r="G84" s="34">
        <v>3.24</v>
      </c>
      <c r="H84" s="79">
        <f>F84*G84/1000</f>
        <v>84.645647999999994</v>
      </c>
      <c r="I84" s="13">
        <f>F84/12*G84</f>
        <v>7053.8040000000001</v>
      </c>
    </row>
    <row r="85" spans="1:9" ht="31.5" customHeight="1">
      <c r="A85" s="29">
        <v>15</v>
      </c>
      <c r="B85" s="35" t="s">
        <v>284</v>
      </c>
      <c r="C85" s="114" t="s">
        <v>53</v>
      </c>
      <c r="D85" s="48"/>
      <c r="E85" s="17">
        <v>2177.1</v>
      </c>
      <c r="F85" s="34">
        <f>E85*1</f>
        <v>2177.1</v>
      </c>
      <c r="G85" s="34">
        <v>3.24</v>
      </c>
      <c r="H85" s="79"/>
      <c r="I85" s="13">
        <f>G85*F85/1</f>
        <v>7053.8040000000001</v>
      </c>
    </row>
    <row r="86" spans="1:9" ht="15.75" customHeight="1">
      <c r="A86" s="29"/>
      <c r="B86" s="36" t="s">
        <v>77</v>
      </c>
      <c r="C86" s="82"/>
      <c r="D86" s="81"/>
      <c r="E86" s="69"/>
      <c r="F86" s="69"/>
      <c r="G86" s="69"/>
      <c r="H86" s="83">
        <f>H84</f>
        <v>84.645647999999994</v>
      </c>
      <c r="I86" s="69">
        <f>I85+I84+I83+I77+I74+I71+I60+I44+I41+I40+I38+I25+I18+I17+I16</f>
        <v>47568.243074649989</v>
      </c>
    </row>
    <row r="87" spans="1:9" ht="15.75" customHeight="1">
      <c r="A87" s="146" t="s">
        <v>58</v>
      </c>
      <c r="B87" s="147"/>
      <c r="C87" s="147"/>
      <c r="D87" s="147"/>
      <c r="E87" s="147"/>
      <c r="F87" s="147"/>
      <c r="G87" s="147"/>
      <c r="H87" s="147"/>
      <c r="I87" s="148"/>
    </row>
    <row r="88" spans="1:9" ht="28.5" customHeight="1">
      <c r="A88" s="29">
        <v>16</v>
      </c>
      <c r="B88" s="98" t="s">
        <v>285</v>
      </c>
      <c r="C88" s="49" t="s">
        <v>192</v>
      </c>
      <c r="D88" s="48"/>
      <c r="E88" s="34"/>
      <c r="F88" s="34">
        <v>1</v>
      </c>
      <c r="G88" s="34">
        <v>754.11</v>
      </c>
      <c r="H88" s="34"/>
      <c r="I88" s="85">
        <f>G88*1</f>
        <v>754.11</v>
      </c>
    </row>
    <row r="89" spans="1:9" ht="14.25" customHeight="1">
      <c r="A89" s="29">
        <v>17</v>
      </c>
      <c r="B89" s="98" t="s">
        <v>286</v>
      </c>
      <c r="C89" s="49" t="s">
        <v>287</v>
      </c>
      <c r="D89" s="48" t="s">
        <v>300</v>
      </c>
      <c r="E89" s="34"/>
      <c r="F89" s="34">
        <v>1</v>
      </c>
      <c r="G89" s="34">
        <v>348.27</v>
      </c>
      <c r="H89" s="90"/>
      <c r="I89" s="85">
        <f>G89*1</f>
        <v>348.27</v>
      </c>
    </row>
    <row r="90" spans="1:9" ht="31.5" customHeight="1">
      <c r="A90" s="29">
        <v>18</v>
      </c>
      <c r="B90" s="98" t="s">
        <v>288</v>
      </c>
      <c r="C90" s="49" t="s">
        <v>125</v>
      </c>
      <c r="D90" s="35" t="s">
        <v>299</v>
      </c>
      <c r="E90" s="34"/>
      <c r="F90" s="34">
        <v>5</v>
      </c>
      <c r="G90" s="34">
        <v>913.43</v>
      </c>
      <c r="H90" s="90"/>
      <c r="I90" s="85">
        <f>G90*5</f>
        <v>4567.1499999999996</v>
      </c>
    </row>
    <row r="91" spans="1:9" ht="34.5" customHeight="1">
      <c r="A91" s="29">
        <v>19</v>
      </c>
      <c r="B91" s="98" t="s">
        <v>83</v>
      </c>
      <c r="C91" s="49" t="s">
        <v>125</v>
      </c>
      <c r="D91" s="48" t="s">
        <v>295</v>
      </c>
      <c r="E91" s="34"/>
      <c r="F91" s="34">
        <v>1</v>
      </c>
      <c r="G91" s="34">
        <v>670.51</v>
      </c>
      <c r="H91" s="90"/>
      <c r="I91" s="85">
        <f>G91*1</f>
        <v>670.51</v>
      </c>
    </row>
    <row r="92" spans="1:9" ht="35.25" customHeight="1">
      <c r="A92" s="29">
        <v>20</v>
      </c>
      <c r="B92" s="35" t="s">
        <v>289</v>
      </c>
      <c r="C92" s="114" t="s">
        <v>153</v>
      </c>
      <c r="D92" s="48" t="s">
        <v>296</v>
      </c>
      <c r="E92" s="34"/>
      <c r="F92" s="34">
        <v>1.5</v>
      </c>
      <c r="G92" s="34">
        <v>1421.68</v>
      </c>
      <c r="H92" s="90"/>
      <c r="I92" s="85">
        <f>G92*1.5</f>
        <v>2132.52</v>
      </c>
    </row>
    <row r="93" spans="1:9" ht="31.5" customHeight="1">
      <c r="A93" s="29">
        <v>21</v>
      </c>
      <c r="B93" s="35" t="s">
        <v>290</v>
      </c>
      <c r="C93" s="114" t="s">
        <v>291</v>
      </c>
      <c r="D93" s="48" t="s">
        <v>298</v>
      </c>
      <c r="E93" s="34"/>
      <c r="F93" s="34">
        <v>1</v>
      </c>
      <c r="G93" s="34">
        <v>994.08</v>
      </c>
      <c r="H93" s="90"/>
      <c r="I93" s="85">
        <f>G93*1</f>
        <v>994.08</v>
      </c>
    </row>
    <row r="94" spans="1:9" ht="15.75" customHeight="1">
      <c r="A94" s="29">
        <v>22</v>
      </c>
      <c r="B94" s="98" t="s">
        <v>292</v>
      </c>
      <c r="C94" s="49" t="s">
        <v>207</v>
      </c>
      <c r="D94" s="48" t="s">
        <v>294</v>
      </c>
      <c r="E94" s="34"/>
      <c r="F94" s="34">
        <v>2</v>
      </c>
      <c r="G94" s="34">
        <v>269.91000000000003</v>
      </c>
      <c r="H94" s="90"/>
      <c r="I94" s="85">
        <f>G94*2</f>
        <v>539.82000000000005</v>
      </c>
    </row>
    <row r="95" spans="1:9" ht="36.75" customHeight="1">
      <c r="A95" s="29">
        <v>23</v>
      </c>
      <c r="B95" s="106" t="s">
        <v>193</v>
      </c>
      <c r="C95" s="107" t="s">
        <v>194</v>
      </c>
      <c r="D95" s="48"/>
      <c r="E95" s="34"/>
      <c r="F95" s="34">
        <v>0.2</v>
      </c>
      <c r="G95" s="34">
        <v>1873.58</v>
      </c>
      <c r="H95" s="90"/>
      <c r="I95" s="85">
        <f>G95*0.2</f>
        <v>374.71600000000001</v>
      </c>
    </row>
    <row r="96" spans="1:9" ht="15.75" customHeight="1">
      <c r="A96" s="29">
        <v>24</v>
      </c>
      <c r="B96" s="98" t="s">
        <v>195</v>
      </c>
      <c r="C96" s="49" t="s">
        <v>196</v>
      </c>
      <c r="D96" s="48"/>
      <c r="E96" s="34"/>
      <c r="F96" s="34">
        <v>1</v>
      </c>
      <c r="G96" s="34">
        <v>923.85</v>
      </c>
      <c r="H96" s="90"/>
      <c r="I96" s="85">
        <f>G96*1</f>
        <v>923.85</v>
      </c>
    </row>
    <row r="97" spans="1:9" ht="15.75" customHeight="1">
      <c r="A97" s="29">
        <v>25</v>
      </c>
      <c r="B97" s="98" t="s">
        <v>78</v>
      </c>
      <c r="C97" s="49" t="s">
        <v>112</v>
      </c>
      <c r="D97" s="48"/>
      <c r="E97" s="34"/>
      <c r="F97" s="34">
        <v>1</v>
      </c>
      <c r="G97" s="34">
        <v>215.85</v>
      </c>
      <c r="H97" s="90"/>
      <c r="I97" s="85">
        <f>G97*1</f>
        <v>215.85</v>
      </c>
    </row>
    <row r="98" spans="1:9" ht="29.25" customHeight="1">
      <c r="A98" s="29">
        <v>26</v>
      </c>
      <c r="B98" s="98" t="s">
        <v>293</v>
      </c>
      <c r="C98" s="49" t="s">
        <v>125</v>
      </c>
      <c r="D98" s="48" t="s">
        <v>297</v>
      </c>
      <c r="E98" s="34"/>
      <c r="F98" s="34">
        <v>1</v>
      </c>
      <c r="G98" s="34">
        <v>1558.24</v>
      </c>
      <c r="H98" s="90"/>
      <c r="I98" s="85">
        <f>G98*1</f>
        <v>1558.24</v>
      </c>
    </row>
    <row r="99" spans="1:9" ht="15.75" customHeight="1">
      <c r="A99" s="29"/>
      <c r="B99" s="41" t="s">
        <v>50</v>
      </c>
      <c r="C99" s="37"/>
      <c r="D99" s="45"/>
      <c r="E99" s="37">
        <v>1</v>
      </c>
      <c r="F99" s="37"/>
      <c r="G99" s="37"/>
      <c r="H99" s="37"/>
      <c r="I99" s="32">
        <f>SUM(I88:I98)</f>
        <v>13079.116</v>
      </c>
    </row>
    <row r="100" spans="1:9" ht="15.75" customHeight="1">
      <c r="A100" s="29"/>
      <c r="B100" s="43" t="s">
        <v>76</v>
      </c>
      <c r="C100" s="15"/>
      <c r="D100" s="15"/>
      <c r="E100" s="38"/>
      <c r="F100" s="38"/>
      <c r="G100" s="39"/>
      <c r="H100" s="39"/>
      <c r="I100" s="17">
        <v>0</v>
      </c>
    </row>
    <row r="101" spans="1:9" ht="15.75" customHeight="1">
      <c r="A101" s="46"/>
      <c r="B101" s="42" t="s">
        <v>151</v>
      </c>
      <c r="C101" s="33"/>
      <c r="D101" s="33"/>
      <c r="E101" s="33"/>
      <c r="F101" s="33"/>
      <c r="G101" s="33"/>
      <c r="H101" s="33"/>
      <c r="I101" s="40">
        <f>I86+I99</f>
        <v>60647.35907464999</v>
      </c>
    </row>
    <row r="102" spans="1:9" ht="15.75">
      <c r="A102" s="145" t="s">
        <v>301</v>
      </c>
      <c r="B102" s="145"/>
      <c r="C102" s="145"/>
      <c r="D102" s="145"/>
      <c r="E102" s="145"/>
      <c r="F102" s="145"/>
      <c r="G102" s="145"/>
      <c r="H102" s="145"/>
      <c r="I102" s="145"/>
    </row>
    <row r="103" spans="1:9" ht="15.75">
      <c r="A103" s="56"/>
      <c r="B103" s="140" t="s">
        <v>302</v>
      </c>
      <c r="C103" s="140"/>
      <c r="D103" s="140"/>
      <c r="E103" s="140"/>
      <c r="F103" s="140"/>
      <c r="G103" s="140"/>
      <c r="H103" s="61"/>
      <c r="I103" s="3"/>
    </row>
    <row r="104" spans="1:9">
      <c r="A104" s="95"/>
      <c r="B104" s="136" t="s">
        <v>6</v>
      </c>
      <c r="C104" s="136"/>
      <c r="D104" s="136"/>
      <c r="E104" s="136"/>
      <c r="F104" s="136"/>
      <c r="G104" s="136"/>
      <c r="H104" s="24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41" t="s">
        <v>7</v>
      </c>
      <c r="B106" s="141"/>
      <c r="C106" s="141"/>
      <c r="D106" s="141"/>
      <c r="E106" s="141"/>
      <c r="F106" s="141"/>
      <c r="G106" s="141"/>
      <c r="H106" s="141"/>
      <c r="I106" s="141"/>
    </row>
    <row r="107" spans="1:9" ht="15.75">
      <c r="A107" s="141" t="s">
        <v>8</v>
      </c>
      <c r="B107" s="141"/>
      <c r="C107" s="141"/>
      <c r="D107" s="141"/>
      <c r="E107" s="141"/>
      <c r="F107" s="141"/>
      <c r="G107" s="141"/>
      <c r="H107" s="141"/>
      <c r="I107" s="141"/>
    </row>
    <row r="108" spans="1:9" ht="15.75">
      <c r="A108" s="142" t="s">
        <v>59</v>
      </c>
      <c r="B108" s="142"/>
      <c r="C108" s="142"/>
      <c r="D108" s="142"/>
      <c r="E108" s="142"/>
      <c r="F108" s="142"/>
      <c r="G108" s="142"/>
      <c r="H108" s="142"/>
      <c r="I108" s="142"/>
    </row>
    <row r="109" spans="1:9" ht="15.75">
      <c r="A109" s="11"/>
    </row>
    <row r="110" spans="1:9" ht="15.75">
      <c r="A110" s="143" t="s">
        <v>9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.75">
      <c r="A111" s="4"/>
    </row>
    <row r="112" spans="1:9" ht="15.75">
      <c r="B112" s="93" t="s">
        <v>10</v>
      </c>
      <c r="C112" s="135" t="s">
        <v>274</v>
      </c>
      <c r="D112" s="135"/>
      <c r="E112" s="135"/>
      <c r="F112" s="59"/>
      <c r="I112" s="97"/>
    </row>
    <row r="113" spans="1:9">
      <c r="A113" s="95"/>
      <c r="C113" s="136" t="s">
        <v>11</v>
      </c>
      <c r="D113" s="136"/>
      <c r="E113" s="136"/>
      <c r="F113" s="24"/>
      <c r="I113" s="96" t="s">
        <v>12</v>
      </c>
    </row>
    <row r="114" spans="1:9" ht="15.75">
      <c r="A114" s="25"/>
      <c r="C114" s="12"/>
      <c r="D114" s="12"/>
      <c r="G114" s="12"/>
      <c r="H114" s="12"/>
    </row>
    <row r="115" spans="1:9" ht="15.75">
      <c r="B115" s="93" t="s">
        <v>13</v>
      </c>
      <c r="C115" s="137"/>
      <c r="D115" s="137"/>
      <c r="E115" s="137"/>
      <c r="F115" s="60"/>
      <c r="I115" s="97"/>
    </row>
    <row r="116" spans="1:9">
      <c r="A116" s="95"/>
      <c r="C116" s="138" t="s">
        <v>11</v>
      </c>
      <c r="D116" s="138"/>
      <c r="E116" s="138"/>
      <c r="F116" s="95"/>
      <c r="I116" s="96" t="s">
        <v>12</v>
      </c>
    </row>
    <row r="117" spans="1:9" ht="15.75">
      <c r="A117" s="4" t="s">
        <v>14</v>
      </c>
    </row>
    <row r="118" spans="1:9">
      <c r="A118" s="139" t="s">
        <v>15</v>
      </c>
      <c r="B118" s="139"/>
      <c r="C118" s="139"/>
      <c r="D118" s="139"/>
      <c r="E118" s="139"/>
      <c r="F118" s="139"/>
      <c r="G118" s="139"/>
      <c r="H118" s="139"/>
      <c r="I118" s="139"/>
    </row>
    <row r="119" spans="1:9" ht="47.25" customHeight="1">
      <c r="A119" s="131" t="s">
        <v>16</v>
      </c>
      <c r="B119" s="131"/>
      <c r="C119" s="131"/>
      <c r="D119" s="131"/>
      <c r="E119" s="131"/>
      <c r="F119" s="131"/>
      <c r="G119" s="131"/>
      <c r="H119" s="131"/>
      <c r="I119" s="131"/>
    </row>
    <row r="120" spans="1:9" ht="31.5" customHeight="1">
      <c r="A120" s="131" t="s">
        <v>17</v>
      </c>
      <c r="B120" s="131"/>
      <c r="C120" s="131"/>
      <c r="D120" s="131"/>
      <c r="E120" s="131"/>
      <c r="F120" s="131"/>
      <c r="G120" s="131"/>
      <c r="H120" s="131"/>
      <c r="I120" s="131"/>
    </row>
    <row r="121" spans="1:9" ht="31.5" customHeight="1">
      <c r="A121" s="131" t="s">
        <v>21</v>
      </c>
      <c r="B121" s="131"/>
      <c r="C121" s="131"/>
      <c r="D121" s="131"/>
      <c r="E121" s="131"/>
      <c r="F121" s="131"/>
      <c r="G121" s="131"/>
      <c r="H121" s="131"/>
      <c r="I121" s="131"/>
    </row>
    <row r="122" spans="1:9" ht="15.75" customHeight="1">
      <c r="A122" s="131" t="s">
        <v>20</v>
      </c>
      <c r="B122" s="131"/>
      <c r="C122" s="131"/>
      <c r="D122" s="131"/>
      <c r="E122" s="131"/>
      <c r="F122" s="131"/>
      <c r="G122" s="131"/>
      <c r="H122" s="131"/>
      <c r="I122" s="131"/>
    </row>
  </sheetData>
  <autoFilter ref="I12:I59"/>
  <mergeCells count="29">
    <mergeCell ref="A118:I118"/>
    <mergeCell ref="A119:I119"/>
    <mergeCell ref="A120:I120"/>
    <mergeCell ref="A121:I121"/>
    <mergeCell ref="A122:I122"/>
    <mergeCell ref="R64:U64"/>
    <mergeCell ref="C116:E116"/>
    <mergeCell ref="A87:I87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9"/>
  <sheetViews>
    <sheetView tabSelected="1" topLeftCell="A94" workbookViewId="0">
      <selection activeCell="G110" sqref="G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154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187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30">
        <v>43830</v>
      </c>
      <c r="J6" s="2"/>
      <c r="K6" s="2"/>
      <c r="L6" s="2"/>
      <c r="M6" s="2"/>
    </row>
    <row r="7" spans="1:13" ht="15.75">
      <c r="B7" s="93"/>
      <c r="C7" s="93"/>
      <c r="D7" s="9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109" t="s">
        <v>81</v>
      </c>
      <c r="C16" s="110" t="s">
        <v>88</v>
      </c>
      <c r="D16" s="109" t="s">
        <v>169</v>
      </c>
      <c r="E16" s="120">
        <v>90.18</v>
      </c>
      <c r="F16" s="112">
        <f>SUM(E16*156/100)</f>
        <v>140.6808</v>
      </c>
      <c r="G16" s="112">
        <v>261.45</v>
      </c>
      <c r="H16" s="67">
        <f t="shared" ref="H16:H24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9" t="s">
        <v>87</v>
      </c>
      <c r="C17" s="110" t="s">
        <v>88</v>
      </c>
      <c r="D17" s="109" t="s">
        <v>170</v>
      </c>
      <c r="E17" s="120">
        <v>360.72</v>
      </c>
      <c r="F17" s="112">
        <f>SUM(E17*104/100)</f>
        <v>375.14880000000005</v>
      </c>
      <c r="G17" s="112">
        <v>261.45</v>
      </c>
      <c r="H17" s="67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9" t="s">
        <v>277</v>
      </c>
      <c r="C18" s="110" t="s">
        <v>88</v>
      </c>
      <c r="D18" s="109" t="s">
        <v>177</v>
      </c>
      <c r="E18" s="120">
        <f>SUM(E16+E17)</f>
        <v>450.90000000000003</v>
      </c>
      <c r="F18" s="112">
        <f>SUM(E18*18/100)</f>
        <v>81.162000000000006</v>
      </c>
      <c r="G18" s="112">
        <v>752.16</v>
      </c>
      <c r="H18" s="67">
        <f t="shared" si="0"/>
        <v>61.046809920000001</v>
      </c>
      <c r="I18" s="13">
        <f>G18*F18/18*1</f>
        <v>3391.4894399999998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10.81</v>
      </c>
      <c r="H25" s="67">
        <f>SUM(F25*G25/1000)</f>
        <v>7.5581357999999996</v>
      </c>
      <c r="I25" s="13">
        <f>G25*F25/12</f>
        <v>629.84465</v>
      </c>
      <c r="J25" s="22"/>
      <c r="K25" s="8"/>
      <c r="L25" s="8"/>
      <c r="M25" s="8"/>
    </row>
    <row r="26" spans="1:13" ht="15.75" hidden="1" customHeight="1">
      <c r="A26" s="29">
        <v>5</v>
      </c>
      <c r="B26" s="71" t="s">
        <v>23</v>
      </c>
      <c r="C26" s="64" t="s">
        <v>24</v>
      </c>
      <c r="D26" s="63"/>
      <c r="E26" s="65">
        <v>2177.1</v>
      </c>
      <c r="F26" s="66">
        <f>SUM(E26*12)</f>
        <v>26125.199999999997</v>
      </c>
      <c r="G26" s="66">
        <v>5.15</v>
      </c>
      <c r="H26" s="67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80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86" t="s">
        <v>28</v>
      </c>
      <c r="C28" s="64"/>
      <c r="D28" s="63"/>
      <c r="E28" s="65"/>
      <c r="F28" s="66"/>
      <c r="G28" s="66"/>
      <c r="H28" s="67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3" t="s">
        <v>97</v>
      </c>
      <c r="C29" s="64" t="s">
        <v>127</v>
      </c>
      <c r="D29" s="63" t="s">
        <v>99</v>
      </c>
      <c r="E29" s="66">
        <v>2497.6999999999998</v>
      </c>
      <c r="F29" s="66">
        <f>SUM(E29*52/1000)</f>
        <v>129.88039999999998</v>
      </c>
      <c r="G29" s="66">
        <v>177.3</v>
      </c>
      <c r="H29" s="67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3" t="s">
        <v>138</v>
      </c>
      <c r="C30" s="64" t="s">
        <v>98</v>
      </c>
      <c r="D30" s="63" t="s">
        <v>100</v>
      </c>
      <c r="E30" s="66">
        <v>266.37</v>
      </c>
      <c r="F30" s="66">
        <f>SUM(E30*78/1000)</f>
        <v>20.776859999999999</v>
      </c>
      <c r="G30" s="66">
        <v>297.17</v>
      </c>
      <c r="H30" s="67">
        <f t="shared" si="1"/>
        <v>6.1742594862000004</v>
      </c>
      <c r="I30" s="13">
        <f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27</v>
      </c>
      <c r="C31" s="64" t="s">
        <v>98</v>
      </c>
      <c r="D31" s="63" t="s">
        <v>52</v>
      </c>
      <c r="E31" s="66">
        <v>2497.6999999999998</v>
      </c>
      <c r="F31" s="66">
        <f>SUM(E31/1000)</f>
        <v>2.4977</v>
      </c>
      <c r="G31" s="66">
        <v>3435.36</v>
      </c>
      <c r="H31" s="67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3" t="s">
        <v>101</v>
      </c>
      <c r="C32" s="64" t="s">
        <v>39</v>
      </c>
      <c r="D32" s="63" t="s">
        <v>61</v>
      </c>
      <c r="E32" s="66">
        <v>2</v>
      </c>
      <c r="F32" s="66">
        <v>3.1</v>
      </c>
      <c r="G32" s="66">
        <v>1480.94</v>
      </c>
      <c r="H32" s="67">
        <f>G32*F32/1000</f>
        <v>4.5909140000000006</v>
      </c>
      <c r="I32" s="13">
        <f>F32/6*G32</f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3" t="s">
        <v>102</v>
      </c>
      <c r="C33" s="64" t="s">
        <v>31</v>
      </c>
      <c r="D33" s="63" t="s">
        <v>61</v>
      </c>
      <c r="E33" s="70">
        <v>0.33333333333333331</v>
      </c>
      <c r="F33" s="66">
        <f>155/3</f>
        <v>51.666666666666664</v>
      </c>
      <c r="G33" s="66">
        <v>64.48</v>
      </c>
      <c r="H33" s="67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3" t="s">
        <v>62</v>
      </c>
      <c r="C34" s="64" t="s">
        <v>33</v>
      </c>
      <c r="D34" s="63" t="s">
        <v>130</v>
      </c>
      <c r="E34" s="65"/>
      <c r="F34" s="66">
        <v>2</v>
      </c>
      <c r="G34" s="66">
        <v>217.61</v>
      </c>
      <c r="H34" s="67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3" t="s">
        <v>63</v>
      </c>
      <c r="C35" s="64" t="s">
        <v>32</v>
      </c>
      <c r="D35" s="63" t="s">
        <v>130</v>
      </c>
      <c r="E35" s="65"/>
      <c r="F35" s="66">
        <v>1</v>
      </c>
      <c r="G35" s="66">
        <v>1292.47</v>
      </c>
      <c r="H35" s="67">
        <f t="shared" si="1"/>
        <v>1.29247</v>
      </c>
      <c r="I35" s="13">
        <v>0</v>
      </c>
      <c r="J35" s="23"/>
    </row>
    <row r="36" spans="1:14" ht="15.75" customHeight="1">
      <c r="A36" s="72"/>
      <c r="B36" s="86" t="s">
        <v>5</v>
      </c>
      <c r="C36" s="64"/>
      <c r="D36" s="63"/>
      <c r="E36" s="65"/>
      <c r="F36" s="66"/>
      <c r="G36" s="66"/>
      <c r="H36" s="67" t="s">
        <v>131</v>
      </c>
      <c r="I36" s="13"/>
      <c r="J36" s="23"/>
    </row>
    <row r="37" spans="1:14" ht="15.75" customHeight="1">
      <c r="A37" s="72">
        <v>5</v>
      </c>
      <c r="B37" s="63" t="s">
        <v>26</v>
      </c>
      <c r="C37" s="64" t="s">
        <v>32</v>
      </c>
      <c r="D37" s="63" t="s">
        <v>304</v>
      </c>
      <c r="E37" s="65"/>
      <c r="F37" s="66">
        <v>6</v>
      </c>
      <c r="G37" s="156">
        <v>1930</v>
      </c>
      <c r="H37" s="67">
        <f>SUM(F37*G37/1000)</f>
        <v>11.58</v>
      </c>
      <c r="I37" s="13">
        <f>G37*0.8</f>
        <v>1544</v>
      </c>
      <c r="J37" s="23"/>
    </row>
    <row r="38" spans="1:14" ht="15.75" customHeight="1">
      <c r="A38" s="72">
        <v>6</v>
      </c>
      <c r="B38" s="121" t="s">
        <v>103</v>
      </c>
      <c r="C38" s="122" t="s">
        <v>29</v>
      </c>
      <c r="D38" s="109" t="s">
        <v>173</v>
      </c>
      <c r="E38" s="120">
        <v>48.36</v>
      </c>
      <c r="F38" s="123">
        <f>E38*30/1000</f>
        <v>1.4507999999999999</v>
      </c>
      <c r="G38" s="112">
        <v>3134.93</v>
      </c>
      <c r="H38" s="67">
        <f>G38*F38/1000</f>
        <v>4.5481564439999991</v>
      </c>
      <c r="I38" s="13">
        <f>F38/6*G38</f>
        <v>758.02607399999988</v>
      </c>
      <c r="J38" s="23"/>
    </row>
    <row r="39" spans="1:14" ht="15.75" hidden="1" customHeight="1">
      <c r="A39" s="72">
        <v>8</v>
      </c>
      <c r="B39" s="109" t="s">
        <v>104</v>
      </c>
      <c r="C39" s="110" t="s">
        <v>105</v>
      </c>
      <c r="D39" s="109" t="s">
        <v>130</v>
      </c>
      <c r="E39" s="120"/>
      <c r="F39" s="123">
        <v>39</v>
      </c>
      <c r="G39" s="112">
        <v>330</v>
      </c>
      <c r="H39" s="67">
        <f>G39*F39/1000</f>
        <v>12.87</v>
      </c>
      <c r="I39" s="13">
        <v>0</v>
      </c>
      <c r="J39" s="23"/>
      <c r="L39" s="19"/>
      <c r="M39" s="20"/>
      <c r="N39" s="21"/>
    </row>
    <row r="40" spans="1:14" ht="15.75" customHeight="1">
      <c r="A40" s="72">
        <v>7</v>
      </c>
      <c r="B40" s="109" t="s">
        <v>65</v>
      </c>
      <c r="C40" s="110" t="s">
        <v>29</v>
      </c>
      <c r="D40" s="109" t="s">
        <v>174</v>
      </c>
      <c r="E40" s="112">
        <v>53.69</v>
      </c>
      <c r="F40" s="123">
        <f>SUM(E40*155/1000)</f>
        <v>8.3219499999999993</v>
      </c>
      <c r="G40" s="112">
        <v>522.92999999999995</v>
      </c>
      <c r="H40" s="67">
        <f t="shared" ref="H40:H44" si="2">SUM(F40*G40/1000)</f>
        <v>4.3517973134999997</v>
      </c>
      <c r="I40" s="13">
        <f>F40/6*G40</f>
        <v>725.29955224999992</v>
      </c>
      <c r="J40" s="23"/>
      <c r="L40" s="19"/>
      <c r="M40" s="20"/>
      <c r="N40" s="21"/>
    </row>
    <row r="41" spans="1:14" ht="31.5" customHeight="1">
      <c r="A41" s="72">
        <v>8</v>
      </c>
      <c r="B41" s="109" t="s">
        <v>79</v>
      </c>
      <c r="C41" s="110" t="s">
        <v>98</v>
      </c>
      <c r="D41" s="109" t="s">
        <v>175</v>
      </c>
      <c r="E41" s="112">
        <v>23.93</v>
      </c>
      <c r="F41" s="123">
        <f>SUM(E41*24/1000)</f>
        <v>0.57431999999999994</v>
      </c>
      <c r="G41" s="112">
        <v>8652.07</v>
      </c>
      <c r="H41" s="67">
        <f t="shared" si="2"/>
        <v>4.9690568423999997</v>
      </c>
      <c r="I41" s="13">
        <f>F41/6*G41</f>
        <v>828.17614039999989</v>
      </c>
      <c r="J41" s="23"/>
      <c r="L41" s="19"/>
      <c r="M41" s="20"/>
      <c r="N41" s="21"/>
    </row>
    <row r="42" spans="1:14" ht="15.75" hidden="1" customHeight="1">
      <c r="A42" s="29">
        <v>9</v>
      </c>
      <c r="B42" s="109" t="s">
        <v>108</v>
      </c>
      <c r="C42" s="110" t="s">
        <v>98</v>
      </c>
      <c r="D42" s="109" t="s">
        <v>66</v>
      </c>
      <c r="E42" s="112">
        <v>48.36</v>
      </c>
      <c r="F42" s="123">
        <f>SUM(E42*45/1000)</f>
        <v>2.1761999999999997</v>
      </c>
      <c r="G42" s="112">
        <v>639.14</v>
      </c>
      <c r="H42" s="67">
        <f t="shared" si="2"/>
        <v>1.3908964679999998</v>
      </c>
      <c r="I42" s="13">
        <f>F42/7.5*G42</f>
        <v>185.45286239999999</v>
      </c>
      <c r="J42" s="23"/>
      <c r="L42" s="19"/>
      <c r="M42" s="20"/>
      <c r="N42" s="21"/>
    </row>
    <row r="43" spans="1:14" ht="15.75" hidden="1" customHeight="1">
      <c r="A43" s="29">
        <v>10</v>
      </c>
      <c r="B43" s="121" t="s">
        <v>67</v>
      </c>
      <c r="C43" s="122" t="s">
        <v>33</v>
      </c>
      <c r="D43" s="121"/>
      <c r="E43" s="124"/>
      <c r="F43" s="123">
        <v>0.9</v>
      </c>
      <c r="G43" s="123">
        <v>900</v>
      </c>
      <c r="H43" s="67">
        <f t="shared" si="2"/>
        <v>0.81</v>
      </c>
      <c r="I43" s="13">
        <f>F43/7.5*G43</f>
        <v>108.00000000000001</v>
      </c>
      <c r="J43" s="23"/>
      <c r="L43" s="19"/>
      <c r="M43" s="20"/>
      <c r="N43" s="21"/>
    </row>
    <row r="44" spans="1:14" ht="30" customHeight="1">
      <c r="A44" s="29">
        <v>9</v>
      </c>
      <c r="B44" s="125" t="s">
        <v>278</v>
      </c>
      <c r="C44" s="122" t="s">
        <v>29</v>
      </c>
      <c r="D44" s="121" t="s">
        <v>303</v>
      </c>
      <c r="E44" s="124">
        <v>0.6</v>
      </c>
      <c r="F44" s="123">
        <f>E44*12/1000</f>
        <v>7.1999999999999989E-3</v>
      </c>
      <c r="G44" s="123">
        <v>20547.34</v>
      </c>
      <c r="H44" s="57"/>
      <c r="I44" s="13">
        <f>G44*F44/6</f>
        <v>24.656807999999998</v>
      </c>
      <c r="J44" s="23"/>
      <c r="L44" s="19"/>
      <c r="M44" s="20"/>
      <c r="N44" s="21"/>
    </row>
    <row r="45" spans="1:14" ht="15.75" customHeight="1">
      <c r="A45" s="132" t="s">
        <v>135</v>
      </c>
      <c r="B45" s="133"/>
      <c r="C45" s="133"/>
      <c r="D45" s="133"/>
      <c r="E45" s="133"/>
      <c r="F45" s="133"/>
      <c r="G45" s="133"/>
      <c r="H45" s="133"/>
      <c r="I45" s="134"/>
      <c r="J45" s="23"/>
      <c r="L45" s="19"/>
      <c r="M45" s="20"/>
      <c r="N45" s="21"/>
    </row>
    <row r="46" spans="1:14" ht="15.75" hidden="1" customHeight="1">
      <c r="A46" s="29"/>
      <c r="B46" s="63" t="s">
        <v>109</v>
      </c>
      <c r="C46" s="64" t="s">
        <v>98</v>
      </c>
      <c r="D46" s="63" t="s">
        <v>41</v>
      </c>
      <c r="E46" s="65">
        <v>614.29999999999995</v>
      </c>
      <c r="F46" s="66">
        <f>SUM(E46*2/1000)</f>
        <v>1.2285999999999999</v>
      </c>
      <c r="G46" s="13">
        <v>1094.96</v>
      </c>
      <c r="H46" s="67">
        <f t="shared" ref="H46:H54" si="3">SUM(F46*G46/1000)</f>
        <v>1.345267856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34</v>
      </c>
      <c r="C47" s="64" t="s">
        <v>98</v>
      </c>
      <c r="D47" s="63" t="s">
        <v>41</v>
      </c>
      <c r="E47" s="65">
        <v>61</v>
      </c>
      <c r="F47" s="66">
        <f>E47*2/1000</f>
        <v>0.122</v>
      </c>
      <c r="G47" s="13">
        <v>3832.4</v>
      </c>
      <c r="H47" s="67">
        <f t="shared" si="3"/>
        <v>0.46755279999999999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3" t="s">
        <v>35</v>
      </c>
      <c r="C48" s="64" t="s">
        <v>98</v>
      </c>
      <c r="D48" s="63" t="s">
        <v>41</v>
      </c>
      <c r="E48" s="65">
        <v>3135.64</v>
      </c>
      <c r="F48" s="66">
        <f>SUM(E48*2/1000)</f>
        <v>6.27128</v>
      </c>
      <c r="G48" s="13">
        <v>1564.24</v>
      </c>
      <c r="H48" s="67">
        <f t="shared" si="3"/>
        <v>9.8097870272000005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3" t="s">
        <v>36</v>
      </c>
      <c r="C49" s="64" t="s">
        <v>98</v>
      </c>
      <c r="D49" s="63" t="s">
        <v>41</v>
      </c>
      <c r="E49" s="65">
        <v>1678.47</v>
      </c>
      <c r="F49" s="66">
        <f>SUM(E49*2/1000)</f>
        <v>3.3569400000000003</v>
      </c>
      <c r="G49" s="13">
        <v>1078.3599999999999</v>
      </c>
      <c r="H49" s="67">
        <f t="shared" si="3"/>
        <v>3.6199898183999997</v>
      </c>
      <c r="I49" s="13">
        <v>0</v>
      </c>
      <c r="J49" s="23"/>
      <c r="L49" s="19"/>
      <c r="M49" s="20"/>
      <c r="N49" s="21"/>
    </row>
    <row r="50" spans="1:22" ht="15.75" customHeight="1">
      <c r="A50" s="29">
        <v>10</v>
      </c>
      <c r="B50" s="63" t="s">
        <v>54</v>
      </c>
      <c r="C50" s="64" t="s">
        <v>98</v>
      </c>
      <c r="D50" s="63" t="s">
        <v>177</v>
      </c>
      <c r="E50" s="65">
        <v>614.29999999999995</v>
      </c>
      <c r="F50" s="66">
        <f>SUM(E50*5/1000)</f>
        <v>3.0714999999999999</v>
      </c>
      <c r="G50" s="157">
        <v>1809.27</v>
      </c>
      <c r="H50" s="67">
        <f t="shared" si="3"/>
        <v>5.5571728050000004</v>
      </c>
      <c r="I50" s="13">
        <f>F50/5*G50</f>
        <v>1111.4345609999998</v>
      </c>
      <c r="J50" s="23"/>
      <c r="L50" s="19"/>
      <c r="M50" s="20"/>
      <c r="N50" s="21"/>
    </row>
    <row r="51" spans="1:22" ht="31.5" hidden="1" customHeight="1">
      <c r="A51" s="29"/>
      <c r="B51" s="63" t="s">
        <v>110</v>
      </c>
      <c r="C51" s="64" t="s">
        <v>98</v>
      </c>
      <c r="D51" s="63" t="s">
        <v>41</v>
      </c>
      <c r="E51" s="65">
        <v>614.29999999999995</v>
      </c>
      <c r="F51" s="66">
        <f>SUM(E51*2/1000)</f>
        <v>1.2285999999999999</v>
      </c>
      <c r="G51" s="13">
        <v>1380.31</v>
      </c>
      <c r="H51" s="67">
        <f t="shared" si="3"/>
        <v>1.6958488659999997</v>
      </c>
      <c r="I51" s="13">
        <v>0</v>
      </c>
      <c r="J51" s="23"/>
      <c r="L51" s="19"/>
      <c r="M51" s="20"/>
      <c r="N51" s="21"/>
    </row>
    <row r="52" spans="1:22" ht="31.5" hidden="1" customHeight="1">
      <c r="A52" s="94"/>
      <c r="B52" s="63" t="s">
        <v>111</v>
      </c>
      <c r="C52" s="64" t="s">
        <v>37</v>
      </c>
      <c r="D52" s="63" t="s">
        <v>41</v>
      </c>
      <c r="E52" s="65">
        <v>20</v>
      </c>
      <c r="F52" s="66">
        <f>SUM(E52*2/100)</f>
        <v>0.4</v>
      </c>
      <c r="G52" s="13">
        <v>3519.56</v>
      </c>
      <c r="H52" s="67">
        <f t="shared" si="3"/>
        <v>1.407824</v>
      </c>
      <c r="I52" s="13">
        <v>0</v>
      </c>
      <c r="J52" s="23"/>
      <c r="L52" s="19"/>
      <c r="M52" s="20"/>
      <c r="N52" s="21"/>
    </row>
    <row r="53" spans="1:22" ht="15.75" hidden="1" customHeight="1">
      <c r="A53" s="29"/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6428.82</v>
      </c>
      <c r="H53" s="67">
        <f t="shared" si="3"/>
        <v>0.12857640000000001</v>
      </c>
      <c r="I53" s="13">
        <v>0</v>
      </c>
      <c r="J53" s="23"/>
      <c r="L53" s="19"/>
      <c r="M53" s="20"/>
      <c r="N53" s="21"/>
    </row>
    <row r="54" spans="1:22" ht="15.75" customHeight="1">
      <c r="A54" s="29">
        <v>11</v>
      </c>
      <c r="B54" s="63" t="s">
        <v>40</v>
      </c>
      <c r="C54" s="64" t="s">
        <v>112</v>
      </c>
      <c r="D54" s="113">
        <v>44172</v>
      </c>
      <c r="E54" s="65">
        <v>170</v>
      </c>
      <c r="F54" s="66">
        <f>SUM(E54)*3</f>
        <v>510</v>
      </c>
      <c r="G54" s="158">
        <v>97.93</v>
      </c>
      <c r="H54" s="67">
        <f t="shared" si="3"/>
        <v>49.944300000000005</v>
      </c>
      <c r="I54" s="13">
        <f>G54*E54/3</f>
        <v>5549.3666666666677</v>
      </c>
      <c r="J54" s="23"/>
      <c r="L54" s="19"/>
      <c r="M54" s="20"/>
      <c r="N54" s="21"/>
    </row>
    <row r="55" spans="1:22" ht="15.75" customHeight="1">
      <c r="A55" s="132" t="s">
        <v>136</v>
      </c>
      <c r="B55" s="133"/>
      <c r="C55" s="133"/>
      <c r="D55" s="133"/>
      <c r="E55" s="133"/>
      <c r="F55" s="133"/>
      <c r="G55" s="133"/>
      <c r="H55" s="133"/>
      <c r="I55" s="134"/>
      <c r="J55" s="23"/>
      <c r="L55" s="19"/>
      <c r="M55" s="20"/>
      <c r="N55" s="21"/>
    </row>
    <row r="56" spans="1:22" ht="15.75" customHeight="1">
      <c r="A56" s="29"/>
      <c r="B56" s="86" t="s">
        <v>42</v>
      </c>
      <c r="C56" s="64"/>
      <c r="D56" s="63"/>
      <c r="E56" s="65"/>
      <c r="F56" s="66"/>
      <c r="G56" s="66"/>
      <c r="H56" s="67"/>
      <c r="I56" s="13"/>
      <c r="J56" s="23"/>
      <c r="L56" s="19"/>
      <c r="M56" s="20"/>
      <c r="N56" s="21"/>
    </row>
    <row r="57" spans="1:22" ht="31.5" customHeight="1">
      <c r="A57" s="29">
        <v>12</v>
      </c>
      <c r="B57" s="63" t="s">
        <v>113</v>
      </c>
      <c r="C57" s="64" t="s">
        <v>88</v>
      </c>
      <c r="D57" s="63"/>
      <c r="E57" s="65">
        <v>63.07</v>
      </c>
      <c r="F57" s="66">
        <f>SUM(E57*6/100)</f>
        <v>3.7842000000000002</v>
      </c>
      <c r="G57" s="157">
        <v>2306.83</v>
      </c>
      <c r="H57" s="67">
        <f>SUM(F57*G57/1000)</f>
        <v>8.7295060859999989</v>
      </c>
      <c r="I57" s="13">
        <f>G57*0.29</f>
        <v>668.98069999999996</v>
      </c>
      <c r="J57" s="23"/>
      <c r="L57" s="19"/>
    </row>
    <row r="58" spans="1:22" ht="15.75" customHeight="1">
      <c r="A58" s="29"/>
      <c r="B58" s="87" t="s">
        <v>43</v>
      </c>
      <c r="C58" s="73"/>
      <c r="D58" s="74"/>
      <c r="E58" s="75"/>
      <c r="F58" s="76"/>
      <c r="G58" s="13"/>
      <c r="H58" s="77"/>
      <c r="I58" s="13"/>
    </row>
    <row r="59" spans="1:22" ht="15.75" hidden="1" customHeight="1">
      <c r="A59" s="29"/>
      <c r="B59" s="74" t="s">
        <v>133</v>
      </c>
      <c r="C59" s="73" t="s">
        <v>51</v>
      </c>
      <c r="D59" s="74" t="s">
        <v>52</v>
      </c>
      <c r="E59" s="75">
        <v>614.29999999999995</v>
      </c>
      <c r="F59" s="76">
        <v>6.1429999999999998</v>
      </c>
      <c r="G59" s="13">
        <v>902.66</v>
      </c>
      <c r="H59" s="77">
        <f>F59*G59/1000</f>
        <v>5.5450403799999997</v>
      </c>
      <c r="I59" s="13">
        <v>0</v>
      </c>
    </row>
    <row r="60" spans="1:22" ht="15.75" customHeight="1">
      <c r="A60" s="29">
        <v>13</v>
      </c>
      <c r="B60" s="74" t="s">
        <v>85</v>
      </c>
      <c r="C60" s="73" t="s">
        <v>25</v>
      </c>
      <c r="D60" s="74" t="s">
        <v>177</v>
      </c>
      <c r="E60" s="75">
        <v>100</v>
      </c>
      <c r="F60" s="78">
        <f>E60*12</f>
        <v>1200</v>
      </c>
      <c r="G60" s="57">
        <v>1.4</v>
      </c>
      <c r="H60" s="76">
        <f>F60*G60/1000</f>
        <v>1.68</v>
      </c>
      <c r="I60" s="13">
        <f>F60/12*G60</f>
        <v>140</v>
      </c>
    </row>
    <row r="61" spans="1:22" ht="15.75" hidden="1" customHeight="1">
      <c r="A61" s="29"/>
      <c r="B61" s="87" t="s">
        <v>44</v>
      </c>
      <c r="C61" s="73"/>
      <c r="D61" s="74"/>
      <c r="E61" s="75"/>
      <c r="F61" s="78"/>
      <c r="G61" s="78"/>
      <c r="H61" s="76" t="s">
        <v>131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15</v>
      </c>
      <c r="B62" s="14" t="s">
        <v>45</v>
      </c>
      <c r="C62" s="16" t="s">
        <v>112</v>
      </c>
      <c r="D62" s="14" t="s">
        <v>64</v>
      </c>
      <c r="E62" s="18">
        <v>25</v>
      </c>
      <c r="F62" s="66">
        <v>25</v>
      </c>
      <c r="G62" s="13">
        <v>252.96</v>
      </c>
      <c r="H62" s="79">
        <f t="shared" ref="H62:H79" si="4">SUM(F62*G62/1000)</f>
        <v>6.3239999999999998</v>
      </c>
      <c r="I62" s="13">
        <f>G62*4</f>
        <v>1011.84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46</v>
      </c>
      <c r="C63" s="16" t="s">
        <v>112</v>
      </c>
      <c r="D63" s="14" t="s">
        <v>64</v>
      </c>
      <c r="E63" s="18">
        <v>2</v>
      </c>
      <c r="F63" s="66">
        <v>2</v>
      </c>
      <c r="G63" s="13">
        <v>86.74</v>
      </c>
      <c r="H63" s="79">
        <f t="shared" si="4"/>
        <v>0.17348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47</v>
      </c>
      <c r="C64" s="16" t="s">
        <v>115</v>
      </c>
      <c r="D64" s="14" t="s">
        <v>52</v>
      </c>
      <c r="E64" s="65">
        <v>8692</v>
      </c>
      <c r="F64" s="13">
        <f>SUM(E64/100)</f>
        <v>86.92</v>
      </c>
      <c r="G64" s="13">
        <v>241.31</v>
      </c>
      <c r="H64" s="79">
        <f t="shared" si="4"/>
        <v>20.9746652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38"/>
      <c r="S64" s="138"/>
      <c r="T64" s="138"/>
      <c r="U64" s="138"/>
    </row>
    <row r="65" spans="1:21" ht="15.75" hidden="1" customHeight="1">
      <c r="A65" s="29"/>
      <c r="B65" s="14" t="s">
        <v>48</v>
      </c>
      <c r="C65" s="16" t="s">
        <v>116</v>
      </c>
      <c r="D65" s="14"/>
      <c r="E65" s="65">
        <v>8692</v>
      </c>
      <c r="F65" s="13">
        <f>SUM(E65/1000)</f>
        <v>8.6920000000000002</v>
      </c>
      <c r="G65" s="13">
        <v>187.91</v>
      </c>
      <c r="H65" s="79">
        <f t="shared" si="4"/>
        <v>1.6333137200000001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94"/>
      <c r="B66" s="14" t="s">
        <v>49</v>
      </c>
      <c r="C66" s="16" t="s">
        <v>74</v>
      </c>
      <c r="D66" s="14" t="s">
        <v>52</v>
      </c>
      <c r="E66" s="65">
        <v>855</v>
      </c>
      <c r="F66" s="13">
        <f>SUM(E66/100)</f>
        <v>8.5500000000000007</v>
      </c>
      <c r="G66" s="13">
        <v>2359.7199999999998</v>
      </c>
      <c r="H66" s="79">
        <f t="shared" si="4"/>
        <v>20.175605999999998</v>
      </c>
      <c r="I66" s="13">
        <v>0</v>
      </c>
    </row>
    <row r="67" spans="1:21" ht="15.75" hidden="1" customHeight="1">
      <c r="A67" s="29"/>
      <c r="B67" s="80" t="s">
        <v>117</v>
      </c>
      <c r="C67" s="16" t="s">
        <v>33</v>
      </c>
      <c r="D67" s="14"/>
      <c r="E67" s="65">
        <v>8.6</v>
      </c>
      <c r="F67" s="13">
        <f>SUM(E67)</f>
        <v>8.6</v>
      </c>
      <c r="G67" s="13">
        <v>42.67</v>
      </c>
      <c r="H67" s="79">
        <f t="shared" si="4"/>
        <v>0.36696200000000001</v>
      </c>
      <c r="I67" s="13">
        <v>0</v>
      </c>
    </row>
    <row r="68" spans="1:21" ht="15.75" hidden="1" customHeight="1">
      <c r="A68" s="29"/>
      <c r="B68" s="80" t="s">
        <v>118</v>
      </c>
      <c r="C68" s="16" t="s">
        <v>33</v>
      </c>
      <c r="D68" s="14"/>
      <c r="E68" s="65">
        <v>8.6</v>
      </c>
      <c r="F68" s="13">
        <f>SUM(E68)</f>
        <v>8.6</v>
      </c>
      <c r="G68" s="13">
        <v>39.81</v>
      </c>
      <c r="H68" s="79">
        <f t="shared" si="4"/>
        <v>0.342366</v>
      </c>
      <c r="I68" s="13">
        <v>0</v>
      </c>
    </row>
    <row r="69" spans="1:21" ht="15.75" hidden="1" customHeight="1">
      <c r="A69" s="29"/>
      <c r="B69" s="14" t="s">
        <v>55</v>
      </c>
      <c r="C69" s="16" t="s">
        <v>56</v>
      </c>
      <c r="D69" s="14" t="s">
        <v>52</v>
      </c>
      <c r="E69" s="18">
        <v>5</v>
      </c>
      <c r="F69" s="66">
        <v>5</v>
      </c>
      <c r="G69" s="13">
        <v>56.74</v>
      </c>
      <c r="H69" s="79">
        <f t="shared" si="4"/>
        <v>0.28370000000000001</v>
      </c>
      <c r="I69" s="13">
        <v>0</v>
      </c>
    </row>
    <row r="70" spans="1:21" ht="15.75" customHeight="1">
      <c r="A70" s="29"/>
      <c r="B70" s="126" t="s">
        <v>280</v>
      </c>
      <c r="C70" s="114"/>
      <c r="D70" s="35"/>
      <c r="E70" s="17"/>
      <c r="F70" s="104"/>
      <c r="G70" s="34"/>
      <c r="H70" s="79"/>
      <c r="I70" s="13"/>
    </row>
    <row r="71" spans="1:21" ht="32.25" customHeight="1">
      <c r="A71" s="29">
        <v>14</v>
      </c>
      <c r="B71" s="127" t="s">
        <v>281</v>
      </c>
      <c r="C71" s="107" t="s">
        <v>282</v>
      </c>
      <c r="D71" s="35"/>
      <c r="E71" s="17">
        <v>2177.1</v>
      </c>
      <c r="F71" s="34">
        <f>E71*12</f>
        <v>26125.199999999997</v>
      </c>
      <c r="G71" s="34">
        <v>2.6</v>
      </c>
      <c r="H71" s="79"/>
      <c r="I71" s="13">
        <f>G71*F71/12</f>
        <v>5660.4599999999991</v>
      </c>
    </row>
    <row r="72" spans="1:21" ht="15.75" customHeight="1">
      <c r="A72" s="29"/>
      <c r="B72" s="88" t="s">
        <v>69</v>
      </c>
      <c r="C72" s="16"/>
      <c r="D72" s="14"/>
      <c r="E72" s="18"/>
      <c r="F72" s="13"/>
      <c r="G72" s="13"/>
      <c r="H72" s="79" t="s">
        <v>131</v>
      </c>
      <c r="I72" s="13"/>
    </row>
    <row r="73" spans="1:21" ht="15.75" hidden="1" customHeight="1">
      <c r="A73" s="29"/>
      <c r="B73" s="14" t="s">
        <v>124</v>
      </c>
      <c r="C73" s="16" t="s">
        <v>125</v>
      </c>
      <c r="D73" s="14"/>
      <c r="E73" s="18">
        <v>4</v>
      </c>
      <c r="F73" s="13">
        <f>E73</f>
        <v>4</v>
      </c>
      <c r="G73" s="13">
        <v>113.57</v>
      </c>
      <c r="H73" s="79">
        <f t="shared" si="4"/>
        <v>0.45427999999999996</v>
      </c>
      <c r="I73" s="13">
        <v>0</v>
      </c>
    </row>
    <row r="74" spans="1:21" ht="15.75" customHeight="1">
      <c r="A74" s="29">
        <v>15</v>
      </c>
      <c r="B74" s="14" t="s">
        <v>70</v>
      </c>
      <c r="C74" s="16" t="s">
        <v>72</v>
      </c>
      <c r="D74" s="14" t="s">
        <v>305</v>
      </c>
      <c r="E74" s="18">
        <v>20</v>
      </c>
      <c r="F74" s="13">
        <v>2</v>
      </c>
      <c r="G74" s="157">
        <v>747.85</v>
      </c>
      <c r="H74" s="79">
        <f t="shared" si="4"/>
        <v>1.4957</v>
      </c>
      <c r="I74" s="13">
        <f>G74*1.1</f>
        <v>822.6350000000001</v>
      </c>
    </row>
    <row r="75" spans="1:21" ht="15.75" hidden="1" customHeight="1">
      <c r="A75" s="29"/>
      <c r="B75" s="14" t="s">
        <v>71</v>
      </c>
      <c r="C75" s="16" t="s">
        <v>31</v>
      </c>
      <c r="D75" s="14"/>
      <c r="E75" s="18">
        <v>2</v>
      </c>
      <c r="F75" s="57">
        <v>2</v>
      </c>
      <c r="G75" s="13">
        <v>970.21</v>
      </c>
      <c r="H75" s="79">
        <f>F75*G75/1000</f>
        <v>1.94042</v>
      </c>
      <c r="I75" s="13">
        <v>0</v>
      </c>
    </row>
    <row r="76" spans="1:21" ht="15.75" hidden="1" customHeight="1">
      <c r="A76" s="29"/>
      <c r="B76" s="14" t="s">
        <v>82</v>
      </c>
      <c r="C76" s="16" t="s">
        <v>31</v>
      </c>
      <c r="D76" s="14"/>
      <c r="E76" s="18">
        <v>2</v>
      </c>
      <c r="F76" s="13">
        <v>2</v>
      </c>
      <c r="G76" s="13">
        <v>407.79</v>
      </c>
      <c r="H76" s="79">
        <f>G76*F76/1000</f>
        <v>0.81558000000000008</v>
      </c>
      <c r="I76" s="13">
        <v>0</v>
      </c>
    </row>
    <row r="77" spans="1:21" ht="31.5" customHeight="1">
      <c r="A77" s="29">
        <v>16</v>
      </c>
      <c r="B77" s="35" t="s">
        <v>279</v>
      </c>
      <c r="C77" s="114" t="s">
        <v>31</v>
      </c>
      <c r="D77" s="35" t="s">
        <v>177</v>
      </c>
      <c r="E77" s="17">
        <v>1</v>
      </c>
      <c r="F77" s="34">
        <v>1</v>
      </c>
      <c r="G77" s="34">
        <v>425</v>
      </c>
      <c r="H77" s="79"/>
      <c r="I77" s="13">
        <f>G77*1</f>
        <v>425</v>
      </c>
    </row>
    <row r="78" spans="1:21" ht="15.75" hidden="1" customHeight="1">
      <c r="A78" s="29"/>
      <c r="B78" s="82" t="s">
        <v>73</v>
      </c>
      <c r="C78" s="16"/>
      <c r="D78" s="14"/>
      <c r="E78" s="18"/>
      <c r="F78" s="13"/>
      <c r="G78" s="13" t="s">
        <v>131</v>
      </c>
      <c r="H78" s="79" t="s">
        <v>131</v>
      </c>
      <c r="I78" s="13"/>
    </row>
    <row r="79" spans="1:21" ht="15.75" hidden="1" customHeight="1">
      <c r="A79" s="29"/>
      <c r="B79" s="43" t="s">
        <v>121</v>
      </c>
      <c r="C79" s="16" t="s">
        <v>74</v>
      </c>
      <c r="D79" s="14"/>
      <c r="E79" s="18"/>
      <c r="F79" s="13">
        <v>1</v>
      </c>
      <c r="G79" s="13">
        <v>3138.63</v>
      </c>
      <c r="H79" s="79">
        <f t="shared" si="4"/>
        <v>3.13863</v>
      </c>
      <c r="I79" s="13">
        <v>0</v>
      </c>
    </row>
    <row r="80" spans="1:21" ht="15.75" hidden="1" customHeight="1">
      <c r="A80" s="29"/>
      <c r="B80" s="91" t="s">
        <v>119</v>
      </c>
      <c r="C80" s="82"/>
      <c r="D80" s="31"/>
      <c r="E80" s="32"/>
      <c r="F80" s="69"/>
      <c r="G80" s="69"/>
      <c r="H80" s="83">
        <f>SUM(H57:H79)</f>
        <v>74.073249385999986</v>
      </c>
      <c r="I80" s="69"/>
    </row>
    <row r="81" spans="1:9" ht="15.75" hidden="1" customHeight="1">
      <c r="A81" s="29">
        <v>17</v>
      </c>
      <c r="B81" s="63" t="s">
        <v>120</v>
      </c>
      <c r="C81" s="16"/>
      <c r="D81" s="14"/>
      <c r="E81" s="58"/>
      <c r="F81" s="13">
        <v>1</v>
      </c>
      <c r="G81" s="99">
        <v>20953</v>
      </c>
      <c r="H81" s="79">
        <f>G81*F81/1000</f>
        <v>20.952999999999999</v>
      </c>
      <c r="I81" s="99">
        <f>G81</f>
        <v>20953</v>
      </c>
    </row>
    <row r="82" spans="1:9" ht="15.75" customHeight="1">
      <c r="A82" s="132" t="s">
        <v>137</v>
      </c>
      <c r="B82" s="133"/>
      <c r="C82" s="133"/>
      <c r="D82" s="133"/>
      <c r="E82" s="133"/>
      <c r="F82" s="133"/>
      <c r="G82" s="133"/>
      <c r="H82" s="133"/>
      <c r="I82" s="134"/>
    </row>
    <row r="83" spans="1:9" ht="15.75" customHeight="1">
      <c r="A83" s="29">
        <v>16</v>
      </c>
      <c r="B83" s="128" t="s">
        <v>122</v>
      </c>
      <c r="C83" s="114" t="s">
        <v>53</v>
      </c>
      <c r="D83" s="129"/>
      <c r="E83" s="34">
        <v>2177.1</v>
      </c>
      <c r="F83" s="34">
        <f>SUM(E83*12)</f>
        <v>26125.199999999997</v>
      </c>
      <c r="G83" s="34">
        <v>3.5</v>
      </c>
      <c r="H83" s="79">
        <f>SUM(F83*G83/1000)</f>
        <v>91.438199999999981</v>
      </c>
      <c r="I83" s="13">
        <f>F83/12*G83</f>
        <v>7619.8499999999995</v>
      </c>
    </row>
    <row r="84" spans="1:9" ht="31.5" customHeight="1">
      <c r="A84" s="29">
        <v>17</v>
      </c>
      <c r="B84" s="35" t="s">
        <v>283</v>
      </c>
      <c r="C84" s="114" t="s">
        <v>53</v>
      </c>
      <c r="D84" s="48"/>
      <c r="E84" s="102">
        <f>E83</f>
        <v>2177.1</v>
      </c>
      <c r="F84" s="34">
        <f>E84*12</f>
        <v>26125.199999999997</v>
      </c>
      <c r="G84" s="34">
        <v>3.24</v>
      </c>
      <c r="H84" s="79">
        <f>F84*G84/1000</f>
        <v>84.645647999999994</v>
      </c>
      <c r="I84" s="13">
        <f>F84/12*G84</f>
        <v>7053.8040000000001</v>
      </c>
    </row>
    <row r="85" spans="1:9" ht="15.75" customHeight="1">
      <c r="A85" s="29"/>
      <c r="B85" s="36" t="s">
        <v>77</v>
      </c>
      <c r="C85" s="82"/>
      <c r="D85" s="81"/>
      <c r="E85" s="69"/>
      <c r="F85" s="69"/>
      <c r="G85" s="69"/>
      <c r="H85" s="83">
        <f>H84</f>
        <v>84.645647999999994</v>
      </c>
      <c r="I85" s="69">
        <f>I84+I83+I77+I74+I71+I60+I57+I54+I50+I44+I41+I40+I38+I37+I25+I18+I17+I16</f>
        <v>48191.66100231665</v>
      </c>
    </row>
    <row r="86" spans="1:9" ht="15.75" customHeight="1">
      <c r="A86" s="146" t="s">
        <v>58</v>
      </c>
      <c r="B86" s="147"/>
      <c r="C86" s="147"/>
      <c r="D86" s="147"/>
      <c r="E86" s="147"/>
      <c r="F86" s="147"/>
      <c r="G86" s="147"/>
      <c r="H86" s="147"/>
      <c r="I86" s="148"/>
    </row>
    <row r="87" spans="1:9" ht="34.5" customHeight="1">
      <c r="A87" s="29">
        <v>18</v>
      </c>
      <c r="B87" s="35" t="s">
        <v>306</v>
      </c>
      <c r="C87" s="114" t="s">
        <v>153</v>
      </c>
      <c r="D87" s="35" t="s">
        <v>312</v>
      </c>
      <c r="E87" s="34"/>
      <c r="F87" s="34">
        <v>1.5</v>
      </c>
      <c r="G87" s="34">
        <v>1446.64</v>
      </c>
      <c r="H87" s="90"/>
      <c r="I87" s="85">
        <f>G87*1.5</f>
        <v>2169.96</v>
      </c>
    </row>
    <row r="88" spans="1:9" ht="16.5" customHeight="1">
      <c r="A88" s="29">
        <v>19</v>
      </c>
      <c r="B88" s="35" t="s">
        <v>307</v>
      </c>
      <c r="C88" s="114" t="s">
        <v>153</v>
      </c>
      <c r="D88" s="48"/>
      <c r="E88" s="34"/>
      <c r="F88" s="34">
        <v>12</v>
      </c>
      <c r="G88" s="34">
        <v>284</v>
      </c>
      <c r="H88" s="90"/>
      <c r="I88" s="85">
        <f>G88*12</f>
        <v>3408</v>
      </c>
    </row>
    <row r="89" spans="1:9" ht="30.75" customHeight="1">
      <c r="A89" s="29">
        <v>20</v>
      </c>
      <c r="B89" s="98" t="s">
        <v>206</v>
      </c>
      <c r="C89" s="49" t="s">
        <v>207</v>
      </c>
      <c r="D89" s="48" t="s">
        <v>313</v>
      </c>
      <c r="E89" s="34"/>
      <c r="F89" s="34">
        <v>1</v>
      </c>
      <c r="G89" s="34">
        <v>222.63</v>
      </c>
      <c r="H89" s="90"/>
      <c r="I89" s="85">
        <f>G89*1</f>
        <v>222.63</v>
      </c>
    </row>
    <row r="90" spans="1:9" ht="35.25" customHeight="1">
      <c r="A90" s="29">
        <v>21</v>
      </c>
      <c r="B90" s="98" t="s">
        <v>239</v>
      </c>
      <c r="C90" s="49" t="s">
        <v>153</v>
      </c>
      <c r="D90" s="48" t="s">
        <v>314</v>
      </c>
      <c r="E90" s="34"/>
      <c r="F90" s="34">
        <v>2</v>
      </c>
      <c r="G90" s="34">
        <v>945.36</v>
      </c>
      <c r="H90" s="90"/>
      <c r="I90" s="85">
        <f>G90*2</f>
        <v>1890.72</v>
      </c>
    </row>
    <row r="91" spans="1:9" ht="31.5" customHeight="1">
      <c r="A91" s="29">
        <v>22</v>
      </c>
      <c r="B91" s="98" t="s">
        <v>163</v>
      </c>
      <c r="C91" s="49" t="s">
        <v>37</v>
      </c>
      <c r="D91" s="48"/>
      <c r="E91" s="34"/>
      <c r="F91" s="34">
        <v>0.01</v>
      </c>
      <c r="G91" s="34">
        <v>4070.89</v>
      </c>
      <c r="H91" s="34"/>
      <c r="I91" s="85">
        <f>G91*0.01</f>
        <v>40.7089</v>
      </c>
    </row>
    <row r="92" spans="1:9" ht="15.75" customHeight="1">
      <c r="A92" s="29">
        <v>23</v>
      </c>
      <c r="B92" s="98" t="s">
        <v>308</v>
      </c>
      <c r="C92" s="49" t="s">
        <v>112</v>
      </c>
      <c r="D92" s="48"/>
      <c r="E92" s="34"/>
      <c r="F92" s="34">
        <v>2</v>
      </c>
      <c r="G92" s="34">
        <v>98</v>
      </c>
      <c r="H92" s="34"/>
      <c r="I92" s="85">
        <f>G92*2</f>
        <v>196</v>
      </c>
    </row>
    <row r="93" spans="1:9" ht="15.75" customHeight="1">
      <c r="A93" s="29">
        <v>24</v>
      </c>
      <c r="B93" s="98" t="s">
        <v>309</v>
      </c>
      <c r="C93" s="49" t="s">
        <v>31</v>
      </c>
      <c r="D93" s="48"/>
      <c r="E93" s="34"/>
      <c r="F93" s="34">
        <v>1</v>
      </c>
      <c r="G93" s="34">
        <v>56</v>
      </c>
      <c r="H93" s="34"/>
      <c r="I93" s="85">
        <f>G93*1</f>
        <v>56</v>
      </c>
    </row>
    <row r="94" spans="1:9" ht="15.75" customHeight="1">
      <c r="A94" s="29">
        <v>25</v>
      </c>
      <c r="B94" s="98" t="s">
        <v>310</v>
      </c>
      <c r="C94" s="49" t="s">
        <v>112</v>
      </c>
      <c r="D94" s="48"/>
      <c r="E94" s="34"/>
      <c r="F94" s="34">
        <v>1</v>
      </c>
      <c r="G94" s="34">
        <v>110</v>
      </c>
      <c r="H94" s="34"/>
      <c r="I94" s="85">
        <f>G94*1</f>
        <v>110</v>
      </c>
    </row>
    <row r="95" spans="1:9" ht="15.75" customHeight="1">
      <c r="A95" s="29">
        <v>26</v>
      </c>
      <c r="B95" s="98" t="s">
        <v>311</v>
      </c>
      <c r="C95" s="49" t="s">
        <v>31</v>
      </c>
      <c r="D95" s="48"/>
      <c r="E95" s="34"/>
      <c r="F95" s="34">
        <v>1</v>
      </c>
      <c r="G95" s="34">
        <v>70</v>
      </c>
      <c r="H95" s="34"/>
      <c r="I95" s="85">
        <f>G95*1</f>
        <v>70</v>
      </c>
    </row>
    <row r="96" spans="1:9" ht="15.75" customHeight="1">
      <c r="A96" s="29"/>
      <c r="B96" s="41" t="s">
        <v>50</v>
      </c>
      <c r="C96" s="37"/>
      <c r="D96" s="45"/>
      <c r="E96" s="37">
        <v>1</v>
      </c>
      <c r="F96" s="37"/>
      <c r="G96" s="37"/>
      <c r="H96" s="37"/>
      <c r="I96" s="32">
        <f>SUM(I87:I95)</f>
        <v>8164.0189</v>
      </c>
    </row>
    <row r="97" spans="1:9" ht="15.75" customHeight="1">
      <c r="A97" s="29"/>
      <c r="B97" s="43" t="s">
        <v>76</v>
      </c>
      <c r="C97" s="15"/>
      <c r="D97" s="15"/>
      <c r="E97" s="38"/>
      <c r="F97" s="38"/>
      <c r="G97" s="39"/>
      <c r="H97" s="39"/>
      <c r="I97" s="17">
        <v>0</v>
      </c>
    </row>
    <row r="98" spans="1:9" ht="15.75" customHeight="1">
      <c r="A98" s="46"/>
      <c r="B98" s="42" t="s">
        <v>151</v>
      </c>
      <c r="C98" s="33"/>
      <c r="D98" s="33"/>
      <c r="E98" s="33"/>
      <c r="F98" s="33"/>
      <c r="G98" s="33"/>
      <c r="H98" s="33"/>
      <c r="I98" s="40">
        <f>I85+I96</f>
        <v>56355.679902316653</v>
      </c>
    </row>
    <row r="99" spans="1:9" ht="15.75">
      <c r="A99" s="145" t="s">
        <v>315</v>
      </c>
      <c r="B99" s="145"/>
      <c r="C99" s="145"/>
      <c r="D99" s="145"/>
      <c r="E99" s="145"/>
      <c r="F99" s="145"/>
      <c r="G99" s="145"/>
      <c r="H99" s="145"/>
      <c r="I99" s="145"/>
    </row>
    <row r="100" spans="1:9" ht="15.75">
      <c r="A100" s="56"/>
      <c r="B100" s="140" t="s">
        <v>316</v>
      </c>
      <c r="C100" s="140"/>
      <c r="D100" s="140"/>
      <c r="E100" s="140"/>
      <c r="F100" s="140"/>
      <c r="G100" s="140"/>
      <c r="H100" s="61"/>
      <c r="I100" s="3"/>
    </row>
    <row r="101" spans="1:9">
      <c r="A101" s="95"/>
      <c r="B101" s="136" t="s">
        <v>6</v>
      </c>
      <c r="C101" s="136"/>
      <c r="D101" s="136"/>
      <c r="E101" s="136"/>
      <c r="F101" s="136"/>
      <c r="G101" s="136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41" t="s">
        <v>7</v>
      </c>
      <c r="B103" s="141"/>
      <c r="C103" s="141"/>
      <c r="D103" s="141"/>
      <c r="E103" s="141"/>
      <c r="F103" s="141"/>
      <c r="G103" s="141"/>
      <c r="H103" s="141"/>
      <c r="I103" s="141"/>
    </row>
    <row r="104" spans="1:9" ht="15.75">
      <c r="A104" s="141" t="s">
        <v>8</v>
      </c>
      <c r="B104" s="141"/>
      <c r="C104" s="141"/>
      <c r="D104" s="141"/>
      <c r="E104" s="141"/>
      <c r="F104" s="141"/>
      <c r="G104" s="141"/>
      <c r="H104" s="141"/>
      <c r="I104" s="141"/>
    </row>
    <row r="105" spans="1:9" ht="15.75">
      <c r="A105" s="142" t="s">
        <v>59</v>
      </c>
      <c r="B105" s="142"/>
      <c r="C105" s="142"/>
      <c r="D105" s="142"/>
      <c r="E105" s="142"/>
      <c r="F105" s="142"/>
      <c r="G105" s="142"/>
      <c r="H105" s="142"/>
      <c r="I105" s="142"/>
    </row>
    <row r="106" spans="1:9" ht="15.75">
      <c r="A106" s="11"/>
    </row>
    <row r="107" spans="1:9" ht="15.75">
      <c r="A107" s="143" t="s">
        <v>9</v>
      </c>
      <c r="B107" s="143"/>
      <c r="C107" s="143"/>
      <c r="D107" s="143"/>
      <c r="E107" s="143"/>
      <c r="F107" s="143"/>
      <c r="G107" s="143"/>
      <c r="H107" s="143"/>
      <c r="I107" s="143"/>
    </row>
    <row r="108" spans="1:9" ht="15.75">
      <c r="A108" s="4"/>
    </row>
    <row r="109" spans="1:9" ht="15.75">
      <c r="B109" s="93" t="s">
        <v>10</v>
      </c>
      <c r="C109" s="135" t="s">
        <v>274</v>
      </c>
      <c r="D109" s="135"/>
      <c r="E109" s="135"/>
      <c r="F109" s="59"/>
      <c r="I109" s="97"/>
    </row>
    <row r="110" spans="1:9">
      <c r="A110" s="95"/>
      <c r="C110" s="136" t="s">
        <v>11</v>
      </c>
      <c r="D110" s="136"/>
      <c r="E110" s="136"/>
      <c r="F110" s="24"/>
      <c r="I110" s="96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93" t="s">
        <v>13</v>
      </c>
      <c r="C112" s="137"/>
      <c r="D112" s="137"/>
      <c r="E112" s="137"/>
      <c r="F112" s="60"/>
      <c r="I112" s="97"/>
    </row>
    <row r="113" spans="1:9">
      <c r="A113" s="95"/>
      <c r="C113" s="138" t="s">
        <v>11</v>
      </c>
      <c r="D113" s="138"/>
      <c r="E113" s="138"/>
      <c r="F113" s="95"/>
      <c r="I113" s="96" t="s">
        <v>12</v>
      </c>
    </row>
    <row r="114" spans="1:9" ht="15.75">
      <c r="A114" s="4" t="s">
        <v>14</v>
      </c>
    </row>
    <row r="115" spans="1:9">
      <c r="A115" s="139" t="s">
        <v>15</v>
      </c>
      <c r="B115" s="139"/>
      <c r="C115" s="139"/>
      <c r="D115" s="139"/>
      <c r="E115" s="139"/>
      <c r="F115" s="139"/>
      <c r="G115" s="139"/>
      <c r="H115" s="139"/>
      <c r="I115" s="139"/>
    </row>
    <row r="116" spans="1:9" ht="47.25" customHeight="1">
      <c r="A116" s="131" t="s">
        <v>16</v>
      </c>
      <c r="B116" s="131"/>
      <c r="C116" s="131"/>
      <c r="D116" s="131"/>
      <c r="E116" s="131"/>
      <c r="F116" s="131"/>
      <c r="G116" s="131"/>
      <c r="H116" s="131"/>
      <c r="I116" s="131"/>
    </row>
    <row r="117" spans="1:9" ht="31.5" customHeight="1">
      <c r="A117" s="131" t="s">
        <v>17</v>
      </c>
      <c r="B117" s="131"/>
      <c r="C117" s="131"/>
      <c r="D117" s="131"/>
      <c r="E117" s="131"/>
      <c r="F117" s="131"/>
      <c r="G117" s="131"/>
      <c r="H117" s="131"/>
      <c r="I117" s="131"/>
    </row>
    <row r="118" spans="1:9" ht="31.5" customHeight="1">
      <c r="A118" s="131" t="s">
        <v>21</v>
      </c>
      <c r="B118" s="131"/>
      <c r="C118" s="131"/>
      <c r="D118" s="131"/>
      <c r="E118" s="131"/>
      <c r="F118" s="131"/>
      <c r="G118" s="131"/>
      <c r="H118" s="131"/>
      <c r="I118" s="131"/>
    </row>
    <row r="119" spans="1:9" ht="15.75" customHeight="1">
      <c r="A119" s="131" t="s">
        <v>20</v>
      </c>
      <c r="B119" s="131"/>
      <c r="C119" s="131"/>
      <c r="D119" s="131"/>
      <c r="E119" s="131"/>
      <c r="F119" s="131"/>
      <c r="G119" s="131"/>
      <c r="H119" s="131"/>
      <c r="I119" s="131"/>
    </row>
  </sheetData>
  <autoFilter ref="I12:I59"/>
  <mergeCells count="29">
    <mergeCell ref="A115:I115"/>
    <mergeCell ref="A116:I116"/>
    <mergeCell ref="A117:I117"/>
    <mergeCell ref="A118:I118"/>
    <mergeCell ref="A119:I119"/>
    <mergeCell ref="R64:U64"/>
    <mergeCell ref="C113:E113"/>
    <mergeCell ref="A86:I86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1"/>
  <sheetViews>
    <sheetView topLeftCell="A78" workbookViewId="0">
      <selection activeCell="B85" sqref="B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140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204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43890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hidden="1" customHeight="1">
      <c r="A26" s="29">
        <v>5</v>
      </c>
      <c r="B26" s="71" t="s">
        <v>23</v>
      </c>
      <c r="C26" s="64" t="s">
        <v>24</v>
      </c>
      <c r="D26" s="63"/>
      <c r="E26" s="65">
        <v>2177.1</v>
      </c>
      <c r="F26" s="66">
        <f>SUM(E26*12)</f>
        <v>26125.199999999997</v>
      </c>
      <c r="G26" s="66">
        <v>5.15</v>
      </c>
      <c r="H26" s="67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80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86" t="s">
        <v>28</v>
      </c>
      <c r="C28" s="64"/>
      <c r="D28" s="63"/>
      <c r="E28" s="65"/>
      <c r="F28" s="66"/>
      <c r="G28" s="66"/>
      <c r="H28" s="67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3" t="s">
        <v>97</v>
      </c>
      <c r="C29" s="64" t="s">
        <v>127</v>
      </c>
      <c r="D29" s="63" t="s">
        <v>128</v>
      </c>
      <c r="E29" s="66">
        <v>2497.6999999999998</v>
      </c>
      <c r="F29" s="66">
        <f>SUM(E29*52/1000)</f>
        <v>129.88039999999998</v>
      </c>
      <c r="G29" s="66">
        <v>177.3</v>
      </c>
      <c r="H29" s="67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3" t="s">
        <v>138</v>
      </c>
      <c r="C30" s="64" t="s">
        <v>98</v>
      </c>
      <c r="D30" s="63" t="s">
        <v>129</v>
      </c>
      <c r="E30" s="66">
        <v>266.37</v>
      </c>
      <c r="F30" s="66">
        <f>SUM(E30*78/1000)</f>
        <v>20.776859999999999</v>
      </c>
      <c r="G30" s="66">
        <v>297.17</v>
      </c>
      <c r="H30" s="67">
        <f t="shared" si="1"/>
        <v>6.1742594862000004</v>
      </c>
      <c r="I30" s="13">
        <f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27</v>
      </c>
      <c r="C31" s="64" t="s">
        <v>98</v>
      </c>
      <c r="D31" s="63" t="s">
        <v>52</v>
      </c>
      <c r="E31" s="66">
        <v>2497.6999999999998</v>
      </c>
      <c r="F31" s="66">
        <f>SUM(E31/1000)</f>
        <v>2.4977</v>
      </c>
      <c r="G31" s="66">
        <v>3435.36</v>
      </c>
      <c r="H31" s="67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3" t="s">
        <v>101</v>
      </c>
      <c r="C32" s="64" t="s">
        <v>39</v>
      </c>
      <c r="D32" s="63" t="s">
        <v>61</v>
      </c>
      <c r="E32" s="66">
        <v>2</v>
      </c>
      <c r="F32" s="66">
        <v>3.1</v>
      </c>
      <c r="G32" s="66">
        <v>1480.94</v>
      </c>
      <c r="H32" s="67">
        <f>G32*F32/1000</f>
        <v>4.5909140000000006</v>
      </c>
      <c r="I32" s="13">
        <f>F32/6*G32</f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3" t="s">
        <v>102</v>
      </c>
      <c r="C33" s="64" t="s">
        <v>31</v>
      </c>
      <c r="D33" s="63" t="s">
        <v>61</v>
      </c>
      <c r="E33" s="70">
        <v>0.33333333333333331</v>
      </c>
      <c r="F33" s="66">
        <f>155/3</f>
        <v>51.666666666666664</v>
      </c>
      <c r="G33" s="66">
        <v>64.48</v>
      </c>
      <c r="H33" s="67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3" t="s">
        <v>62</v>
      </c>
      <c r="C34" s="64" t="s">
        <v>33</v>
      </c>
      <c r="D34" s="63" t="s">
        <v>130</v>
      </c>
      <c r="E34" s="65"/>
      <c r="F34" s="66">
        <v>2</v>
      </c>
      <c r="G34" s="66">
        <v>217.61</v>
      </c>
      <c r="H34" s="67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3" t="s">
        <v>63</v>
      </c>
      <c r="C35" s="64" t="s">
        <v>32</v>
      </c>
      <c r="D35" s="63" t="s">
        <v>130</v>
      </c>
      <c r="E35" s="65"/>
      <c r="F35" s="66">
        <v>1</v>
      </c>
      <c r="G35" s="66">
        <v>1292.47</v>
      </c>
      <c r="H35" s="67">
        <f t="shared" si="1"/>
        <v>1.29247</v>
      </c>
      <c r="I35" s="13">
        <v>0</v>
      </c>
      <c r="J35" s="23"/>
    </row>
    <row r="36" spans="1:14" ht="15.75" customHeight="1">
      <c r="A36" s="72"/>
      <c r="B36" s="86" t="s">
        <v>5</v>
      </c>
      <c r="C36" s="64"/>
      <c r="D36" s="63"/>
      <c r="E36" s="65"/>
      <c r="F36" s="66"/>
      <c r="G36" s="66"/>
      <c r="H36" s="67" t="s">
        <v>131</v>
      </c>
      <c r="I36" s="13"/>
      <c r="J36" s="23"/>
    </row>
    <row r="37" spans="1:14" ht="15" customHeight="1">
      <c r="A37" s="72">
        <v>5</v>
      </c>
      <c r="B37" s="63" t="s">
        <v>26</v>
      </c>
      <c r="C37" s="64" t="s">
        <v>32</v>
      </c>
      <c r="D37" s="63" t="s">
        <v>205</v>
      </c>
      <c r="E37" s="65"/>
      <c r="F37" s="66">
        <v>6</v>
      </c>
      <c r="G37" s="66">
        <v>1737.08</v>
      </c>
      <c r="H37" s="67">
        <f t="shared" ref="H37:H43" si="2">SUM(F37*G37/1000)</f>
        <v>10.42248</v>
      </c>
      <c r="I37" s="13">
        <f>G37*0.8</f>
        <v>1389.664</v>
      </c>
      <c r="J37" s="23"/>
    </row>
    <row r="38" spans="1:14" ht="15.75" customHeight="1">
      <c r="A38" s="72">
        <v>6</v>
      </c>
      <c r="B38" s="63" t="s">
        <v>103</v>
      </c>
      <c r="C38" s="64" t="s">
        <v>29</v>
      </c>
      <c r="D38" s="63" t="s">
        <v>173</v>
      </c>
      <c r="E38" s="65">
        <v>48.36</v>
      </c>
      <c r="F38" s="66">
        <f>E38*30/1000</f>
        <v>1.4507999999999999</v>
      </c>
      <c r="G38" s="66">
        <v>2391.67</v>
      </c>
      <c r="H38" s="67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2">
        <v>8</v>
      </c>
      <c r="B39" s="63" t="s">
        <v>104</v>
      </c>
      <c r="C39" s="64" t="s">
        <v>105</v>
      </c>
      <c r="D39" s="63" t="s">
        <v>64</v>
      </c>
      <c r="E39" s="65"/>
      <c r="F39" s="66">
        <v>65</v>
      </c>
      <c r="G39" s="66">
        <v>226.85</v>
      </c>
      <c r="H39" s="67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2">
        <v>7</v>
      </c>
      <c r="B40" s="63" t="s">
        <v>65</v>
      </c>
      <c r="C40" s="64" t="s">
        <v>29</v>
      </c>
      <c r="D40" s="63" t="s">
        <v>174</v>
      </c>
      <c r="E40" s="66">
        <v>53.69</v>
      </c>
      <c r="F40" s="66">
        <f>SUM(E40*155/1000)</f>
        <v>8.3219499999999993</v>
      </c>
      <c r="G40" s="66">
        <v>398.95</v>
      </c>
      <c r="H40" s="67">
        <f t="shared" si="2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2">
        <v>8</v>
      </c>
      <c r="B41" s="63" t="s">
        <v>79</v>
      </c>
      <c r="C41" s="64" t="s">
        <v>98</v>
      </c>
      <c r="D41" s="63" t="s">
        <v>175</v>
      </c>
      <c r="E41" s="66">
        <v>23.93</v>
      </c>
      <c r="F41" s="66">
        <f>SUM(E41*24/1000)</f>
        <v>0.57431999999999994</v>
      </c>
      <c r="G41" s="66">
        <v>6600.74</v>
      </c>
      <c r="H41" s="67">
        <f t="shared" si="2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8</v>
      </c>
      <c r="B42" s="63" t="s">
        <v>108</v>
      </c>
      <c r="C42" s="64" t="s">
        <v>98</v>
      </c>
      <c r="D42" s="63" t="s">
        <v>176</v>
      </c>
      <c r="E42" s="66">
        <v>48.36</v>
      </c>
      <c r="F42" s="66">
        <f>SUM(E42*45/1000)</f>
        <v>2.1761999999999997</v>
      </c>
      <c r="G42" s="66">
        <v>487.61</v>
      </c>
      <c r="H42" s="67">
        <f t="shared" si="2"/>
        <v>1.0611368819999998</v>
      </c>
      <c r="I42" s="13">
        <f>F42/7.5*G42</f>
        <v>141.48491759999999</v>
      </c>
      <c r="J42" s="23"/>
      <c r="L42" s="19"/>
      <c r="M42" s="20"/>
      <c r="N42" s="21"/>
    </row>
    <row r="43" spans="1:14" ht="15.75" hidden="1" customHeight="1">
      <c r="A43" s="29">
        <v>9</v>
      </c>
      <c r="B43" s="63" t="s">
        <v>67</v>
      </c>
      <c r="C43" s="64" t="s">
        <v>33</v>
      </c>
      <c r="D43" s="63"/>
      <c r="E43" s="65"/>
      <c r="F43" s="66">
        <v>0.9</v>
      </c>
      <c r="G43" s="66">
        <v>907.66</v>
      </c>
      <c r="H43" s="67">
        <f t="shared" si="2"/>
        <v>0.81689400000000001</v>
      </c>
      <c r="I43" s="13">
        <f>F43/7.5*G43</f>
        <v>108.9192</v>
      </c>
      <c r="J43" s="23"/>
      <c r="L43" s="19"/>
      <c r="M43" s="20"/>
      <c r="N43" s="21"/>
    </row>
    <row r="44" spans="1:14" ht="15.75" customHeight="1">
      <c r="A44" s="132" t="s">
        <v>135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3" t="s">
        <v>109</v>
      </c>
      <c r="C45" s="64" t="s">
        <v>98</v>
      </c>
      <c r="D45" s="63" t="s">
        <v>41</v>
      </c>
      <c r="E45" s="65">
        <v>614.29999999999995</v>
      </c>
      <c r="F45" s="66">
        <f>SUM(E45*2/1000)</f>
        <v>1.2285999999999999</v>
      </c>
      <c r="G45" s="13">
        <v>1094.96</v>
      </c>
      <c r="H45" s="67">
        <f t="shared" ref="H45:H53" si="3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34</v>
      </c>
      <c r="C46" s="64" t="s">
        <v>98</v>
      </c>
      <c r="D46" s="63" t="s">
        <v>41</v>
      </c>
      <c r="E46" s="65">
        <v>61</v>
      </c>
      <c r="F46" s="66">
        <f>E46*2/1000</f>
        <v>0.122</v>
      </c>
      <c r="G46" s="13">
        <v>3832.4</v>
      </c>
      <c r="H46" s="67">
        <f t="shared" si="3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35</v>
      </c>
      <c r="C47" s="64" t="s">
        <v>98</v>
      </c>
      <c r="D47" s="63" t="s">
        <v>41</v>
      </c>
      <c r="E47" s="65">
        <v>3135.64</v>
      </c>
      <c r="F47" s="66">
        <f>SUM(E47*2/1000)</f>
        <v>6.27128</v>
      </c>
      <c r="G47" s="13">
        <v>1564.24</v>
      </c>
      <c r="H47" s="67">
        <f t="shared" si="3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3" t="s">
        <v>36</v>
      </c>
      <c r="C48" s="64" t="s">
        <v>98</v>
      </c>
      <c r="D48" s="63" t="s">
        <v>41</v>
      </c>
      <c r="E48" s="65">
        <v>1678.47</v>
      </c>
      <c r="F48" s="66">
        <f>SUM(E48*2/1000)</f>
        <v>3.3569400000000003</v>
      </c>
      <c r="G48" s="13">
        <v>1078.3599999999999</v>
      </c>
      <c r="H48" s="67">
        <f t="shared" si="3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9</v>
      </c>
      <c r="B49" s="63" t="s">
        <v>54</v>
      </c>
      <c r="C49" s="64" t="s">
        <v>98</v>
      </c>
      <c r="D49" s="63" t="s">
        <v>177</v>
      </c>
      <c r="E49" s="65">
        <v>614.29999999999995</v>
      </c>
      <c r="F49" s="66">
        <f>SUM(E49*5/1000)</f>
        <v>3.0714999999999999</v>
      </c>
      <c r="G49" s="13">
        <v>1838.49</v>
      </c>
      <c r="H49" s="67">
        <f t="shared" si="3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3" t="s">
        <v>110</v>
      </c>
      <c r="C50" s="64" t="s">
        <v>98</v>
      </c>
      <c r="D50" s="63" t="s">
        <v>41</v>
      </c>
      <c r="E50" s="65">
        <v>614.29999999999995</v>
      </c>
      <c r="F50" s="66">
        <f>SUM(E50*2/1000)</f>
        <v>1.2285999999999999</v>
      </c>
      <c r="G50" s="13">
        <v>1380.31</v>
      </c>
      <c r="H50" s="67">
        <f t="shared" si="3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3" t="s">
        <v>111</v>
      </c>
      <c r="C51" s="64" t="s">
        <v>37</v>
      </c>
      <c r="D51" s="63" t="s">
        <v>41</v>
      </c>
      <c r="E51" s="65">
        <v>20</v>
      </c>
      <c r="F51" s="66">
        <f>SUM(E51*2/100)</f>
        <v>0.4</v>
      </c>
      <c r="G51" s="13">
        <v>3519.56</v>
      </c>
      <c r="H51" s="67">
        <f t="shared" si="3"/>
        <v>1.407824</v>
      </c>
      <c r="I51" s="13">
        <v>0</v>
      </c>
      <c r="J51" s="23"/>
      <c r="L51" s="19"/>
      <c r="M51" s="20"/>
      <c r="N51" s="21"/>
    </row>
    <row r="52" spans="1:22" ht="21.75" hidden="1" customHeight="1">
      <c r="A52" s="29"/>
      <c r="B52" s="63" t="s">
        <v>38</v>
      </c>
      <c r="C52" s="64" t="s">
        <v>39</v>
      </c>
      <c r="D52" s="63" t="s">
        <v>41</v>
      </c>
      <c r="E52" s="65">
        <v>1</v>
      </c>
      <c r="F52" s="66">
        <v>0.02</v>
      </c>
      <c r="G52" s="13">
        <v>6428.82</v>
      </c>
      <c r="H52" s="67">
        <f t="shared" si="3"/>
        <v>0.12857640000000001</v>
      </c>
      <c r="I52" s="13">
        <v>0</v>
      </c>
      <c r="J52" s="23"/>
      <c r="L52" s="19"/>
      <c r="M52" s="20"/>
      <c r="N52" s="21"/>
    </row>
    <row r="53" spans="1:22" ht="19.5" hidden="1" customHeight="1">
      <c r="A53" s="29">
        <v>11</v>
      </c>
      <c r="B53" s="63" t="s">
        <v>40</v>
      </c>
      <c r="C53" s="64" t="s">
        <v>112</v>
      </c>
      <c r="D53" s="113">
        <v>43524</v>
      </c>
      <c r="E53" s="65">
        <v>170</v>
      </c>
      <c r="F53" s="66">
        <f>SUM(E53)*3</f>
        <v>510</v>
      </c>
      <c r="G53" s="13">
        <v>74.709999999999994</v>
      </c>
      <c r="H53" s="67">
        <f t="shared" si="3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136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customHeight="1">
      <c r="A55" s="29"/>
      <c r="B55" s="86" t="s">
        <v>42</v>
      </c>
      <c r="C55" s="64"/>
      <c r="D55" s="63"/>
      <c r="E55" s="65"/>
      <c r="F55" s="66"/>
      <c r="G55" s="66"/>
      <c r="H55" s="67"/>
      <c r="I55" s="13"/>
      <c r="J55" s="23"/>
      <c r="L55" s="19"/>
      <c r="M55" s="20"/>
      <c r="N55" s="21"/>
    </row>
    <row r="56" spans="1:22" ht="31.5" customHeight="1">
      <c r="A56" s="29">
        <v>10</v>
      </c>
      <c r="B56" s="63" t="s">
        <v>113</v>
      </c>
      <c r="C56" s="64" t="s">
        <v>88</v>
      </c>
      <c r="D56" s="63"/>
      <c r="E56" s="65">
        <v>63.07</v>
      </c>
      <c r="F56" s="66">
        <f>SUM(E56*6/100)</f>
        <v>3.7842000000000002</v>
      </c>
      <c r="G56" s="13">
        <v>1759.9</v>
      </c>
      <c r="H56" s="67">
        <f>SUM(F56*G56/1000)</f>
        <v>6.6598135800000007</v>
      </c>
      <c r="I56" s="13">
        <f>G56*4.692</f>
        <v>8257.4508000000005</v>
      </c>
      <c r="J56" s="23"/>
      <c r="L56" s="19"/>
    </row>
    <row r="57" spans="1:22" ht="15.75" customHeight="1">
      <c r="A57" s="29"/>
      <c r="B57" s="87" t="s">
        <v>43</v>
      </c>
      <c r="C57" s="73"/>
      <c r="D57" s="74"/>
      <c r="E57" s="75"/>
      <c r="F57" s="76"/>
      <c r="G57" s="13"/>
      <c r="H57" s="77"/>
      <c r="I57" s="13"/>
    </row>
    <row r="58" spans="1:22" ht="15.75" hidden="1" customHeight="1">
      <c r="A58" s="29"/>
      <c r="B58" s="74" t="s">
        <v>133</v>
      </c>
      <c r="C58" s="73" t="s">
        <v>51</v>
      </c>
      <c r="D58" s="74" t="s">
        <v>52</v>
      </c>
      <c r="E58" s="75">
        <v>614.29999999999995</v>
      </c>
      <c r="F58" s="76">
        <v>6.1429999999999998</v>
      </c>
      <c r="G58" s="13">
        <v>902.66</v>
      </c>
      <c r="H58" s="77">
        <f>F58*G58/1000</f>
        <v>5.5450403799999997</v>
      </c>
      <c r="I58" s="13">
        <v>0</v>
      </c>
    </row>
    <row r="59" spans="1:22" ht="15.75" customHeight="1">
      <c r="A59" s="29">
        <v>11</v>
      </c>
      <c r="B59" s="100" t="s">
        <v>85</v>
      </c>
      <c r="C59" s="101" t="s">
        <v>25</v>
      </c>
      <c r="D59" s="100" t="s">
        <v>178</v>
      </c>
      <c r="E59" s="102">
        <v>100</v>
      </c>
      <c r="F59" s="103">
        <f>E59*12</f>
        <v>1200</v>
      </c>
      <c r="G59" s="104">
        <v>1.4</v>
      </c>
      <c r="H59" s="105">
        <f>F59*G59/1000</f>
        <v>1.68</v>
      </c>
      <c r="I59" s="13">
        <f>F59/12*G59</f>
        <v>140</v>
      </c>
    </row>
    <row r="60" spans="1:22" ht="15.75" hidden="1" customHeight="1">
      <c r="A60" s="29"/>
      <c r="B60" s="87" t="s">
        <v>44</v>
      </c>
      <c r="C60" s="73"/>
      <c r="D60" s="74"/>
      <c r="E60" s="75"/>
      <c r="F60" s="78"/>
      <c r="G60" s="78"/>
      <c r="H60" s="76" t="s">
        <v>131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15</v>
      </c>
      <c r="B61" s="14" t="s">
        <v>45</v>
      </c>
      <c r="C61" s="16" t="s">
        <v>112</v>
      </c>
      <c r="D61" s="14" t="s">
        <v>64</v>
      </c>
      <c r="E61" s="18">
        <v>25</v>
      </c>
      <c r="F61" s="66">
        <v>25</v>
      </c>
      <c r="G61" s="13">
        <v>252.96</v>
      </c>
      <c r="H61" s="79">
        <f t="shared" ref="H61:H75" si="4">SUM(F61*G61/1000)</f>
        <v>6.3239999999999998</v>
      </c>
      <c r="I61" s="13">
        <f>G61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>
        <v>15</v>
      </c>
      <c r="B62" s="14" t="s">
        <v>46</v>
      </c>
      <c r="C62" s="16" t="s">
        <v>112</v>
      </c>
      <c r="D62" s="14" t="s">
        <v>64</v>
      </c>
      <c r="E62" s="18">
        <v>2</v>
      </c>
      <c r="F62" s="66">
        <v>2</v>
      </c>
      <c r="G62" s="13">
        <v>86.74</v>
      </c>
      <c r="H62" s="79">
        <f t="shared" si="4"/>
        <v>0.17348</v>
      </c>
      <c r="I62" s="13">
        <f>G62</f>
        <v>86.74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115</v>
      </c>
      <c r="D63" s="14" t="s">
        <v>52</v>
      </c>
      <c r="E63" s="65">
        <v>8692</v>
      </c>
      <c r="F63" s="13">
        <f>SUM(E63/100)</f>
        <v>86.92</v>
      </c>
      <c r="G63" s="13">
        <v>241.31</v>
      </c>
      <c r="H63" s="79">
        <f t="shared" si="4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8"/>
      <c r="S63" s="138"/>
      <c r="T63" s="138"/>
      <c r="U63" s="138"/>
    </row>
    <row r="64" spans="1:22" ht="15.75" hidden="1" customHeight="1">
      <c r="A64" s="29"/>
      <c r="B64" s="14" t="s">
        <v>48</v>
      </c>
      <c r="C64" s="16" t="s">
        <v>116</v>
      </c>
      <c r="D64" s="14"/>
      <c r="E64" s="65">
        <v>8692</v>
      </c>
      <c r="F64" s="13">
        <f>SUM(E64/1000)</f>
        <v>8.6920000000000002</v>
      </c>
      <c r="G64" s="13">
        <v>187.91</v>
      </c>
      <c r="H64" s="79">
        <f t="shared" si="4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74</v>
      </c>
      <c r="D65" s="14" t="s">
        <v>52</v>
      </c>
      <c r="E65" s="65">
        <v>855</v>
      </c>
      <c r="F65" s="13">
        <f>SUM(E65/100)</f>
        <v>8.5500000000000007</v>
      </c>
      <c r="G65" s="13">
        <v>2359.7199999999998</v>
      </c>
      <c r="H65" s="79">
        <f t="shared" si="4"/>
        <v>20.175605999999998</v>
      </c>
      <c r="I65" s="13">
        <v>0</v>
      </c>
    </row>
    <row r="66" spans="1:9" ht="15.75" hidden="1" customHeight="1">
      <c r="A66" s="29"/>
      <c r="B66" s="80" t="s">
        <v>117</v>
      </c>
      <c r="C66" s="16" t="s">
        <v>33</v>
      </c>
      <c r="D66" s="14"/>
      <c r="E66" s="65">
        <v>8.6</v>
      </c>
      <c r="F66" s="13">
        <f>SUM(E66)</f>
        <v>8.6</v>
      </c>
      <c r="G66" s="13">
        <v>42.67</v>
      </c>
      <c r="H66" s="79">
        <f t="shared" si="4"/>
        <v>0.36696200000000001</v>
      </c>
      <c r="I66" s="13">
        <v>0</v>
      </c>
    </row>
    <row r="67" spans="1:9" ht="15.75" hidden="1" customHeight="1">
      <c r="A67" s="29"/>
      <c r="B67" s="80" t="s">
        <v>118</v>
      </c>
      <c r="C67" s="16" t="s">
        <v>33</v>
      </c>
      <c r="D67" s="14"/>
      <c r="E67" s="65">
        <v>8.6</v>
      </c>
      <c r="F67" s="13">
        <f>SUM(E67)</f>
        <v>8.6</v>
      </c>
      <c r="G67" s="13">
        <v>39.81</v>
      </c>
      <c r="H67" s="79">
        <f t="shared" si="4"/>
        <v>0.342366</v>
      </c>
      <c r="I67" s="13">
        <v>0</v>
      </c>
    </row>
    <row r="68" spans="1:9" ht="15.75" hidden="1" customHeight="1">
      <c r="A68" s="29"/>
      <c r="B68" s="14" t="s">
        <v>55</v>
      </c>
      <c r="C68" s="16" t="s">
        <v>56</v>
      </c>
      <c r="D68" s="14" t="s">
        <v>52</v>
      </c>
      <c r="E68" s="18">
        <v>5</v>
      </c>
      <c r="F68" s="66">
        <v>5</v>
      </c>
      <c r="G68" s="13">
        <v>56.74</v>
      </c>
      <c r="H68" s="79">
        <f t="shared" si="4"/>
        <v>0.28370000000000001</v>
      </c>
      <c r="I68" s="13">
        <v>0</v>
      </c>
    </row>
    <row r="69" spans="1:9" ht="15.75" customHeight="1">
      <c r="A69" s="29"/>
      <c r="B69" s="88" t="s">
        <v>69</v>
      </c>
      <c r="C69" s="16"/>
      <c r="D69" s="14"/>
      <c r="E69" s="18"/>
      <c r="F69" s="13"/>
      <c r="G69" s="13"/>
      <c r="H69" s="79" t="s">
        <v>131</v>
      </c>
      <c r="I69" s="13"/>
    </row>
    <row r="70" spans="1:9" ht="15.75" hidden="1" customHeight="1">
      <c r="A70" s="29"/>
      <c r="B70" s="14" t="s">
        <v>124</v>
      </c>
      <c r="C70" s="16" t="s">
        <v>125</v>
      </c>
      <c r="D70" s="14"/>
      <c r="E70" s="18">
        <v>4</v>
      </c>
      <c r="F70" s="13">
        <f>E70</f>
        <v>4</v>
      </c>
      <c r="G70" s="13">
        <v>113.57</v>
      </c>
      <c r="H70" s="79">
        <f t="shared" si="4"/>
        <v>0.45427999999999996</v>
      </c>
      <c r="I70" s="13">
        <v>0</v>
      </c>
    </row>
    <row r="71" spans="1:9" ht="15.75" customHeight="1">
      <c r="A71" s="29">
        <v>12</v>
      </c>
      <c r="B71" s="14" t="s">
        <v>70</v>
      </c>
      <c r="C71" s="16" t="s">
        <v>72</v>
      </c>
      <c r="D71" s="14" t="s">
        <v>212</v>
      </c>
      <c r="E71" s="18">
        <v>20</v>
      </c>
      <c r="F71" s="13">
        <v>2</v>
      </c>
      <c r="G71" s="13">
        <v>570.54</v>
      </c>
      <c r="H71" s="79">
        <f t="shared" si="4"/>
        <v>1.1410799999999999</v>
      </c>
      <c r="I71" s="13">
        <f>G71*2.3</f>
        <v>1312.2419999999997</v>
      </c>
    </row>
    <row r="72" spans="1:9" ht="15.75" hidden="1" customHeight="1">
      <c r="A72" s="29"/>
      <c r="B72" s="14" t="s">
        <v>71</v>
      </c>
      <c r="C72" s="16" t="s">
        <v>31</v>
      </c>
      <c r="D72" s="14"/>
      <c r="E72" s="18">
        <v>2</v>
      </c>
      <c r="F72" s="57">
        <v>2</v>
      </c>
      <c r="G72" s="13">
        <v>970.21</v>
      </c>
      <c r="H72" s="79">
        <f>F72*G72/1000</f>
        <v>1.94042</v>
      </c>
      <c r="I72" s="13">
        <v>0</v>
      </c>
    </row>
    <row r="73" spans="1:9" ht="15.75" hidden="1" customHeight="1">
      <c r="A73" s="29"/>
      <c r="B73" s="14" t="s">
        <v>82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79">
        <f>G73*F73/1000</f>
        <v>0.81558000000000008</v>
      </c>
      <c r="I73" s="13">
        <v>0</v>
      </c>
    </row>
    <row r="74" spans="1:9" ht="15.75" hidden="1" customHeight="1">
      <c r="A74" s="29"/>
      <c r="B74" s="82" t="s">
        <v>73</v>
      </c>
      <c r="C74" s="16"/>
      <c r="D74" s="14"/>
      <c r="E74" s="18"/>
      <c r="F74" s="13"/>
      <c r="G74" s="13" t="s">
        <v>131</v>
      </c>
      <c r="H74" s="79" t="s">
        <v>131</v>
      </c>
      <c r="I74" s="13"/>
    </row>
    <row r="75" spans="1:9" ht="15.75" hidden="1" customHeight="1">
      <c r="A75" s="29"/>
      <c r="B75" s="43" t="s">
        <v>121</v>
      </c>
      <c r="C75" s="16" t="s">
        <v>74</v>
      </c>
      <c r="D75" s="14"/>
      <c r="E75" s="18"/>
      <c r="F75" s="13">
        <v>1</v>
      </c>
      <c r="G75" s="13">
        <v>3138.63</v>
      </c>
      <c r="H75" s="79">
        <f t="shared" si="4"/>
        <v>3.13863</v>
      </c>
      <c r="I75" s="13">
        <v>0</v>
      </c>
    </row>
    <row r="76" spans="1:9" ht="15.75" hidden="1" customHeight="1">
      <c r="A76" s="29"/>
      <c r="B76" s="55" t="s">
        <v>119</v>
      </c>
      <c r="C76" s="82"/>
      <c r="D76" s="31"/>
      <c r="E76" s="32"/>
      <c r="F76" s="69"/>
      <c r="G76" s="69"/>
      <c r="H76" s="83">
        <f>SUM(H56:H75)</f>
        <v>71.648936879999994</v>
      </c>
      <c r="I76" s="69"/>
    </row>
    <row r="77" spans="1:9" ht="15.75" hidden="1" customHeight="1">
      <c r="A77" s="44"/>
      <c r="B77" s="63" t="s">
        <v>120</v>
      </c>
      <c r="C77" s="16"/>
      <c r="D77" s="14"/>
      <c r="E77" s="58"/>
      <c r="F77" s="13">
        <v>1</v>
      </c>
      <c r="G77" s="13">
        <v>19285</v>
      </c>
      <c r="H77" s="79">
        <f>G77*F77/1000</f>
        <v>19.285</v>
      </c>
      <c r="I77" s="13">
        <v>0</v>
      </c>
    </row>
    <row r="78" spans="1:9" ht="15.75" customHeight="1">
      <c r="A78" s="132" t="s">
        <v>137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13</v>
      </c>
      <c r="B79" s="63" t="s">
        <v>122</v>
      </c>
      <c r="C79" s="16" t="s">
        <v>53</v>
      </c>
      <c r="D79" s="84"/>
      <c r="E79" s="13">
        <v>2177.1</v>
      </c>
      <c r="F79" s="13">
        <f>SUM(E79*12)</f>
        <v>26125.199999999997</v>
      </c>
      <c r="G79" s="13">
        <v>2.7</v>
      </c>
      <c r="H79" s="79">
        <f>SUM(F79*G79/1000)</f>
        <v>70.538039999999995</v>
      </c>
      <c r="I79" s="13">
        <f>F79/12*G79</f>
        <v>5878.17</v>
      </c>
    </row>
    <row r="80" spans="1:9" ht="31.5" customHeight="1">
      <c r="A80" s="29">
        <v>14</v>
      </c>
      <c r="B80" s="14" t="s">
        <v>75</v>
      </c>
      <c r="C80" s="16"/>
      <c r="D80" s="84"/>
      <c r="E80" s="65">
        <f>E79</f>
        <v>2177.1</v>
      </c>
      <c r="F80" s="13">
        <f>E80*12</f>
        <v>26125.199999999997</v>
      </c>
      <c r="G80" s="13">
        <v>2.1800000000000002</v>
      </c>
      <c r="H80" s="79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77</v>
      </c>
      <c r="C81" s="82"/>
      <c r="D81" s="81"/>
      <c r="E81" s="69"/>
      <c r="F81" s="69"/>
      <c r="G81" s="69"/>
      <c r="H81" s="83">
        <f>H80</f>
        <v>56.952935999999994</v>
      </c>
      <c r="I81" s="69">
        <f>I80+I79+I71+I59+I56+I49+I41+I40+I38+I37+I25+I18+I17+I16</f>
        <v>38970.578129216672</v>
      </c>
    </row>
    <row r="82" spans="1:9" ht="15.75" customHeight="1">
      <c r="A82" s="146" t="s">
        <v>58</v>
      </c>
      <c r="B82" s="147"/>
      <c r="C82" s="147"/>
      <c r="D82" s="147"/>
      <c r="E82" s="147"/>
      <c r="F82" s="147"/>
      <c r="G82" s="147"/>
      <c r="H82" s="147"/>
      <c r="I82" s="148"/>
    </row>
    <row r="83" spans="1:9" ht="18.75" customHeight="1">
      <c r="A83" s="29">
        <v>15</v>
      </c>
      <c r="B83" s="98" t="s">
        <v>157</v>
      </c>
      <c r="C83" s="108" t="s">
        <v>153</v>
      </c>
      <c r="D83" s="35"/>
      <c r="E83" s="17"/>
      <c r="F83" s="34">
        <v>10</v>
      </c>
      <c r="G83" s="34">
        <v>284</v>
      </c>
      <c r="H83" s="90">
        <f>G83*F83/1000</f>
        <v>2.84</v>
      </c>
      <c r="I83" s="85">
        <f>G83*4</f>
        <v>1136</v>
      </c>
    </row>
    <row r="84" spans="1:9" ht="31.5" customHeight="1">
      <c r="A84" s="29">
        <v>16</v>
      </c>
      <c r="B84" s="98" t="s">
        <v>163</v>
      </c>
      <c r="C84" s="49" t="s">
        <v>37</v>
      </c>
      <c r="D84" s="35"/>
      <c r="E84" s="17"/>
      <c r="F84" s="34">
        <v>1</v>
      </c>
      <c r="G84" s="34">
        <v>4070.89</v>
      </c>
      <c r="H84" s="90">
        <f>G84*F84/1000</f>
        <v>4.0708899999999995</v>
      </c>
      <c r="I84" s="85">
        <f>G84*0.01</f>
        <v>40.7089</v>
      </c>
    </row>
    <row r="85" spans="1:9" ht="16.5" customHeight="1">
      <c r="A85" s="29">
        <v>17</v>
      </c>
      <c r="B85" s="98" t="s">
        <v>206</v>
      </c>
      <c r="C85" s="49" t="s">
        <v>207</v>
      </c>
      <c r="D85" s="35" t="s">
        <v>210</v>
      </c>
      <c r="E85" s="17"/>
      <c r="F85" s="34"/>
      <c r="G85" s="34">
        <v>222.63</v>
      </c>
      <c r="H85" s="90"/>
      <c r="I85" s="85">
        <f>G85*1</f>
        <v>222.63</v>
      </c>
    </row>
    <row r="86" spans="1:9" ht="34.5" customHeight="1">
      <c r="A86" s="29">
        <v>18</v>
      </c>
      <c r="B86" s="106" t="s">
        <v>208</v>
      </c>
      <c r="C86" s="107" t="s">
        <v>209</v>
      </c>
      <c r="D86" s="35" t="s">
        <v>211</v>
      </c>
      <c r="E86" s="17"/>
      <c r="F86" s="34"/>
      <c r="G86" s="34">
        <v>458.9</v>
      </c>
      <c r="H86" s="90"/>
      <c r="I86" s="85">
        <f>G86*1</f>
        <v>458.9</v>
      </c>
    </row>
    <row r="87" spans="1:9" ht="31.5" customHeight="1">
      <c r="A87" s="29">
        <v>19</v>
      </c>
      <c r="B87" s="98" t="s">
        <v>161</v>
      </c>
      <c r="C87" s="49" t="s">
        <v>29</v>
      </c>
      <c r="D87" s="35"/>
      <c r="E87" s="17"/>
      <c r="F87" s="34"/>
      <c r="G87" s="34">
        <v>20547.34</v>
      </c>
      <c r="H87" s="90"/>
      <c r="I87" s="85">
        <f>G87*0.599*2/1000</f>
        <v>24.615713319999998</v>
      </c>
    </row>
    <row r="88" spans="1:9" ht="15.75" customHeight="1">
      <c r="A88" s="29"/>
      <c r="B88" s="41" t="s">
        <v>50</v>
      </c>
      <c r="C88" s="37"/>
      <c r="D88" s="45"/>
      <c r="E88" s="37">
        <v>1</v>
      </c>
      <c r="F88" s="37"/>
      <c r="G88" s="37"/>
      <c r="H88" s="37"/>
      <c r="I88" s="32">
        <f>SUM(I83:I87)</f>
        <v>1882.8546133200002</v>
      </c>
    </row>
    <row r="89" spans="1:9" ht="15.75" customHeight="1">
      <c r="A89" s="29"/>
      <c r="B89" s="43" t="s">
        <v>76</v>
      </c>
      <c r="C89" s="15"/>
      <c r="D89" s="15"/>
      <c r="E89" s="38"/>
      <c r="F89" s="38"/>
      <c r="G89" s="39"/>
      <c r="H89" s="39"/>
      <c r="I89" s="17">
        <v>0</v>
      </c>
    </row>
    <row r="90" spans="1:9" ht="15.75" customHeight="1">
      <c r="A90" s="46"/>
      <c r="B90" s="42" t="s">
        <v>151</v>
      </c>
      <c r="C90" s="33"/>
      <c r="D90" s="33"/>
      <c r="E90" s="33"/>
      <c r="F90" s="33"/>
      <c r="G90" s="33"/>
      <c r="H90" s="33"/>
      <c r="I90" s="40">
        <f>I81+I88</f>
        <v>40853.432742536672</v>
      </c>
    </row>
    <row r="91" spans="1:9" ht="15.75">
      <c r="A91" s="145" t="s">
        <v>213</v>
      </c>
      <c r="B91" s="145"/>
      <c r="C91" s="145"/>
      <c r="D91" s="145"/>
      <c r="E91" s="145"/>
      <c r="F91" s="145"/>
      <c r="G91" s="145"/>
      <c r="H91" s="145"/>
      <c r="I91" s="145"/>
    </row>
    <row r="92" spans="1:9" ht="15.75">
      <c r="A92" s="56"/>
      <c r="B92" s="140" t="s">
        <v>214</v>
      </c>
      <c r="C92" s="140"/>
      <c r="D92" s="140"/>
      <c r="E92" s="140"/>
      <c r="F92" s="140"/>
      <c r="G92" s="140"/>
      <c r="H92" s="61"/>
      <c r="I92" s="3"/>
    </row>
    <row r="93" spans="1:9">
      <c r="A93" s="53"/>
      <c r="B93" s="136" t="s">
        <v>6</v>
      </c>
      <c r="C93" s="136"/>
      <c r="D93" s="136"/>
      <c r="E93" s="136"/>
      <c r="F93" s="136"/>
      <c r="G93" s="136"/>
      <c r="H93" s="24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41" t="s">
        <v>7</v>
      </c>
      <c r="B95" s="141"/>
      <c r="C95" s="141"/>
      <c r="D95" s="141"/>
      <c r="E95" s="141"/>
      <c r="F95" s="141"/>
      <c r="G95" s="141"/>
      <c r="H95" s="141"/>
      <c r="I95" s="141"/>
    </row>
    <row r="96" spans="1:9" ht="15.75">
      <c r="A96" s="141" t="s">
        <v>8</v>
      </c>
      <c r="B96" s="141"/>
      <c r="C96" s="141"/>
      <c r="D96" s="141"/>
      <c r="E96" s="141"/>
      <c r="F96" s="141"/>
      <c r="G96" s="141"/>
      <c r="H96" s="141"/>
      <c r="I96" s="141"/>
    </row>
    <row r="97" spans="1:9" ht="15.75">
      <c r="A97" s="142" t="s">
        <v>59</v>
      </c>
      <c r="B97" s="142"/>
      <c r="C97" s="142"/>
      <c r="D97" s="142"/>
      <c r="E97" s="142"/>
      <c r="F97" s="142"/>
      <c r="G97" s="142"/>
      <c r="H97" s="142"/>
      <c r="I97" s="142"/>
    </row>
    <row r="98" spans="1:9" ht="15.75">
      <c r="A98" s="11"/>
    </row>
    <row r="99" spans="1:9" ht="15.75">
      <c r="A99" s="143" t="s">
        <v>9</v>
      </c>
      <c r="B99" s="143"/>
      <c r="C99" s="143"/>
      <c r="D99" s="143"/>
      <c r="E99" s="143"/>
      <c r="F99" s="143"/>
      <c r="G99" s="143"/>
      <c r="H99" s="143"/>
      <c r="I99" s="143"/>
    </row>
    <row r="100" spans="1:9" ht="15.75">
      <c r="A100" s="4"/>
    </row>
    <row r="101" spans="1:9" ht="15.75">
      <c r="B101" s="51" t="s">
        <v>10</v>
      </c>
      <c r="C101" s="135" t="s">
        <v>84</v>
      </c>
      <c r="D101" s="135"/>
      <c r="E101" s="135"/>
      <c r="F101" s="59"/>
      <c r="I101" s="52"/>
    </row>
    <row r="102" spans="1:9">
      <c r="A102" s="53"/>
      <c r="C102" s="136" t="s">
        <v>11</v>
      </c>
      <c r="D102" s="136"/>
      <c r="E102" s="136"/>
      <c r="F102" s="24"/>
      <c r="I102" s="50" t="s">
        <v>12</v>
      </c>
    </row>
    <row r="103" spans="1:9" ht="15.75">
      <c r="A103" s="25"/>
      <c r="C103" s="12"/>
      <c r="D103" s="12"/>
      <c r="G103" s="12"/>
      <c r="H103" s="12"/>
    </row>
    <row r="104" spans="1:9" ht="15.75">
      <c r="B104" s="51" t="s">
        <v>13</v>
      </c>
      <c r="C104" s="137"/>
      <c r="D104" s="137"/>
      <c r="E104" s="137"/>
      <c r="F104" s="60"/>
      <c r="I104" s="52"/>
    </row>
    <row r="105" spans="1:9">
      <c r="A105" s="53"/>
      <c r="C105" s="138" t="s">
        <v>11</v>
      </c>
      <c r="D105" s="138"/>
      <c r="E105" s="138"/>
      <c r="F105" s="53"/>
      <c r="I105" s="50" t="s">
        <v>12</v>
      </c>
    </row>
    <row r="106" spans="1:9" ht="15.75">
      <c r="A106" s="4" t="s">
        <v>14</v>
      </c>
    </row>
    <row r="107" spans="1:9">
      <c r="A107" s="139" t="s">
        <v>15</v>
      </c>
      <c r="B107" s="139"/>
      <c r="C107" s="139"/>
      <c r="D107" s="139"/>
      <c r="E107" s="139"/>
      <c r="F107" s="139"/>
      <c r="G107" s="139"/>
      <c r="H107" s="139"/>
      <c r="I107" s="139"/>
    </row>
    <row r="108" spans="1:9" ht="45" customHeight="1">
      <c r="A108" s="131" t="s">
        <v>16</v>
      </c>
      <c r="B108" s="131"/>
      <c r="C108" s="131"/>
      <c r="D108" s="131"/>
      <c r="E108" s="131"/>
      <c r="F108" s="131"/>
      <c r="G108" s="131"/>
      <c r="H108" s="131"/>
      <c r="I108" s="131"/>
    </row>
    <row r="109" spans="1:9" ht="30" customHeight="1">
      <c r="A109" s="131" t="s">
        <v>17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30" customHeight="1">
      <c r="A110" s="131" t="s">
        <v>21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ht="15" customHeight="1">
      <c r="A111" s="131" t="s">
        <v>20</v>
      </c>
      <c r="B111" s="131"/>
      <c r="C111" s="131"/>
      <c r="D111" s="131"/>
      <c r="E111" s="131"/>
      <c r="F111" s="131"/>
      <c r="G111" s="131"/>
      <c r="H111" s="131"/>
      <c r="I111" s="131"/>
    </row>
  </sheetData>
  <autoFilter ref="I12:I58"/>
  <mergeCells count="29">
    <mergeCell ref="R63:U63"/>
    <mergeCell ref="A78:I78"/>
    <mergeCell ref="A3:I3"/>
    <mergeCell ref="A4:I4"/>
    <mergeCell ref="A5:I5"/>
    <mergeCell ref="A8:I8"/>
    <mergeCell ref="A10:I10"/>
    <mergeCell ref="A14:I14"/>
    <mergeCell ref="A97:I97"/>
    <mergeCell ref="A15:I15"/>
    <mergeCell ref="A27:I27"/>
    <mergeCell ref="A44:I44"/>
    <mergeCell ref="A54:I54"/>
    <mergeCell ref="A91:I91"/>
    <mergeCell ref="B92:G92"/>
    <mergeCell ref="B93:G93"/>
    <mergeCell ref="A95:I95"/>
    <mergeCell ref="A96:I96"/>
    <mergeCell ref="A82:I82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view="pageBreakPreview" topLeftCell="A82" zoomScale="60" workbookViewId="0">
      <selection activeCell="J94" sqref="J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141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215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43921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hidden="1" customHeight="1">
      <c r="A26" s="29">
        <v>5</v>
      </c>
      <c r="B26" s="71" t="s">
        <v>23</v>
      </c>
      <c r="C26" s="64" t="s">
        <v>24</v>
      </c>
      <c r="D26" s="63"/>
      <c r="E26" s="65">
        <v>2177.1</v>
      </c>
      <c r="F26" s="66">
        <f>SUM(E26*12)</f>
        <v>26125.199999999997</v>
      </c>
      <c r="G26" s="66">
        <v>5.15</v>
      </c>
      <c r="H26" s="67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80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86" t="s">
        <v>28</v>
      </c>
      <c r="C28" s="64"/>
      <c r="D28" s="63"/>
      <c r="E28" s="65"/>
      <c r="F28" s="66"/>
      <c r="G28" s="66"/>
      <c r="H28" s="67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3" t="s">
        <v>97</v>
      </c>
      <c r="C29" s="64" t="s">
        <v>127</v>
      </c>
      <c r="D29" s="63" t="s">
        <v>128</v>
      </c>
      <c r="E29" s="66">
        <v>2497.6999999999998</v>
      </c>
      <c r="F29" s="66">
        <f>SUM(E29*52/1000)</f>
        <v>129.88039999999998</v>
      </c>
      <c r="G29" s="66">
        <v>177.3</v>
      </c>
      <c r="H29" s="67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3" t="s">
        <v>138</v>
      </c>
      <c r="C30" s="64" t="s">
        <v>98</v>
      </c>
      <c r="D30" s="63" t="s">
        <v>129</v>
      </c>
      <c r="E30" s="66">
        <v>266.37</v>
      </c>
      <c r="F30" s="66">
        <f>SUM(E30*78/1000)</f>
        <v>20.776859999999999</v>
      </c>
      <c r="G30" s="66">
        <v>297.17</v>
      </c>
      <c r="H30" s="67">
        <f t="shared" si="1"/>
        <v>6.1742594862000004</v>
      </c>
      <c r="I30" s="13">
        <f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27</v>
      </c>
      <c r="C31" s="64" t="s">
        <v>98</v>
      </c>
      <c r="D31" s="63" t="s">
        <v>52</v>
      </c>
      <c r="E31" s="66">
        <v>2497.6999999999998</v>
      </c>
      <c r="F31" s="66">
        <f>SUM(E31/1000)</f>
        <v>2.4977</v>
      </c>
      <c r="G31" s="66">
        <v>3435.36</v>
      </c>
      <c r="H31" s="67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3" t="s">
        <v>101</v>
      </c>
      <c r="C32" s="64" t="s">
        <v>39</v>
      </c>
      <c r="D32" s="63" t="s">
        <v>61</v>
      </c>
      <c r="E32" s="66">
        <v>2</v>
      </c>
      <c r="F32" s="66">
        <v>3.1</v>
      </c>
      <c r="G32" s="66">
        <v>1480.94</v>
      </c>
      <c r="H32" s="67">
        <f>G32*F32/1000</f>
        <v>4.5909140000000006</v>
      </c>
      <c r="I32" s="13">
        <f>F32/6*G32</f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3" t="s">
        <v>102</v>
      </c>
      <c r="C33" s="64" t="s">
        <v>31</v>
      </c>
      <c r="D33" s="63" t="s">
        <v>61</v>
      </c>
      <c r="E33" s="70">
        <v>0.33333333333333331</v>
      </c>
      <c r="F33" s="66">
        <f>155/3</f>
        <v>51.666666666666664</v>
      </c>
      <c r="G33" s="66">
        <v>64.48</v>
      </c>
      <c r="H33" s="67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3" t="s">
        <v>62</v>
      </c>
      <c r="C34" s="64" t="s">
        <v>33</v>
      </c>
      <c r="D34" s="63" t="s">
        <v>130</v>
      </c>
      <c r="E34" s="65"/>
      <c r="F34" s="66">
        <v>2</v>
      </c>
      <c r="G34" s="66">
        <v>217.61</v>
      </c>
      <c r="H34" s="67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3" t="s">
        <v>63</v>
      </c>
      <c r="C35" s="64" t="s">
        <v>32</v>
      </c>
      <c r="D35" s="63" t="s">
        <v>130</v>
      </c>
      <c r="E35" s="65"/>
      <c r="F35" s="66">
        <v>1</v>
      </c>
      <c r="G35" s="66">
        <v>1292.47</v>
      </c>
      <c r="H35" s="67">
        <f t="shared" si="1"/>
        <v>1.29247</v>
      </c>
      <c r="I35" s="13">
        <v>0</v>
      </c>
      <c r="J35" s="23"/>
    </row>
    <row r="36" spans="1:14" ht="15.75" customHeight="1">
      <c r="A36" s="72"/>
      <c r="B36" s="86" t="s">
        <v>5</v>
      </c>
      <c r="C36" s="64"/>
      <c r="D36" s="63"/>
      <c r="E36" s="65"/>
      <c r="F36" s="66"/>
      <c r="G36" s="66"/>
      <c r="H36" s="67" t="s">
        <v>131</v>
      </c>
      <c r="I36" s="13"/>
      <c r="J36" s="23"/>
    </row>
    <row r="37" spans="1:14" ht="15.75" customHeight="1">
      <c r="A37" s="72">
        <v>5</v>
      </c>
      <c r="B37" s="63" t="s">
        <v>26</v>
      </c>
      <c r="C37" s="64" t="s">
        <v>32</v>
      </c>
      <c r="D37" s="63" t="s">
        <v>216</v>
      </c>
      <c r="E37" s="65"/>
      <c r="F37" s="66">
        <v>6</v>
      </c>
      <c r="G37" s="66">
        <v>1737.08</v>
      </c>
      <c r="H37" s="67">
        <f t="shared" ref="H37:H43" si="2">SUM(F37*G37/1000)</f>
        <v>10.42248</v>
      </c>
      <c r="I37" s="13">
        <f>G37*0.3</f>
        <v>521.12399999999991</v>
      </c>
      <c r="J37" s="23"/>
    </row>
    <row r="38" spans="1:14" ht="15.75" customHeight="1">
      <c r="A38" s="72">
        <v>6</v>
      </c>
      <c r="B38" s="63" t="s">
        <v>103</v>
      </c>
      <c r="C38" s="64" t="s">
        <v>29</v>
      </c>
      <c r="D38" s="63" t="s">
        <v>173</v>
      </c>
      <c r="E38" s="65">
        <v>48.36</v>
      </c>
      <c r="F38" s="66">
        <f>E38*30/1000</f>
        <v>1.4507999999999999</v>
      </c>
      <c r="G38" s="66">
        <v>2391.67</v>
      </c>
      <c r="H38" s="67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2">
        <v>8</v>
      </c>
      <c r="B39" s="63" t="s">
        <v>104</v>
      </c>
      <c r="C39" s="64" t="s">
        <v>105</v>
      </c>
      <c r="D39" s="63" t="s">
        <v>64</v>
      </c>
      <c r="E39" s="65"/>
      <c r="F39" s="66">
        <v>65</v>
      </c>
      <c r="G39" s="66">
        <v>226.85</v>
      </c>
      <c r="H39" s="67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2">
        <v>7</v>
      </c>
      <c r="B40" s="63" t="s">
        <v>65</v>
      </c>
      <c r="C40" s="64" t="s">
        <v>29</v>
      </c>
      <c r="D40" s="63" t="s">
        <v>174</v>
      </c>
      <c r="E40" s="66">
        <v>53.69</v>
      </c>
      <c r="F40" s="66">
        <f>SUM(E40*155/1000)</f>
        <v>8.3219499999999993</v>
      </c>
      <c r="G40" s="66">
        <v>398.95</v>
      </c>
      <c r="H40" s="67">
        <f t="shared" si="2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2">
        <v>8</v>
      </c>
      <c r="B41" s="63" t="s">
        <v>79</v>
      </c>
      <c r="C41" s="64" t="s">
        <v>98</v>
      </c>
      <c r="D41" s="63" t="s">
        <v>175</v>
      </c>
      <c r="E41" s="66">
        <v>23.93</v>
      </c>
      <c r="F41" s="66">
        <f>SUM(E41*24/1000)</f>
        <v>0.57431999999999994</v>
      </c>
      <c r="G41" s="66">
        <v>6600.74</v>
      </c>
      <c r="H41" s="67">
        <f t="shared" si="2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9</v>
      </c>
      <c r="B42" s="63" t="s">
        <v>108</v>
      </c>
      <c r="C42" s="64" t="s">
        <v>98</v>
      </c>
      <c r="D42" s="63" t="s">
        <v>217</v>
      </c>
      <c r="E42" s="66">
        <v>48.36</v>
      </c>
      <c r="F42" s="66">
        <f>SUM(E42*45/1000)</f>
        <v>2.1761999999999997</v>
      </c>
      <c r="G42" s="66">
        <v>487.61</v>
      </c>
      <c r="H42" s="67">
        <f t="shared" si="2"/>
        <v>1.0611368819999998</v>
      </c>
      <c r="I42" s="13">
        <f>G42*F42/45</f>
        <v>23.580819599999995</v>
      </c>
      <c r="J42" s="23"/>
      <c r="L42" s="19"/>
      <c r="M42" s="20"/>
      <c r="N42" s="21"/>
    </row>
    <row r="43" spans="1:14" ht="15.75" customHeight="1">
      <c r="A43" s="29">
        <v>10</v>
      </c>
      <c r="B43" s="63" t="s">
        <v>67</v>
      </c>
      <c r="C43" s="64" t="s">
        <v>33</v>
      </c>
      <c r="D43" s="63"/>
      <c r="E43" s="65"/>
      <c r="F43" s="66">
        <v>0.9</v>
      </c>
      <c r="G43" s="66">
        <v>907.66</v>
      </c>
      <c r="H43" s="67">
        <f t="shared" si="2"/>
        <v>0.81689400000000001</v>
      </c>
      <c r="I43" s="13">
        <f>G43*F43/45</f>
        <v>18.153200000000002</v>
      </c>
      <c r="J43" s="23"/>
      <c r="L43" s="19"/>
      <c r="M43" s="20"/>
      <c r="N43" s="21"/>
    </row>
    <row r="44" spans="1:14" ht="15.75" hidden="1" customHeight="1">
      <c r="A44" s="132" t="s">
        <v>135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3" t="s">
        <v>109</v>
      </c>
      <c r="C45" s="64" t="s">
        <v>98</v>
      </c>
      <c r="D45" s="63" t="s">
        <v>41</v>
      </c>
      <c r="E45" s="65">
        <v>614.29999999999995</v>
      </c>
      <c r="F45" s="66">
        <f>SUM(E45*2/1000)</f>
        <v>1.2285999999999999</v>
      </c>
      <c r="G45" s="13">
        <v>1094.96</v>
      </c>
      <c r="H45" s="67">
        <f t="shared" ref="H45:H53" si="3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34</v>
      </c>
      <c r="C46" s="64" t="s">
        <v>98</v>
      </c>
      <c r="D46" s="63" t="s">
        <v>41</v>
      </c>
      <c r="E46" s="65">
        <v>61</v>
      </c>
      <c r="F46" s="66">
        <f>E46*2/1000</f>
        <v>0.122</v>
      </c>
      <c r="G46" s="13">
        <v>3832.4</v>
      </c>
      <c r="H46" s="67">
        <f t="shared" si="3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35</v>
      </c>
      <c r="C47" s="64" t="s">
        <v>98</v>
      </c>
      <c r="D47" s="63" t="s">
        <v>41</v>
      </c>
      <c r="E47" s="65">
        <v>3135.64</v>
      </c>
      <c r="F47" s="66">
        <f>SUM(E47*2/1000)</f>
        <v>6.27128</v>
      </c>
      <c r="G47" s="13">
        <v>1564.24</v>
      </c>
      <c r="H47" s="67">
        <f t="shared" si="3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3" t="s">
        <v>36</v>
      </c>
      <c r="C48" s="64" t="s">
        <v>98</v>
      </c>
      <c r="D48" s="63" t="s">
        <v>41</v>
      </c>
      <c r="E48" s="65">
        <v>1678.47</v>
      </c>
      <c r="F48" s="66">
        <f>SUM(E48*2/1000)</f>
        <v>3.3569400000000003</v>
      </c>
      <c r="G48" s="13">
        <v>1078.3599999999999</v>
      </c>
      <c r="H48" s="67">
        <f t="shared" si="3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3" t="s">
        <v>54</v>
      </c>
      <c r="C49" s="64" t="s">
        <v>98</v>
      </c>
      <c r="D49" s="63" t="s">
        <v>139</v>
      </c>
      <c r="E49" s="65">
        <v>614.29999999999995</v>
      </c>
      <c r="F49" s="66">
        <f>SUM(E49*5/1000)</f>
        <v>3.0714999999999999</v>
      </c>
      <c r="G49" s="13">
        <v>1838.49</v>
      </c>
      <c r="H49" s="67">
        <f t="shared" si="3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3" t="s">
        <v>110</v>
      </c>
      <c r="C50" s="64" t="s">
        <v>98</v>
      </c>
      <c r="D50" s="63" t="s">
        <v>41</v>
      </c>
      <c r="E50" s="65">
        <v>614.29999999999995</v>
      </c>
      <c r="F50" s="66">
        <f>SUM(E50*2/1000)</f>
        <v>1.2285999999999999</v>
      </c>
      <c r="G50" s="13">
        <v>1380.31</v>
      </c>
      <c r="H50" s="67">
        <f t="shared" si="3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3" t="s">
        <v>111</v>
      </c>
      <c r="C51" s="64" t="s">
        <v>37</v>
      </c>
      <c r="D51" s="63" t="s">
        <v>41</v>
      </c>
      <c r="E51" s="65">
        <v>20</v>
      </c>
      <c r="F51" s="66">
        <f>SUM(E51*2/100)</f>
        <v>0.4</v>
      </c>
      <c r="G51" s="13">
        <v>3519.56</v>
      </c>
      <c r="H51" s="67">
        <f t="shared" si="3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12</v>
      </c>
      <c r="B52" s="63" t="s">
        <v>38</v>
      </c>
      <c r="C52" s="64" t="s">
        <v>39</v>
      </c>
      <c r="D52" s="63" t="s">
        <v>41</v>
      </c>
      <c r="E52" s="65">
        <v>1</v>
      </c>
      <c r="F52" s="66">
        <v>0.02</v>
      </c>
      <c r="G52" s="13">
        <v>6428.82</v>
      </c>
      <c r="H52" s="67">
        <f t="shared" si="3"/>
        <v>0.12857640000000001</v>
      </c>
      <c r="I52" s="13">
        <f>F52/2*G52</f>
        <v>64.288200000000003</v>
      </c>
      <c r="J52" s="23"/>
      <c r="L52" s="19"/>
      <c r="M52" s="20"/>
      <c r="N52" s="21"/>
    </row>
    <row r="53" spans="1:22" ht="15.75" hidden="1" customHeight="1">
      <c r="A53" s="29">
        <v>13</v>
      </c>
      <c r="B53" s="63" t="s">
        <v>40</v>
      </c>
      <c r="C53" s="64" t="s">
        <v>112</v>
      </c>
      <c r="D53" s="63" t="s">
        <v>68</v>
      </c>
      <c r="E53" s="65">
        <v>170</v>
      </c>
      <c r="F53" s="66">
        <f>SUM(E53)*3</f>
        <v>510</v>
      </c>
      <c r="G53" s="13">
        <v>74.709999999999994</v>
      </c>
      <c r="H53" s="67">
        <f t="shared" si="3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145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customHeight="1">
      <c r="A55" s="29"/>
      <c r="B55" s="86" t="s">
        <v>42</v>
      </c>
      <c r="C55" s="64"/>
      <c r="D55" s="63"/>
      <c r="E55" s="65"/>
      <c r="F55" s="66"/>
      <c r="G55" s="66"/>
      <c r="H55" s="67"/>
      <c r="I55" s="13"/>
      <c r="J55" s="23"/>
      <c r="L55" s="19"/>
      <c r="M55" s="20"/>
      <c r="N55" s="21"/>
    </row>
    <row r="56" spans="1:22" ht="31.5" customHeight="1">
      <c r="A56" s="29">
        <v>11</v>
      </c>
      <c r="B56" s="63" t="s">
        <v>113</v>
      </c>
      <c r="C56" s="64" t="s">
        <v>88</v>
      </c>
      <c r="D56" s="63"/>
      <c r="E56" s="65">
        <v>63.07</v>
      </c>
      <c r="F56" s="66">
        <f>SUM(E56*6/100)</f>
        <v>3.7842000000000002</v>
      </c>
      <c r="G56" s="13">
        <v>1759.9</v>
      </c>
      <c r="H56" s="67">
        <f>SUM(F56*G56/1000)</f>
        <v>6.6598135800000007</v>
      </c>
      <c r="I56" s="13">
        <f>G56*2.2</f>
        <v>3871.7800000000007</v>
      </c>
      <c r="J56" s="23"/>
      <c r="L56" s="19"/>
    </row>
    <row r="57" spans="1:22" ht="15.75" customHeight="1">
      <c r="A57" s="29"/>
      <c r="B57" s="87" t="s">
        <v>43</v>
      </c>
      <c r="C57" s="73"/>
      <c r="D57" s="74"/>
      <c r="E57" s="75"/>
      <c r="F57" s="76"/>
      <c r="G57" s="13"/>
      <c r="H57" s="77"/>
      <c r="I57" s="13"/>
    </row>
    <row r="58" spans="1:22" ht="15.75" hidden="1" customHeight="1">
      <c r="A58" s="29"/>
      <c r="B58" s="74" t="s">
        <v>133</v>
      </c>
      <c r="C58" s="73" t="s">
        <v>51</v>
      </c>
      <c r="D58" s="74" t="s">
        <v>52</v>
      </c>
      <c r="E58" s="75">
        <v>614.29999999999995</v>
      </c>
      <c r="F58" s="76">
        <v>6.1429999999999998</v>
      </c>
      <c r="G58" s="13">
        <v>902.66</v>
      </c>
      <c r="H58" s="77">
        <f>F58*G58/1000</f>
        <v>5.5450403799999997</v>
      </c>
      <c r="I58" s="13">
        <v>0</v>
      </c>
    </row>
    <row r="59" spans="1:22" ht="15.75" customHeight="1">
      <c r="A59" s="29">
        <v>12</v>
      </c>
      <c r="B59" s="74" t="s">
        <v>85</v>
      </c>
      <c r="C59" s="73" t="s">
        <v>25</v>
      </c>
      <c r="D59" s="100" t="s">
        <v>178</v>
      </c>
      <c r="E59" s="102">
        <v>100</v>
      </c>
      <c r="F59" s="103">
        <f>E59*12</f>
        <v>1200</v>
      </c>
      <c r="G59" s="104">
        <v>1.4</v>
      </c>
      <c r="H59" s="76">
        <f>F59*G59/1000</f>
        <v>1.68</v>
      </c>
      <c r="I59" s="13">
        <f>F59/12*G59</f>
        <v>140</v>
      </c>
    </row>
    <row r="60" spans="1:22" ht="18.75" hidden="1" customHeight="1">
      <c r="A60" s="29"/>
      <c r="B60" s="87" t="s">
        <v>44</v>
      </c>
      <c r="C60" s="73"/>
      <c r="D60" s="74"/>
      <c r="E60" s="75"/>
      <c r="F60" s="78"/>
      <c r="G60" s="78"/>
      <c r="H60" s="76" t="s">
        <v>131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20.25" hidden="1" customHeight="1">
      <c r="A61" s="29">
        <v>12</v>
      </c>
      <c r="B61" s="14" t="s">
        <v>45</v>
      </c>
      <c r="C61" s="16" t="s">
        <v>112</v>
      </c>
      <c r="D61" s="14" t="s">
        <v>177</v>
      </c>
      <c r="E61" s="18">
        <v>25</v>
      </c>
      <c r="F61" s="66">
        <v>25</v>
      </c>
      <c r="G61" s="13">
        <v>252.96</v>
      </c>
      <c r="H61" s="79">
        <f t="shared" ref="H61:H75" si="4">SUM(F61*G61/1000)</f>
        <v>6.3239999999999998</v>
      </c>
      <c r="I61" s="13">
        <f>G61*1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9.5" hidden="1" customHeight="1">
      <c r="A62" s="29"/>
      <c r="B62" s="14" t="s">
        <v>46</v>
      </c>
      <c r="C62" s="16" t="s">
        <v>112</v>
      </c>
      <c r="D62" s="14" t="s">
        <v>64</v>
      </c>
      <c r="E62" s="18">
        <v>2</v>
      </c>
      <c r="F62" s="66">
        <v>2</v>
      </c>
      <c r="G62" s="13">
        <v>86.74</v>
      </c>
      <c r="H62" s="79">
        <f t="shared" si="4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27.75" hidden="1" customHeight="1">
      <c r="A63" s="29"/>
      <c r="B63" s="14" t="s">
        <v>47</v>
      </c>
      <c r="C63" s="16" t="s">
        <v>115</v>
      </c>
      <c r="D63" s="14" t="s">
        <v>52</v>
      </c>
      <c r="E63" s="65">
        <v>8692</v>
      </c>
      <c r="F63" s="13">
        <f>SUM(E63/100)</f>
        <v>86.92</v>
      </c>
      <c r="G63" s="13">
        <v>241.31</v>
      </c>
      <c r="H63" s="79">
        <f t="shared" si="4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8"/>
      <c r="S63" s="138"/>
      <c r="T63" s="138"/>
      <c r="U63" s="138"/>
    </row>
    <row r="64" spans="1:22" ht="23.25" hidden="1" customHeight="1">
      <c r="A64" s="29"/>
      <c r="B64" s="14" t="s">
        <v>48</v>
      </c>
      <c r="C64" s="16" t="s">
        <v>116</v>
      </c>
      <c r="D64" s="14"/>
      <c r="E64" s="65">
        <v>8692</v>
      </c>
      <c r="F64" s="13">
        <f>SUM(E64/1000)</f>
        <v>8.6920000000000002</v>
      </c>
      <c r="G64" s="13">
        <v>187.91</v>
      </c>
      <c r="H64" s="79">
        <f t="shared" si="4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24" hidden="1" customHeight="1">
      <c r="A65" s="44"/>
      <c r="B65" s="14" t="s">
        <v>49</v>
      </c>
      <c r="C65" s="16" t="s">
        <v>74</v>
      </c>
      <c r="D65" s="14" t="s">
        <v>52</v>
      </c>
      <c r="E65" s="65">
        <v>855</v>
      </c>
      <c r="F65" s="13">
        <f>SUM(E65/100)</f>
        <v>8.5500000000000007</v>
      </c>
      <c r="G65" s="13">
        <v>2359.7199999999998</v>
      </c>
      <c r="H65" s="79">
        <f t="shared" si="4"/>
        <v>20.175605999999998</v>
      </c>
      <c r="I65" s="13">
        <v>0</v>
      </c>
    </row>
    <row r="66" spans="1:9" ht="22.5" hidden="1" customHeight="1">
      <c r="A66" s="29"/>
      <c r="B66" s="80" t="s">
        <v>117</v>
      </c>
      <c r="C66" s="16" t="s">
        <v>33</v>
      </c>
      <c r="D66" s="14"/>
      <c r="E66" s="65">
        <v>8.6</v>
      </c>
      <c r="F66" s="13">
        <f>SUM(E66)</f>
        <v>8.6</v>
      </c>
      <c r="G66" s="13">
        <v>42.67</v>
      </c>
      <c r="H66" s="79">
        <f t="shared" si="4"/>
        <v>0.36696200000000001</v>
      </c>
      <c r="I66" s="13">
        <v>0</v>
      </c>
    </row>
    <row r="67" spans="1:9" ht="24" hidden="1" customHeight="1">
      <c r="A67" s="29"/>
      <c r="B67" s="80" t="s">
        <v>118</v>
      </c>
      <c r="C67" s="16" t="s">
        <v>33</v>
      </c>
      <c r="D67" s="14"/>
      <c r="E67" s="65">
        <v>8.6</v>
      </c>
      <c r="F67" s="13">
        <f>SUM(E67)</f>
        <v>8.6</v>
      </c>
      <c r="G67" s="13">
        <v>39.81</v>
      </c>
      <c r="H67" s="79">
        <f t="shared" si="4"/>
        <v>0.342366</v>
      </c>
      <c r="I67" s="13">
        <v>0</v>
      </c>
    </row>
    <row r="68" spans="1:9" ht="23.25" hidden="1" customHeight="1">
      <c r="A68" s="29"/>
      <c r="B68" s="14" t="s">
        <v>55</v>
      </c>
      <c r="C68" s="16" t="s">
        <v>56</v>
      </c>
      <c r="D68" s="14" t="s">
        <v>52</v>
      </c>
      <c r="E68" s="18">
        <v>5</v>
      </c>
      <c r="F68" s="66">
        <v>5</v>
      </c>
      <c r="G68" s="13">
        <v>56.74</v>
      </c>
      <c r="H68" s="79">
        <f t="shared" si="4"/>
        <v>0.28370000000000001</v>
      </c>
      <c r="I68" s="13">
        <v>0</v>
      </c>
    </row>
    <row r="69" spans="1:9" ht="15.75" customHeight="1">
      <c r="A69" s="29"/>
      <c r="B69" s="88" t="s">
        <v>69</v>
      </c>
      <c r="C69" s="16"/>
      <c r="D69" s="14"/>
      <c r="E69" s="18"/>
      <c r="F69" s="13"/>
      <c r="G69" s="13"/>
      <c r="H69" s="79" t="s">
        <v>131</v>
      </c>
      <c r="I69" s="13"/>
    </row>
    <row r="70" spans="1:9" ht="15.75" hidden="1" customHeight="1">
      <c r="A70" s="29"/>
      <c r="B70" s="14" t="s">
        <v>124</v>
      </c>
      <c r="C70" s="16" t="s">
        <v>125</v>
      </c>
      <c r="D70" s="14"/>
      <c r="E70" s="18">
        <v>4</v>
      </c>
      <c r="F70" s="13">
        <f>E70</f>
        <v>4</v>
      </c>
      <c r="G70" s="13">
        <v>113.57</v>
      </c>
      <c r="H70" s="79">
        <f t="shared" si="4"/>
        <v>0.45427999999999996</v>
      </c>
      <c r="I70" s="13">
        <v>0</v>
      </c>
    </row>
    <row r="71" spans="1:9" ht="15.75" customHeight="1">
      <c r="A71" s="29">
        <v>13</v>
      </c>
      <c r="B71" s="14" t="s">
        <v>70</v>
      </c>
      <c r="C71" s="16" t="s">
        <v>72</v>
      </c>
      <c r="D71" s="14"/>
      <c r="E71" s="18">
        <v>20</v>
      </c>
      <c r="F71" s="13">
        <v>2</v>
      </c>
      <c r="G71" s="13">
        <v>570.54</v>
      </c>
      <c r="H71" s="79">
        <f t="shared" si="4"/>
        <v>1.1410799999999999</v>
      </c>
      <c r="I71" s="13">
        <f>G71*1.4</f>
        <v>798.75599999999986</v>
      </c>
    </row>
    <row r="72" spans="1:9" ht="15.75" hidden="1" customHeight="1">
      <c r="A72" s="29"/>
      <c r="B72" s="14" t="s">
        <v>71</v>
      </c>
      <c r="C72" s="16" t="s">
        <v>31</v>
      </c>
      <c r="D72" s="14"/>
      <c r="E72" s="18">
        <v>2</v>
      </c>
      <c r="F72" s="57">
        <v>2</v>
      </c>
      <c r="G72" s="13">
        <v>970.21</v>
      </c>
      <c r="H72" s="79">
        <f>F72*G72/1000</f>
        <v>1.94042</v>
      </c>
      <c r="I72" s="13">
        <v>0</v>
      </c>
    </row>
    <row r="73" spans="1:9" ht="22.5" hidden="1" customHeight="1">
      <c r="A73" s="29">
        <v>14</v>
      </c>
      <c r="B73" s="14" t="s">
        <v>82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79">
        <f>G73*F73/1000</f>
        <v>0.81558000000000008</v>
      </c>
      <c r="I73" s="13">
        <f>G73*1</f>
        <v>407.79</v>
      </c>
    </row>
    <row r="74" spans="1:9" ht="18.75" hidden="1" customHeight="1">
      <c r="A74" s="29"/>
      <c r="B74" s="82" t="s">
        <v>73</v>
      </c>
      <c r="C74" s="16"/>
      <c r="D74" s="14"/>
      <c r="E74" s="18"/>
      <c r="F74" s="13"/>
      <c r="G74" s="13" t="s">
        <v>131</v>
      </c>
      <c r="H74" s="79" t="s">
        <v>131</v>
      </c>
      <c r="I74" s="13"/>
    </row>
    <row r="75" spans="1:9" ht="17.25" hidden="1" customHeight="1">
      <c r="A75" s="29"/>
      <c r="B75" s="43" t="s">
        <v>121</v>
      </c>
      <c r="C75" s="16" t="s">
        <v>74</v>
      </c>
      <c r="D75" s="14"/>
      <c r="E75" s="18"/>
      <c r="F75" s="13">
        <v>1</v>
      </c>
      <c r="G75" s="13">
        <v>3138.63</v>
      </c>
      <c r="H75" s="79">
        <f t="shared" si="4"/>
        <v>3.13863</v>
      </c>
      <c r="I75" s="13">
        <v>0</v>
      </c>
    </row>
    <row r="76" spans="1:9" ht="15.75" customHeight="1">
      <c r="A76" s="29"/>
      <c r="B76" s="55" t="s">
        <v>119</v>
      </c>
      <c r="C76" s="82"/>
      <c r="D76" s="31"/>
      <c r="E76" s="32"/>
      <c r="F76" s="69"/>
      <c r="G76" s="69"/>
      <c r="H76" s="83">
        <f>SUM(H56:H75)</f>
        <v>71.648936879999994</v>
      </c>
      <c r="I76" s="69"/>
    </row>
    <row r="77" spans="1:9" ht="14.25" customHeight="1">
      <c r="A77" s="29">
        <v>14</v>
      </c>
      <c r="B77" s="63" t="s">
        <v>120</v>
      </c>
      <c r="C77" s="16"/>
      <c r="D77" s="14"/>
      <c r="E77" s="58"/>
      <c r="F77" s="13">
        <v>1</v>
      </c>
      <c r="G77" s="13">
        <v>2263</v>
      </c>
      <c r="H77" s="79">
        <f>G77*F77/1000</f>
        <v>2.2629999999999999</v>
      </c>
      <c r="I77" s="13">
        <f>G77*1</f>
        <v>2263</v>
      </c>
    </row>
    <row r="78" spans="1:9" ht="15.75" customHeight="1">
      <c r="A78" s="132" t="s">
        <v>146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15</v>
      </c>
      <c r="B79" s="63" t="s">
        <v>122</v>
      </c>
      <c r="C79" s="16" t="s">
        <v>53</v>
      </c>
      <c r="D79" s="84"/>
      <c r="E79" s="13">
        <v>2177.1</v>
      </c>
      <c r="F79" s="13">
        <f>SUM(E79*12)</f>
        <v>26125.199999999997</v>
      </c>
      <c r="G79" s="13">
        <v>2.7</v>
      </c>
      <c r="H79" s="79">
        <f>SUM(F79*G79/1000)</f>
        <v>70.538039999999995</v>
      </c>
      <c r="I79" s="13">
        <f>F79/12*G79</f>
        <v>5878.17</v>
      </c>
    </row>
    <row r="80" spans="1:9" ht="31.5" customHeight="1">
      <c r="A80" s="29">
        <v>16</v>
      </c>
      <c r="B80" s="14" t="s">
        <v>75</v>
      </c>
      <c r="C80" s="16"/>
      <c r="D80" s="84"/>
      <c r="E80" s="65">
        <f>E79</f>
        <v>2177.1</v>
      </c>
      <c r="F80" s="13">
        <f>E80*12</f>
        <v>26125.199999999997</v>
      </c>
      <c r="G80" s="13">
        <v>2.1800000000000002</v>
      </c>
      <c r="H80" s="79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77</v>
      </c>
      <c r="C81" s="82"/>
      <c r="D81" s="81"/>
      <c r="E81" s="69"/>
      <c r="F81" s="69"/>
      <c r="G81" s="69"/>
      <c r="H81" s="83">
        <f>H80</f>
        <v>56.952935999999994</v>
      </c>
      <c r="I81" s="69">
        <f>I80+I79+I59+I56+I43+I42+I41+I40+I38+I37+I25+I18+I17+I16+I71+I77</f>
        <v>34378.23094181667</v>
      </c>
    </row>
    <row r="82" spans="1:9" ht="15.75" customHeight="1">
      <c r="A82" s="146" t="s">
        <v>58</v>
      </c>
      <c r="B82" s="147"/>
      <c r="C82" s="147"/>
      <c r="D82" s="147"/>
      <c r="E82" s="147"/>
      <c r="F82" s="147"/>
      <c r="G82" s="147"/>
      <c r="H82" s="147"/>
      <c r="I82" s="148"/>
    </row>
    <row r="83" spans="1:9" ht="31.5" customHeight="1">
      <c r="A83" s="29">
        <v>17</v>
      </c>
      <c r="B83" s="98" t="s">
        <v>161</v>
      </c>
      <c r="C83" s="49" t="s">
        <v>29</v>
      </c>
      <c r="D83" s="14"/>
      <c r="E83" s="18"/>
      <c r="F83" s="13">
        <v>1</v>
      </c>
      <c r="G83" s="34">
        <v>20547.34</v>
      </c>
      <c r="H83" s="79">
        <f>G83*F83/1000</f>
        <v>20.547339999999998</v>
      </c>
      <c r="I83" s="13">
        <f>G83*0.599*1/1000</f>
        <v>12.307856659999999</v>
      </c>
    </row>
    <row r="84" spans="1:9" ht="18.75" customHeight="1">
      <c r="A84" s="29">
        <v>18</v>
      </c>
      <c r="B84" s="98" t="s">
        <v>157</v>
      </c>
      <c r="C84" s="108" t="s">
        <v>153</v>
      </c>
      <c r="D84" s="48"/>
      <c r="E84" s="34"/>
      <c r="F84" s="34">
        <v>13</v>
      </c>
      <c r="G84" s="34">
        <v>284</v>
      </c>
      <c r="H84" s="79"/>
      <c r="I84" s="13">
        <f>G84*6</f>
        <v>1704</v>
      </c>
    </row>
    <row r="85" spans="1:9" ht="31.5" customHeight="1">
      <c r="A85" s="29">
        <v>19</v>
      </c>
      <c r="B85" s="106" t="s">
        <v>193</v>
      </c>
      <c r="C85" s="107" t="s">
        <v>194</v>
      </c>
      <c r="D85" s="48"/>
      <c r="E85" s="34"/>
      <c r="F85" s="34">
        <v>0.4</v>
      </c>
      <c r="G85" s="34">
        <v>1873.58</v>
      </c>
      <c r="H85" s="79"/>
      <c r="I85" s="13">
        <f>G85*0.2</f>
        <v>374.71600000000001</v>
      </c>
    </row>
    <row r="86" spans="1:9" ht="17.25" customHeight="1">
      <c r="A86" s="29">
        <v>20</v>
      </c>
      <c r="B86" s="98" t="s">
        <v>195</v>
      </c>
      <c r="C86" s="49" t="s">
        <v>196</v>
      </c>
      <c r="D86" s="48"/>
      <c r="E86" s="34"/>
      <c r="F86" s="34">
        <v>2</v>
      </c>
      <c r="G86" s="34">
        <v>923.85</v>
      </c>
      <c r="H86" s="79"/>
      <c r="I86" s="13">
        <f>G86*1</f>
        <v>923.85</v>
      </c>
    </row>
    <row r="87" spans="1:9" ht="17.25" customHeight="1">
      <c r="A87" s="29">
        <v>21</v>
      </c>
      <c r="B87" s="98" t="s">
        <v>78</v>
      </c>
      <c r="C87" s="49" t="s">
        <v>112</v>
      </c>
      <c r="D87" s="48"/>
      <c r="E87" s="34"/>
      <c r="F87" s="34">
        <v>3</v>
      </c>
      <c r="G87" s="34">
        <v>215.85</v>
      </c>
      <c r="H87" s="79"/>
      <c r="I87" s="13">
        <f>G87*1</f>
        <v>215.85</v>
      </c>
    </row>
    <row r="88" spans="1:9" ht="17.25" customHeight="1">
      <c r="A88" s="29">
        <v>22</v>
      </c>
      <c r="B88" s="98" t="s">
        <v>86</v>
      </c>
      <c r="C88" s="49" t="s">
        <v>112</v>
      </c>
      <c r="D88" s="48"/>
      <c r="E88" s="34"/>
      <c r="F88" s="34">
        <v>3</v>
      </c>
      <c r="G88" s="34">
        <v>179.3</v>
      </c>
      <c r="H88" s="79"/>
      <c r="I88" s="13">
        <f>G88*1</f>
        <v>179.3</v>
      </c>
    </row>
    <row r="89" spans="1:9" ht="17.25" customHeight="1">
      <c r="A89" s="29">
        <v>23</v>
      </c>
      <c r="B89" s="98" t="s">
        <v>235</v>
      </c>
      <c r="C89" s="49" t="s">
        <v>164</v>
      </c>
      <c r="D89" s="48"/>
      <c r="E89" s="34"/>
      <c r="F89" s="34"/>
      <c r="G89" s="34">
        <v>24000</v>
      </c>
      <c r="H89" s="79"/>
      <c r="I89" s="13">
        <f>G89*1</f>
        <v>24000</v>
      </c>
    </row>
    <row r="90" spans="1:9" ht="15.75" customHeight="1">
      <c r="A90" s="29"/>
      <c r="B90" s="41" t="s">
        <v>50</v>
      </c>
      <c r="C90" s="37"/>
      <c r="D90" s="45"/>
      <c r="E90" s="37">
        <v>1</v>
      </c>
      <c r="F90" s="37"/>
      <c r="G90" s="37"/>
      <c r="H90" s="37"/>
      <c r="I90" s="32">
        <f>SUM(I83:I89)</f>
        <v>27410.023856660002</v>
      </c>
    </row>
    <row r="91" spans="1:9" ht="15.75" customHeight="1">
      <c r="A91" s="29"/>
      <c r="B91" s="43" t="s">
        <v>76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151</v>
      </c>
      <c r="C92" s="33"/>
      <c r="D92" s="33"/>
      <c r="E92" s="33"/>
      <c r="F92" s="33"/>
      <c r="G92" s="33"/>
      <c r="H92" s="33"/>
      <c r="I92" s="40">
        <f>I81+I90</f>
        <v>61788.254798476672</v>
      </c>
    </row>
    <row r="93" spans="1:9" ht="15.75">
      <c r="A93" s="145" t="s">
        <v>248</v>
      </c>
      <c r="B93" s="145"/>
      <c r="C93" s="145"/>
      <c r="D93" s="145"/>
      <c r="E93" s="145"/>
      <c r="F93" s="145"/>
      <c r="G93" s="145"/>
      <c r="H93" s="145"/>
      <c r="I93" s="145"/>
    </row>
    <row r="94" spans="1:9" ht="15.75">
      <c r="A94" s="56"/>
      <c r="B94" s="140" t="s">
        <v>249</v>
      </c>
      <c r="C94" s="140"/>
      <c r="D94" s="140"/>
      <c r="E94" s="140"/>
      <c r="F94" s="140"/>
      <c r="G94" s="140"/>
      <c r="H94" s="61"/>
      <c r="I94" s="3"/>
    </row>
    <row r="95" spans="1:9">
      <c r="A95" s="53"/>
      <c r="B95" s="136" t="s">
        <v>6</v>
      </c>
      <c r="C95" s="136"/>
      <c r="D95" s="136"/>
      <c r="E95" s="136"/>
      <c r="F95" s="136"/>
      <c r="G95" s="136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41" t="s">
        <v>7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>
      <c r="A98" s="141" t="s">
        <v>8</v>
      </c>
      <c r="B98" s="141"/>
      <c r="C98" s="141"/>
      <c r="D98" s="141"/>
      <c r="E98" s="141"/>
      <c r="F98" s="141"/>
      <c r="G98" s="141"/>
      <c r="H98" s="141"/>
      <c r="I98" s="141"/>
    </row>
    <row r="99" spans="1:9" ht="15.75">
      <c r="A99" s="142" t="s">
        <v>59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1"/>
    </row>
    <row r="101" spans="1:9" ht="15.75">
      <c r="A101" s="143" t="s">
        <v>9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>
      <c r="A102" s="4"/>
    </row>
    <row r="103" spans="1:9" ht="15.75">
      <c r="B103" s="51" t="s">
        <v>10</v>
      </c>
      <c r="C103" s="155" t="s">
        <v>84</v>
      </c>
      <c r="D103" s="155"/>
      <c r="E103" s="155"/>
      <c r="F103" s="59"/>
      <c r="I103" s="52"/>
    </row>
    <row r="104" spans="1:9">
      <c r="A104" s="53"/>
      <c r="C104" s="136" t="s">
        <v>11</v>
      </c>
      <c r="D104" s="136"/>
      <c r="E104" s="136"/>
      <c r="F104" s="24"/>
      <c r="I104" s="50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1" t="s">
        <v>13</v>
      </c>
      <c r="C106" s="137"/>
      <c r="D106" s="137"/>
      <c r="E106" s="137"/>
      <c r="F106" s="60"/>
      <c r="I106" s="52"/>
    </row>
    <row r="107" spans="1:9">
      <c r="A107" s="53"/>
      <c r="C107" s="138" t="s">
        <v>11</v>
      </c>
      <c r="D107" s="138"/>
      <c r="E107" s="138"/>
      <c r="F107" s="53"/>
      <c r="I107" s="50" t="s">
        <v>12</v>
      </c>
    </row>
    <row r="108" spans="1:9" ht="15.75">
      <c r="A108" s="4" t="s">
        <v>14</v>
      </c>
    </row>
    <row r="109" spans="1:9">
      <c r="A109" s="139" t="s">
        <v>15</v>
      </c>
      <c r="B109" s="139"/>
      <c r="C109" s="139"/>
      <c r="D109" s="139"/>
      <c r="E109" s="139"/>
      <c r="F109" s="139"/>
      <c r="G109" s="139"/>
      <c r="H109" s="139"/>
      <c r="I109" s="139"/>
    </row>
    <row r="110" spans="1:9" ht="45" customHeight="1">
      <c r="A110" s="131" t="s">
        <v>16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ht="30" customHeight="1">
      <c r="A111" s="131" t="s">
        <v>17</v>
      </c>
      <c r="B111" s="131"/>
      <c r="C111" s="131"/>
      <c r="D111" s="131"/>
      <c r="E111" s="131"/>
      <c r="F111" s="131"/>
      <c r="G111" s="131"/>
      <c r="H111" s="131"/>
      <c r="I111" s="131"/>
    </row>
    <row r="112" spans="1:9" ht="30" customHeight="1">
      <c r="A112" s="131" t="s">
        <v>21</v>
      </c>
      <c r="B112" s="131"/>
      <c r="C112" s="131"/>
      <c r="D112" s="131"/>
      <c r="E112" s="131"/>
      <c r="F112" s="131"/>
      <c r="G112" s="131"/>
      <c r="H112" s="131"/>
      <c r="I112" s="131"/>
    </row>
    <row r="113" spans="1:9" ht="15" customHeight="1">
      <c r="A113" s="131" t="s">
        <v>20</v>
      </c>
      <c r="B113" s="131"/>
      <c r="C113" s="131"/>
      <c r="D113" s="131"/>
      <c r="E113" s="131"/>
      <c r="F113" s="131"/>
      <c r="G113" s="131"/>
      <c r="H113" s="131"/>
      <c r="I113" s="131"/>
    </row>
  </sheetData>
  <autoFilter ref="I12:I58"/>
  <mergeCells count="29">
    <mergeCell ref="R63:U63"/>
    <mergeCell ref="A78:I78"/>
    <mergeCell ref="A3:I3"/>
    <mergeCell ref="A4:I4"/>
    <mergeCell ref="A5:I5"/>
    <mergeCell ref="A8:I8"/>
    <mergeCell ref="A10:I10"/>
    <mergeCell ref="A14:I14"/>
    <mergeCell ref="A99:I99"/>
    <mergeCell ref="A15:I15"/>
    <mergeCell ref="A27:I27"/>
    <mergeCell ref="A44:I44"/>
    <mergeCell ref="A54:I54"/>
    <mergeCell ref="A93:I93"/>
    <mergeCell ref="B94:G94"/>
    <mergeCell ref="B95:G95"/>
    <mergeCell ref="A97:I97"/>
    <mergeCell ref="A98:I98"/>
    <mergeCell ref="A82:I82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K93" sqref="K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142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218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43951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32" t="s">
        <v>80</v>
      </c>
      <c r="B26" s="133"/>
      <c r="C26" s="133"/>
      <c r="D26" s="133"/>
      <c r="E26" s="133"/>
      <c r="F26" s="133"/>
      <c r="G26" s="133"/>
      <c r="H26" s="133"/>
      <c r="I26" s="134"/>
      <c r="J26" s="22"/>
      <c r="K26" s="8"/>
      <c r="L26" s="8"/>
      <c r="M26" s="8"/>
    </row>
    <row r="27" spans="1:13" ht="15.75" hidden="1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31.5" hidden="1" customHeight="1">
      <c r="A28" s="29">
        <v>6</v>
      </c>
      <c r="B28" s="63" t="s">
        <v>97</v>
      </c>
      <c r="C28" s="64" t="s">
        <v>127</v>
      </c>
      <c r="D28" s="63" t="s">
        <v>128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4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hidden="1" customHeight="1">
      <c r="A29" s="29">
        <v>7</v>
      </c>
      <c r="B29" s="63" t="s">
        <v>138</v>
      </c>
      <c r="C29" s="64" t="s">
        <v>98</v>
      </c>
      <c r="D29" s="63" t="s">
        <v>129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98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101</v>
      </c>
      <c r="C31" s="64" t="s">
        <v>39</v>
      </c>
      <c r="D31" s="63" t="s">
        <v>61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>
        <v>9</v>
      </c>
      <c r="B32" s="63" t="s">
        <v>102</v>
      </c>
      <c r="C32" s="64" t="s">
        <v>31</v>
      </c>
      <c r="D32" s="63" t="s">
        <v>61</v>
      </c>
      <c r="E32" s="70">
        <v>0.33333333333333331</v>
      </c>
      <c r="F32" s="66">
        <f>155/3</f>
        <v>51.666666666666664</v>
      </c>
      <c r="G32" s="66">
        <v>64.48</v>
      </c>
      <c r="H32" s="67">
        <f>SUM(G32*155/3/1000)</f>
        <v>3.331466666666667</v>
      </c>
      <c r="I32" s="13">
        <f>F32/6*G32</f>
        <v>555.24444444444441</v>
      </c>
      <c r="J32" s="22"/>
      <c r="K32" s="8"/>
      <c r="L32" s="8"/>
      <c r="M32" s="8"/>
    </row>
    <row r="33" spans="1:14" ht="15.75" hidden="1" customHeight="1">
      <c r="A33" s="29"/>
      <c r="B33" s="63" t="s">
        <v>62</v>
      </c>
      <c r="C33" s="64" t="s">
        <v>33</v>
      </c>
      <c r="D33" s="63" t="s">
        <v>130</v>
      </c>
      <c r="E33" s="65"/>
      <c r="F33" s="66">
        <v>2</v>
      </c>
      <c r="G33" s="66">
        <v>217.61</v>
      </c>
      <c r="H33" s="67">
        <f t="shared" si="1"/>
        <v>0.43522000000000005</v>
      </c>
      <c r="I33" s="13">
        <v>0</v>
      </c>
      <c r="J33" s="22"/>
      <c r="K33" s="8"/>
    </row>
    <row r="34" spans="1:14" ht="15.75" hidden="1" customHeight="1">
      <c r="A34" s="29"/>
      <c r="B34" s="63" t="s">
        <v>63</v>
      </c>
      <c r="C34" s="64" t="s">
        <v>32</v>
      </c>
      <c r="D34" s="63" t="s">
        <v>130</v>
      </c>
      <c r="E34" s="65"/>
      <c r="F34" s="66">
        <v>1</v>
      </c>
      <c r="G34" s="66">
        <v>1292.47</v>
      </c>
      <c r="H34" s="67">
        <f t="shared" si="1"/>
        <v>1.29247</v>
      </c>
      <c r="I34" s="13">
        <v>0</v>
      </c>
      <c r="J34" s="23"/>
    </row>
    <row r="35" spans="1:14" ht="15.75" customHeight="1">
      <c r="A35" s="72"/>
      <c r="B35" s="86" t="s">
        <v>5</v>
      </c>
      <c r="C35" s="64"/>
      <c r="D35" s="63"/>
      <c r="E35" s="65"/>
      <c r="F35" s="66"/>
      <c r="G35" s="66"/>
      <c r="H35" s="67" t="s">
        <v>131</v>
      </c>
      <c r="I35" s="13"/>
      <c r="J35" s="23"/>
    </row>
    <row r="36" spans="1:14" ht="15.75" hidden="1" customHeight="1">
      <c r="A36" s="72">
        <v>5</v>
      </c>
      <c r="B36" s="63" t="s">
        <v>26</v>
      </c>
      <c r="C36" s="64" t="s">
        <v>32</v>
      </c>
      <c r="D36" s="63"/>
      <c r="E36" s="65"/>
      <c r="F36" s="66">
        <v>6</v>
      </c>
      <c r="G36" s="66">
        <v>1737.08</v>
      </c>
      <c r="H36" s="67">
        <f t="shared" ref="H36:H42" si="2">SUM(F36*G36/1000)</f>
        <v>10.42248</v>
      </c>
      <c r="I36" s="13">
        <f>G36*1</f>
        <v>1737.08</v>
      </c>
      <c r="J36" s="23"/>
    </row>
    <row r="37" spans="1:14" ht="15.75" customHeight="1">
      <c r="A37" s="72">
        <v>5</v>
      </c>
      <c r="B37" s="63" t="s">
        <v>103</v>
      </c>
      <c r="C37" s="64" t="s">
        <v>29</v>
      </c>
      <c r="D37" s="63" t="s">
        <v>173</v>
      </c>
      <c r="E37" s="65">
        <v>48.36</v>
      </c>
      <c r="F37" s="66">
        <f>E37*30/1000</f>
        <v>1.4507999999999999</v>
      </c>
      <c r="G37" s="66">
        <v>2391.67</v>
      </c>
      <c r="H37" s="67">
        <f>G37*F37/1000</f>
        <v>3.469834836</v>
      </c>
      <c r="I37" s="13">
        <f>F37/6*G37</f>
        <v>578.30580599999996</v>
      </c>
      <c r="J37" s="23"/>
    </row>
    <row r="38" spans="1:14" ht="17.25" hidden="1" customHeight="1">
      <c r="A38" s="72">
        <v>7</v>
      </c>
      <c r="B38" s="63" t="s">
        <v>104</v>
      </c>
      <c r="C38" s="64" t="s">
        <v>105</v>
      </c>
      <c r="D38" s="63" t="s">
        <v>179</v>
      </c>
      <c r="E38" s="65"/>
      <c r="F38" s="66">
        <v>65</v>
      </c>
      <c r="G38" s="66">
        <v>226.85</v>
      </c>
      <c r="H38" s="67">
        <f>G38*F38/1000</f>
        <v>14.74525</v>
      </c>
      <c r="I38" s="13">
        <f>G38*65</f>
        <v>14745.25</v>
      </c>
      <c r="J38" s="23"/>
      <c r="L38" s="19"/>
      <c r="M38" s="20"/>
      <c r="N38" s="21"/>
    </row>
    <row r="39" spans="1:14" ht="15.75" customHeight="1">
      <c r="A39" s="72">
        <v>6</v>
      </c>
      <c r="B39" s="63" t="s">
        <v>65</v>
      </c>
      <c r="C39" s="64" t="s">
        <v>29</v>
      </c>
      <c r="D39" s="63" t="s">
        <v>174</v>
      </c>
      <c r="E39" s="66">
        <v>53.69</v>
      </c>
      <c r="F39" s="66">
        <f>SUM(E39*155/1000)</f>
        <v>8.3219499999999993</v>
      </c>
      <c r="G39" s="66">
        <v>398.95</v>
      </c>
      <c r="H39" s="67">
        <f t="shared" si="2"/>
        <v>3.3200419524999996</v>
      </c>
      <c r="I39" s="13">
        <f>F39/6*G39</f>
        <v>553.34032541666659</v>
      </c>
      <c r="J39" s="23"/>
      <c r="L39" s="19"/>
      <c r="M39" s="20"/>
      <c r="N39" s="21"/>
    </row>
    <row r="40" spans="1:14" ht="47.25" customHeight="1">
      <c r="A40" s="72">
        <v>7</v>
      </c>
      <c r="B40" s="63" t="s">
        <v>79</v>
      </c>
      <c r="C40" s="64" t="s">
        <v>98</v>
      </c>
      <c r="D40" s="63" t="s">
        <v>175</v>
      </c>
      <c r="E40" s="66">
        <v>23.93</v>
      </c>
      <c r="F40" s="66">
        <f>SUM(E40*24/1000)</f>
        <v>0.57431999999999994</v>
      </c>
      <c r="G40" s="66">
        <v>6600.74</v>
      </c>
      <c r="H40" s="67">
        <f t="shared" si="2"/>
        <v>3.7909369967999997</v>
      </c>
      <c r="I40" s="13">
        <f>F40/6*G40</f>
        <v>631.8228327999999</v>
      </c>
      <c r="J40" s="23"/>
      <c r="L40" s="19"/>
      <c r="M40" s="20"/>
      <c r="N40" s="21"/>
    </row>
    <row r="41" spans="1:14" ht="15.75" hidden="1" customHeight="1">
      <c r="A41" s="29">
        <v>10</v>
      </c>
      <c r="B41" s="63" t="s">
        <v>108</v>
      </c>
      <c r="C41" s="64" t="s">
        <v>98</v>
      </c>
      <c r="D41" s="63" t="s">
        <v>176</v>
      </c>
      <c r="E41" s="66">
        <v>48.36</v>
      </c>
      <c r="F41" s="66">
        <f>SUM(E41*45/1000)</f>
        <v>2.1761999999999997</v>
      </c>
      <c r="G41" s="66">
        <v>487.61</v>
      </c>
      <c r="H41" s="67">
        <f t="shared" si="2"/>
        <v>1.0611368819999998</v>
      </c>
      <c r="I41" s="13">
        <f>F41/7.5*1.5*G41</f>
        <v>212.2273764</v>
      </c>
      <c r="J41" s="23"/>
      <c r="L41" s="19"/>
      <c r="M41" s="20"/>
      <c r="N41" s="21"/>
    </row>
    <row r="42" spans="1:14" ht="15.75" hidden="1" customHeight="1">
      <c r="A42" s="29">
        <v>11</v>
      </c>
      <c r="B42" s="63" t="s">
        <v>67</v>
      </c>
      <c r="C42" s="64" t="s">
        <v>33</v>
      </c>
      <c r="D42" s="63"/>
      <c r="E42" s="65"/>
      <c r="F42" s="66">
        <v>0.9</v>
      </c>
      <c r="G42" s="66">
        <v>907.66</v>
      </c>
      <c r="H42" s="67">
        <f t="shared" si="2"/>
        <v>0.81689400000000001</v>
      </c>
      <c r="I42" s="13">
        <f>F42/7.5*1.5*G42</f>
        <v>163.37880000000001</v>
      </c>
      <c r="J42" s="23"/>
      <c r="L42" s="19"/>
      <c r="M42" s="20"/>
      <c r="N42" s="21"/>
    </row>
    <row r="43" spans="1:14" ht="21.75" hidden="1" customHeight="1">
      <c r="A43" s="132" t="s">
        <v>135</v>
      </c>
      <c r="B43" s="133"/>
      <c r="C43" s="133"/>
      <c r="D43" s="133"/>
      <c r="E43" s="133"/>
      <c r="F43" s="133"/>
      <c r="G43" s="133"/>
      <c r="H43" s="133"/>
      <c r="I43" s="134"/>
      <c r="J43" s="23"/>
      <c r="L43" s="19"/>
      <c r="M43" s="20"/>
      <c r="N43" s="21"/>
    </row>
    <row r="44" spans="1:14" ht="27.75" hidden="1" customHeight="1">
      <c r="A44" s="29"/>
      <c r="B44" s="63" t="s">
        <v>109</v>
      </c>
      <c r="C44" s="64" t="s">
        <v>98</v>
      </c>
      <c r="D44" s="63" t="s">
        <v>41</v>
      </c>
      <c r="E44" s="65">
        <v>614.29999999999995</v>
      </c>
      <c r="F44" s="66">
        <f>SUM(E44*2/1000)</f>
        <v>1.2285999999999999</v>
      </c>
      <c r="G44" s="13">
        <v>1094.96</v>
      </c>
      <c r="H44" s="67">
        <f t="shared" ref="H44:H52" si="3">SUM(F44*G44/1000)</f>
        <v>1.345267856</v>
      </c>
      <c r="I44" s="13">
        <v>0</v>
      </c>
      <c r="J44" s="23"/>
      <c r="L44" s="19"/>
      <c r="M44" s="20"/>
      <c r="N44" s="21"/>
    </row>
    <row r="45" spans="1:14" ht="30" hidden="1" customHeight="1">
      <c r="A45" s="29"/>
      <c r="B45" s="63" t="s">
        <v>34</v>
      </c>
      <c r="C45" s="64" t="s">
        <v>98</v>
      </c>
      <c r="D45" s="63" t="s">
        <v>41</v>
      </c>
      <c r="E45" s="65">
        <v>61</v>
      </c>
      <c r="F45" s="66">
        <f>E45*2/1000</f>
        <v>0.122</v>
      </c>
      <c r="G45" s="13">
        <v>3832.4</v>
      </c>
      <c r="H45" s="67">
        <f t="shared" si="3"/>
        <v>0.46755279999999999</v>
      </c>
      <c r="I45" s="13">
        <v>0</v>
      </c>
      <c r="J45" s="23"/>
      <c r="L45" s="19"/>
      <c r="M45" s="20"/>
      <c r="N45" s="21"/>
    </row>
    <row r="46" spans="1:14" ht="35.25" hidden="1" customHeight="1">
      <c r="A46" s="29"/>
      <c r="B46" s="63" t="s">
        <v>35</v>
      </c>
      <c r="C46" s="64" t="s">
        <v>98</v>
      </c>
      <c r="D46" s="63" t="s">
        <v>41</v>
      </c>
      <c r="E46" s="65">
        <v>3135.64</v>
      </c>
      <c r="F46" s="66">
        <f>SUM(E46*2/1000)</f>
        <v>6.27128</v>
      </c>
      <c r="G46" s="13">
        <v>1564.24</v>
      </c>
      <c r="H46" s="67">
        <f t="shared" si="3"/>
        <v>9.8097870272000005</v>
      </c>
      <c r="I46" s="13">
        <v>0</v>
      </c>
      <c r="J46" s="23"/>
      <c r="L46" s="19"/>
      <c r="M46" s="20"/>
      <c r="N46" s="21"/>
    </row>
    <row r="47" spans="1:14" ht="32.25" hidden="1" customHeight="1">
      <c r="A47" s="29"/>
      <c r="B47" s="63" t="s">
        <v>36</v>
      </c>
      <c r="C47" s="64" t="s">
        <v>98</v>
      </c>
      <c r="D47" s="63" t="s">
        <v>41</v>
      </c>
      <c r="E47" s="65">
        <v>1678.47</v>
      </c>
      <c r="F47" s="66">
        <f>SUM(E47*2/1000)</f>
        <v>3.3569400000000003</v>
      </c>
      <c r="G47" s="13">
        <v>1078.3599999999999</v>
      </c>
      <c r="H47" s="67">
        <f t="shared" si="3"/>
        <v>3.6199898183999997</v>
      </c>
      <c r="I47" s="13">
        <v>0</v>
      </c>
      <c r="J47" s="23"/>
      <c r="L47" s="19"/>
      <c r="M47" s="20"/>
      <c r="N47" s="21"/>
    </row>
    <row r="48" spans="1:14" ht="36" hidden="1" customHeight="1">
      <c r="A48" s="29">
        <v>12</v>
      </c>
      <c r="B48" s="63" t="s">
        <v>54</v>
      </c>
      <c r="C48" s="64" t="s">
        <v>98</v>
      </c>
      <c r="D48" s="63" t="s">
        <v>139</v>
      </c>
      <c r="E48" s="65">
        <v>614.29999999999995</v>
      </c>
      <c r="F48" s="66">
        <f>SUM(E48*5/1000)</f>
        <v>3.0714999999999999</v>
      </c>
      <c r="G48" s="13">
        <v>1838.49</v>
      </c>
      <c r="H48" s="67">
        <f t="shared" si="3"/>
        <v>5.6469220349999993</v>
      </c>
      <c r="I48" s="13">
        <f>F48/5*G48</f>
        <v>1129.384407</v>
      </c>
      <c r="J48" s="23"/>
      <c r="L48" s="19"/>
      <c r="M48" s="20"/>
      <c r="N48" s="21"/>
    </row>
    <row r="49" spans="1:22" ht="36.75" hidden="1" customHeight="1">
      <c r="A49" s="29">
        <v>12</v>
      </c>
      <c r="B49" s="63" t="s">
        <v>110</v>
      </c>
      <c r="C49" s="64" t="s">
        <v>98</v>
      </c>
      <c r="D49" s="63" t="s">
        <v>41</v>
      </c>
      <c r="E49" s="65">
        <v>614.29999999999995</v>
      </c>
      <c r="F49" s="66">
        <f>SUM(E49*2/1000)</f>
        <v>1.2285999999999999</v>
      </c>
      <c r="G49" s="13">
        <v>1380.31</v>
      </c>
      <c r="H49" s="67">
        <f t="shared" si="3"/>
        <v>1.6958488659999997</v>
      </c>
      <c r="I49" s="13">
        <f>F49/2*G49</f>
        <v>847.92443299999991</v>
      </c>
      <c r="J49" s="23"/>
      <c r="L49" s="19"/>
      <c r="M49" s="20"/>
      <c r="N49" s="21"/>
    </row>
    <row r="50" spans="1:22" ht="33.75" hidden="1" customHeight="1">
      <c r="A50" s="29">
        <v>13</v>
      </c>
      <c r="B50" s="63" t="s">
        <v>111</v>
      </c>
      <c r="C50" s="64" t="s">
        <v>37</v>
      </c>
      <c r="D50" s="63" t="s">
        <v>41</v>
      </c>
      <c r="E50" s="65">
        <v>20</v>
      </c>
      <c r="F50" s="66">
        <f>SUM(E50*2/100)</f>
        <v>0.4</v>
      </c>
      <c r="G50" s="13">
        <v>3519.56</v>
      </c>
      <c r="H50" s="67">
        <f t="shared" si="3"/>
        <v>1.407824</v>
      </c>
      <c r="I50" s="13">
        <f>F50/2*G50</f>
        <v>703.91200000000003</v>
      </c>
      <c r="J50" s="23"/>
      <c r="L50" s="19"/>
      <c r="M50" s="20"/>
      <c r="N50" s="21"/>
    </row>
    <row r="51" spans="1:22" ht="19.5" hidden="1" customHeight="1">
      <c r="A51" s="29">
        <v>14</v>
      </c>
      <c r="B51" s="63" t="s">
        <v>38</v>
      </c>
      <c r="C51" s="64" t="s">
        <v>39</v>
      </c>
      <c r="D51" s="63" t="s">
        <v>41</v>
      </c>
      <c r="E51" s="65">
        <v>1</v>
      </c>
      <c r="F51" s="66">
        <v>0.02</v>
      </c>
      <c r="G51" s="13">
        <v>6428.82</v>
      </c>
      <c r="H51" s="67">
        <f t="shared" si="3"/>
        <v>0.12857640000000001</v>
      </c>
      <c r="I51" s="13">
        <f>G51*0.01</f>
        <v>64.288200000000003</v>
      </c>
      <c r="J51" s="23"/>
      <c r="L51" s="19"/>
      <c r="M51" s="20"/>
      <c r="N51" s="21"/>
    </row>
    <row r="52" spans="1:22" ht="19.5" hidden="1" customHeight="1">
      <c r="A52" s="29">
        <v>14</v>
      </c>
      <c r="B52" s="63" t="s">
        <v>40</v>
      </c>
      <c r="C52" s="64" t="s">
        <v>112</v>
      </c>
      <c r="D52" s="63" t="s">
        <v>68</v>
      </c>
      <c r="E52" s="65">
        <v>170</v>
      </c>
      <c r="F52" s="66">
        <f>SUM(E52)*3</f>
        <v>510</v>
      </c>
      <c r="G52" s="13">
        <v>74.709999999999994</v>
      </c>
      <c r="H52" s="67">
        <f t="shared" si="3"/>
        <v>38.1021</v>
      </c>
      <c r="I52" s="13">
        <f>G52*E52</f>
        <v>12700.699999999999</v>
      </c>
      <c r="J52" s="23"/>
      <c r="L52" s="19"/>
      <c r="M52" s="20"/>
      <c r="N52" s="21"/>
    </row>
    <row r="53" spans="1:22" ht="15.75" customHeight="1">
      <c r="A53" s="132" t="s">
        <v>145</v>
      </c>
      <c r="B53" s="133"/>
      <c r="C53" s="133"/>
      <c r="D53" s="133"/>
      <c r="E53" s="133"/>
      <c r="F53" s="133"/>
      <c r="G53" s="133"/>
      <c r="H53" s="133"/>
      <c r="I53" s="134"/>
      <c r="J53" s="23"/>
      <c r="L53" s="19"/>
      <c r="M53" s="20"/>
      <c r="N53" s="21"/>
    </row>
    <row r="54" spans="1:22" ht="15.75" customHeight="1">
      <c r="A54" s="29"/>
      <c r="B54" s="86" t="s">
        <v>42</v>
      </c>
      <c r="C54" s="64"/>
      <c r="D54" s="63"/>
      <c r="E54" s="65"/>
      <c r="F54" s="66"/>
      <c r="G54" s="66"/>
      <c r="H54" s="67"/>
      <c r="I54" s="13"/>
      <c r="J54" s="23"/>
      <c r="L54" s="19"/>
      <c r="M54" s="20"/>
      <c r="N54" s="21"/>
    </row>
    <row r="55" spans="1:22" ht="31.5" customHeight="1">
      <c r="A55" s="29">
        <v>8</v>
      </c>
      <c r="B55" s="63" t="s">
        <v>113</v>
      </c>
      <c r="C55" s="64" t="s">
        <v>88</v>
      </c>
      <c r="D55" s="116">
        <v>43934</v>
      </c>
      <c r="E55" s="65">
        <v>63.07</v>
      </c>
      <c r="F55" s="66">
        <f>SUM(E55*6/100)</f>
        <v>3.7842000000000002</v>
      </c>
      <c r="G55" s="13">
        <v>1759.9</v>
      </c>
      <c r="H55" s="67">
        <f>SUM(F55*G55/1000)</f>
        <v>6.6598135800000007</v>
      </c>
      <c r="I55" s="13">
        <f>G55*0.285</f>
        <v>501.57149999999996</v>
      </c>
      <c r="J55" s="23"/>
      <c r="L55" s="19"/>
    </row>
    <row r="56" spans="1:22" ht="15.75" customHeight="1">
      <c r="A56" s="29"/>
      <c r="B56" s="87" t="s">
        <v>43</v>
      </c>
      <c r="C56" s="73"/>
      <c r="D56" s="74"/>
      <c r="E56" s="75"/>
      <c r="F56" s="76"/>
      <c r="G56" s="13"/>
      <c r="H56" s="77"/>
      <c r="I56" s="13"/>
    </row>
    <row r="57" spans="1:22" ht="15.75" hidden="1" customHeight="1">
      <c r="A57" s="29"/>
      <c r="B57" s="74" t="s">
        <v>133</v>
      </c>
      <c r="C57" s="73" t="s">
        <v>51</v>
      </c>
      <c r="D57" s="74" t="s">
        <v>52</v>
      </c>
      <c r="E57" s="75">
        <v>614.29999999999995</v>
      </c>
      <c r="F57" s="76">
        <v>6.1429999999999998</v>
      </c>
      <c r="G57" s="13">
        <v>902.66</v>
      </c>
      <c r="H57" s="77">
        <f>F57*G57/1000</f>
        <v>5.5450403799999997</v>
      </c>
      <c r="I57" s="13">
        <v>0</v>
      </c>
    </row>
    <row r="58" spans="1:22" ht="15.75" customHeight="1">
      <c r="A58" s="29">
        <v>9</v>
      </c>
      <c r="B58" s="74" t="s">
        <v>85</v>
      </c>
      <c r="C58" s="73" t="s">
        <v>25</v>
      </c>
      <c r="D58" s="74" t="s">
        <v>178</v>
      </c>
      <c r="E58" s="75">
        <v>100</v>
      </c>
      <c r="F58" s="78">
        <f>E58*12</f>
        <v>1200</v>
      </c>
      <c r="G58" s="57">
        <v>1.4</v>
      </c>
      <c r="H58" s="76">
        <f>F58*G58/1000</f>
        <v>1.68</v>
      </c>
      <c r="I58" s="13">
        <f>F58/12*G58</f>
        <v>140</v>
      </c>
    </row>
    <row r="59" spans="1:22" ht="15.75" hidden="1" customHeight="1">
      <c r="A59" s="29"/>
      <c r="B59" s="87" t="s">
        <v>44</v>
      </c>
      <c r="C59" s="73"/>
      <c r="D59" s="74"/>
      <c r="E59" s="75"/>
      <c r="F59" s="78"/>
      <c r="G59" s="78"/>
      <c r="H59" s="76" t="s">
        <v>131</v>
      </c>
      <c r="I59" s="1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15.75" hidden="1" customHeight="1">
      <c r="A60" s="29"/>
      <c r="B60" s="14" t="s">
        <v>45</v>
      </c>
      <c r="C60" s="16" t="s">
        <v>112</v>
      </c>
      <c r="D60" s="14" t="s">
        <v>64</v>
      </c>
      <c r="E60" s="18">
        <v>25</v>
      </c>
      <c r="F60" s="66">
        <v>25</v>
      </c>
      <c r="G60" s="13">
        <v>252.96</v>
      </c>
      <c r="H60" s="79">
        <f t="shared" ref="H60:H74" si="4">SUM(F60*G60/1000)</f>
        <v>6.3239999999999998</v>
      </c>
      <c r="I60" s="13">
        <v>0</v>
      </c>
      <c r="J60" s="25"/>
      <c r="K60" s="25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29"/>
      <c r="B61" s="14" t="s">
        <v>46</v>
      </c>
      <c r="C61" s="16" t="s">
        <v>112</v>
      </c>
      <c r="D61" s="14" t="s">
        <v>64</v>
      </c>
      <c r="E61" s="18">
        <v>2</v>
      </c>
      <c r="F61" s="66">
        <v>2</v>
      </c>
      <c r="G61" s="13">
        <v>86.74</v>
      </c>
      <c r="H61" s="79">
        <f t="shared" si="4"/>
        <v>0.17348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15.75" hidden="1" customHeight="1">
      <c r="A62" s="29"/>
      <c r="B62" s="14" t="s">
        <v>47</v>
      </c>
      <c r="C62" s="16" t="s">
        <v>115</v>
      </c>
      <c r="D62" s="14" t="s">
        <v>52</v>
      </c>
      <c r="E62" s="65">
        <v>8692</v>
      </c>
      <c r="F62" s="13">
        <f>SUM(E62/100)</f>
        <v>86.92</v>
      </c>
      <c r="G62" s="13">
        <v>241.31</v>
      </c>
      <c r="H62" s="79">
        <f t="shared" si="4"/>
        <v>20.9746652</v>
      </c>
      <c r="I62" s="13">
        <v>0</v>
      </c>
      <c r="J62" s="5"/>
      <c r="K62" s="5"/>
      <c r="L62" s="5"/>
      <c r="M62" s="5"/>
      <c r="N62" s="5"/>
      <c r="O62" s="5"/>
      <c r="P62" s="5"/>
      <c r="Q62" s="5"/>
      <c r="R62" s="138"/>
      <c r="S62" s="138"/>
      <c r="T62" s="138"/>
      <c r="U62" s="138"/>
    </row>
    <row r="63" spans="1:22" ht="15.75" hidden="1" customHeight="1">
      <c r="A63" s="29"/>
      <c r="B63" s="14" t="s">
        <v>48</v>
      </c>
      <c r="C63" s="16" t="s">
        <v>116</v>
      </c>
      <c r="D63" s="14"/>
      <c r="E63" s="65">
        <v>8692</v>
      </c>
      <c r="F63" s="13">
        <f>SUM(E63/1000)</f>
        <v>8.6920000000000002</v>
      </c>
      <c r="G63" s="13">
        <v>187.91</v>
      </c>
      <c r="H63" s="79">
        <f t="shared" si="4"/>
        <v>1.6333137200000001</v>
      </c>
      <c r="I63" s="13">
        <v>0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2" ht="15.75" hidden="1" customHeight="1">
      <c r="A64" s="44"/>
      <c r="B64" s="14" t="s">
        <v>49</v>
      </c>
      <c r="C64" s="16" t="s">
        <v>74</v>
      </c>
      <c r="D64" s="14" t="s">
        <v>52</v>
      </c>
      <c r="E64" s="65">
        <v>855</v>
      </c>
      <c r="F64" s="13">
        <f>SUM(E64/100)</f>
        <v>8.5500000000000007</v>
      </c>
      <c r="G64" s="13">
        <v>2359.7199999999998</v>
      </c>
      <c r="H64" s="79">
        <f t="shared" si="4"/>
        <v>20.175605999999998</v>
      </c>
      <c r="I64" s="13">
        <v>0</v>
      </c>
    </row>
    <row r="65" spans="1:9" ht="15.75" hidden="1" customHeight="1">
      <c r="A65" s="29"/>
      <c r="B65" s="80" t="s">
        <v>117</v>
      </c>
      <c r="C65" s="16" t="s">
        <v>33</v>
      </c>
      <c r="D65" s="14"/>
      <c r="E65" s="65">
        <v>8.6</v>
      </c>
      <c r="F65" s="13">
        <f>SUM(E65)</f>
        <v>8.6</v>
      </c>
      <c r="G65" s="13">
        <v>42.67</v>
      </c>
      <c r="H65" s="79">
        <f t="shared" si="4"/>
        <v>0.36696200000000001</v>
      </c>
      <c r="I65" s="13">
        <v>0</v>
      </c>
    </row>
    <row r="66" spans="1:9" ht="15.75" hidden="1" customHeight="1">
      <c r="A66" s="29"/>
      <c r="B66" s="80" t="s">
        <v>118</v>
      </c>
      <c r="C66" s="16" t="s">
        <v>33</v>
      </c>
      <c r="D66" s="14"/>
      <c r="E66" s="65">
        <v>8.6</v>
      </c>
      <c r="F66" s="13">
        <f>SUM(E66)</f>
        <v>8.6</v>
      </c>
      <c r="G66" s="13">
        <v>39.81</v>
      </c>
      <c r="H66" s="79">
        <f t="shared" si="4"/>
        <v>0.342366</v>
      </c>
      <c r="I66" s="13">
        <v>0</v>
      </c>
    </row>
    <row r="67" spans="1:9" ht="15.75" hidden="1" customHeight="1">
      <c r="A67" s="29"/>
      <c r="B67" s="14" t="s">
        <v>55</v>
      </c>
      <c r="C67" s="16" t="s">
        <v>56</v>
      </c>
      <c r="D67" s="14" t="s">
        <v>52</v>
      </c>
      <c r="E67" s="18">
        <v>5</v>
      </c>
      <c r="F67" s="66">
        <v>5</v>
      </c>
      <c r="G67" s="13">
        <v>56.74</v>
      </c>
      <c r="H67" s="79">
        <f t="shared" si="4"/>
        <v>0.28370000000000001</v>
      </c>
      <c r="I67" s="13">
        <v>0</v>
      </c>
    </row>
    <row r="68" spans="1:9" ht="15.75" customHeight="1">
      <c r="A68" s="29"/>
      <c r="B68" s="88" t="s">
        <v>69</v>
      </c>
      <c r="C68" s="16"/>
      <c r="D68" s="14"/>
      <c r="E68" s="18"/>
      <c r="F68" s="13"/>
      <c r="G68" s="13"/>
      <c r="H68" s="79" t="s">
        <v>131</v>
      </c>
      <c r="I68" s="13"/>
    </row>
    <row r="69" spans="1:9" ht="15.75" hidden="1" customHeight="1">
      <c r="A69" s="29"/>
      <c r="B69" s="14" t="s">
        <v>124</v>
      </c>
      <c r="C69" s="16" t="s">
        <v>125</v>
      </c>
      <c r="D69" s="14"/>
      <c r="E69" s="18">
        <v>4</v>
      </c>
      <c r="F69" s="13">
        <f>E69</f>
        <v>4</v>
      </c>
      <c r="G69" s="13">
        <v>113.57</v>
      </c>
      <c r="H69" s="79">
        <f t="shared" si="4"/>
        <v>0.45427999999999996</v>
      </c>
      <c r="I69" s="13">
        <v>0</v>
      </c>
    </row>
    <row r="70" spans="1:9" ht="15.75" customHeight="1">
      <c r="A70" s="29">
        <v>10</v>
      </c>
      <c r="B70" s="14" t="s">
        <v>70</v>
      </c>
      <c r="C70" s="16" t="s">
        <v>72</v>
      </c>
      <c r="D70" s="14"/>
      <c r="E70" s="18">
        <v>20</v>
      </c>
      <c r="F70" s="13">
        <v>2</v>
      </c>
      <c r="G70" s="13">
        <v>570.54</v>
      </c>
      <c r="H70" s="79">
        <f t="shared" si="4"/>
        <v>1.1410799999999999</v>
      </c>
      <c r="I70" s="13">
        <f>G70*1.5</f>
        <v>855.81</v>
      </c>
    </row>
    <row r="71" spans="1:9" ht="15.75" hidden="1" customHeight="1">
      <c r="A71" s="29"/>
      <c r="B71" s="14" t="s">
        <v>71</v>
      </c>
      <c r="C71" s="16" t="s">
        <v>31</v>
      </c>
      <c r="D71" s="14"/>
      <c r="E71" s="18">
        <v>2</v>
      </c>
      <c r="F71" s="57">
        <v>2</v>
      </c>
      <c r="G71" s="13">
        <v>970.21</v>
      </c>
      <c r="H71" s="79">
        <f>F71*G71/1000</f>
        <v>1.94042</v>
      </c>
      <c r="I71" s="13">
        <v>0</v>
      </c>
    </row>
    <row r="72" spans="1:9" ht="15.75" hidden="1" customHeight="1">
      <c r="A72" s="29"/>
      <c r="B72" s="14" t="s">
        <v>82</v>
      </c>
      <c r="C72" s="16" t="s">
        <v>31</v>
      </c>
      <c r="D72" s="14"/>
      <c r="E72" s="18">
        <v>2</v>
      </c>
      <c r="F72" s="13">
        <v>2</v>
      </c>
      <c r="G72" s="13">
        <v>407.79</v>
      </c>
      <c r="H72" s="79">
        <f>G72*F72/1000</f>
        <v>0.81558000000000008</v>
      </c>
      <c r="I72" s="13">
        <v>0</v>
      </c>
    </row>
    <row r="73" spans="1:9" ht="15.75" hidden="1" customHeight="1">
      <c r="A73" s="29"/>
      <c r="B73" s="82" t="s">
        <v>73</v>
      </c>
      <c r="C73" s="16"/>
      <c r="D73" s="14"/>
      <c r="E73" s="18"/>
      <c r="F73" s="13"/>
      <c r="G73" s="13" t="s">
        <v>131</v>
      </c>
      <c r="H73" s="79" t="s">
        <v>131</v>
      </c>
      <c r="I73" s="13"/>
    </row>
    <row r="74" spans="1:9" ht="15.75" hidden="1" customHeight="1">
      <c r="A74" s="29"/>
      <c r="B74" s="43" t="s">
        <v>121</v>
      </c>
      <c r="C74" s="16" t="s">
        <v>74</v>
      </c>
      <c r="D74" s="14"/>
      <c r="E74" s="18"/>
      <c r="F74" s="13">
        <v>1</v>
      </c>
      <c r="G74" s="13">
        <v>3138.63</v>
      </c>
      <c r="H74" s="79">
        <f t="shared" si="4"/>
        <v>3.13863</v>
      </c>
      <c r="I74" s="13">
        <v>0</v>
      </c>
    </row>
    <row r="75" spans="1:9" ht="15.75" hidden="1" customHeight="1">
      <c r="A75" s="29"/>
      <c r="B75" s="55" t="s">
        <v>119</v>
      </c>
      <c r="C75" s="82"/>
      <c r="D75" s="31"/>
      <c r="E75" s="32"/>
      <c r="F75" s="69"/>
      <c r="G75" s="69"/>
      <c r="H75" s="83">
        <f>SUM(H55:H74)</f>
        <v>71.648936879999994</v>
      </c>
      <c r="I75" s="69"/>
    </row>
    <row r="76" spans="1:9" ht="15.75" hidden="1" customHeight="1">
      <c r="A76" s="44"/>
      <c r="B76" s="63" t="s">
        <v>120</v>
      </c>
      <c r="C76" s="16"/>
      <c r="D76" s="14"/>
      <c r="E76" s="58"/>
      <c r="F76" s="13">
        <v>1</v>
      </c>
      <c r="G76" s="13">
        <v>19285</v>
      </c>
      <c r="H76" s="79">
        <f>G76*F76/1000</f>
        <v>19.285</v>
      </c>
      <c r="I76" s="13">
        <v>0</v>
      </c>
    </row>
    <row r="77" spans="1:9" ht="15.75" customHeight="1">
      <c r="A77" s="132" t="s">
        <v>146</v>
      </c>
      <c r="B77" s="133"/>
      <c r="C77" s="133"/>
      <c r="D77" s="133"/>
      <c r="E77" s="133"/>
      <c r="F77" s="133"/>
      <c r="G77" s="133"/>
      <c r="H77" s="133"/>
      <c r="I77" s="134"/>
    </row>
    <row r="78" spans="1:9" ht="15.75" customHeight="1">
      <c r="A78" s="29">
        <v>11</v>
      </c>
      <c r="B78" s="63" t="s">
        <v>122</v>
      </c>
      <c r="C78" s="16" t="s">
        <v>53</v>
      </c>
      <c r="D78" s="84"/>
      <c r="E78" s="13">
        <v>2177.1</v>
      </c>
      <c r="F78" s="13">
        <f>SUM(E78*12)</f>
        <v>26125.199999999997</v>
      </c>
      <c r="G78" s="13">
        <v>2.7</v>
      </c>
      <c r="H78" s="79">
        <f>SUM(F78*G78/1000)</f>
        <v>70.538039999999995</v>
      </c>
      <c r="I78" s="13">
        <f>F78/12*G78</f>
        <v>5878.17</v>
      </c>
    </row>
    <row r="79" spans="1:9" ht="31.5" customHeight="1">
      <c r="A79" s="29">
        <v>12</v>
      </c>
      <c r="B79" s="14" t="s">
        <v>75</v>
      </c>
      <c r="C79" s="16"/>
      <c r="D79" s="84"/>
      <c r="E79" s="65">
        <f>E78</f>
        <v>2177.1</v>
      </c>
      <c r="F79" s="13">
        <f>E79*12</f>
        <v>26125.199999999997</v>
      </c>
      <c r="G79" s="13">
        <v>2.1800000000000002</v>
      </c>
      <c r="H79" s="79">
        <f>F79*G79/1000</f>
        <v>56.952935999999994</v>
      </c>
      <c r="I79" s="13">
        <f>F79/12*G79</f>
        <v>4746.0780000000004</v>
      </c>
    </row>
    <row r="80" spans="1:9" ht="15.75" customHeight="1">
      <c r="A80" s="29"/>
      <c r="B80" s="36" t="s">
        <v>77</v>
      </c>
      <c r="C80" s="82"/>
      <c r="D80" s="81"/>
      <c r="E80" s="69"/>
      <c r="F80" s="69"/>
      <c r="G80" s="69"/>
      <c r="H80" s="83">
        <f>H79</f>
        <v>56.952935999999994</v>
      </c>
      <c r="I80" s="69">
        <f>I79+I78+I70+I58+I55+I40+I39++I37+I25+I18+I17+I16</f>
        <v>28239.218422216669</v>
      </c>
    </row>
    <row r="81" spans="1:9" ht="15.75" customHeight="1">
      <c r="A81" s="146" t="s">
        <v>58</v>
      </c>
      <c r="B81" s="147"/>
      <c r="C81" s="147"/>
      <c r="D81" s="147"/>
      <c r="E81" s="147"/>
      <c r="F81" s="147"/>
      <c r="G81" s="147"/>
      <c r="H81" s="147"/>
      <c r="I81" s="148"/>
    </row>
    <row r="82" spans="1:9" ht="15.75" customHeight="1">
      <c r="A82" s="29">
        <v>13</v>
      </c>
      <c r="B82" s="98" t="s">
        <v>157</v>
      </c>
      <c r="C82" s="108" t="s">
        <v>153</v>
      </c>
      <c r="D82" s="48"/>
      <c r="E82" s="34"/>
      <c r="F82" s="34">
        <f>13+12</f>
        <v>25</v>
      </c>
      <c r="G82" s="34">
        <v>284</v>
      </c>
      <c r="H82" s="90">
        <f>G82*F82/1000</f>
        <v>7.1</v>
      </c>
      <c r="I82" s="85">
        <f>G82*12</f>
        <v>3408</v>
      </c>
    </row>
    <row r="83" spans="1:9" ht="16.5" customHeight="1">
      <c r="A83" s="29">
        <v>14</v>
      </c>
      <c r="B83" s="98" t="s">
        <v>86</v>
      </c>
      <c r="C83" s="49" t="s">
        <v>112</v>
      </c>
      <c r="D83" s="48" t="s">
        <v>198</v>
      </c>
      <c r="E83" s="34"/>
      <c r="F83" s="34">
        <v>4</v>
      </c>
      <c r="G83" s="34">
        <v>179.3</v>
      </c>
      <c r="H83" s="79">
        <f>G83*F83/1000</f>
        <v>0.71720000000000006</v>
      </c>
      <c r="I83" s="85">
        <f>G83*1</f>
        <v>179.3</v>
      </c>
    </row>
    <row r="84" spans="1:9" ht="33" customHeight="1">
      <c r="A84" s="29">
        <v>15</v>
      </c>
      <c r="B84" s="106" t="s">
        <v>193</v>
      </c>
      <c r="C84" s="107" t="s">
        <v>194</v>
      </c>
      <c r="D84" s="48" t="s">
        <v>221</v>
      </c>
      <c r="E84" s="34"/>
      <c r="F84" s="34">
        <v>1.9</v>
      </c>
      <c r="G84" s="34">
        <v>1873.58</v>
      </c>
      <c r="H84" s="79">
        <f>G84*F84/1000</f>
        <v>3.5598019999999995</v>
      </c>
      <c r="I84" s="85">
        <f>G84*1.5</f>
        <v>2810.37</v>
      </c>
    </row>
    <row r="85" spans="1:9" ht="18.75" customHeight="1">
      <c r="A85" s="29">
        <v>16</v>
      </c>
      <c r="B85" s="98" t="s">
        <v>195</v>
      </c>
      <c r="C85" s="49" t="s">
        <v>196</v>
      </c>
      <c r="D85" s="48"/>
      <c r="E85" s="34"/>
      <c r="F85" s="34">
        <v>3</v>
      </c>
      <c r="G85" s="34">
        <v>923.85</v>
      </c>
      <c r="H85" s="79">
        <f>G85*F85/1000</f>
        <v>2.7715500000000004</v>
      </c>
      <c r="I85" s="85">
        <f>G85*1</f>
        <v>923.85</v>
      </c>
    </row>
    <row r="86" spans="1:9" ht="16.5" customHeight="1">
      <c r="A86" s="29">
        <v>17</v>
      </c>
      <c r="B86" s="98" t="s">
        <v>78</v>
      </c>
      <c r="C86" s="49" t="s">
        <v>112</v>
      </c>
      <c r="D86" s="48"/>
      <c r="E86" s="34"/>
      <c r="F86" s="34">
        <v>5</v>
      </c>
      <c r="G86" s="34">
        <v>215.85</v>
      </c>
      <c r="H86" s="79">
        <f>G86*F86/1000</f>
        <v>1.07925</v>
      </c>
      <c r="I86" s="85">
        <f>G86*2</f>
        <v>431.7</v>
      </c>
    </row>
    <row r="87" spans="1:9" ht="16.5" customHeight="1">
      <c r="A87" s="29">
        <v>18</v>
      </c>
      <c r="B87" s="98" t="s">
        <v>206</v>
      </c>
      <c r="C87" s="49" t="s">
        <v>207</v>
      </c>
      <c r="D87" s="48" t="s">
        <v>223</v>
      </c>
      <c r="E87" s="34"/>
      <c r="F87" s="34">
        <v>3</v>
      </c>
      <c r="G87" s="34">
        <v>222.63</v>
      </c>
      <c r="H87" s="79"/>
      <c r="I87" s="85">
        <f>G87*2</f>
        <v>445.26</v>
      </c>
    </row>
    <row r="88" spans="1:9" ht="16.5" customHeight="1">
      <c r="A88" s="29">
        <v>19</v>
      </c>
      <c r="B88" s="98" t="s">
        <v>219</v>
      </c>
      <c r="C88" s="49" t="s">
        <v>220</v>
      </c>
      <c r="D88" s="48" t="s">
        <v>222</v>
      </c>
      <c r="E88" s="34"/>
      <c r="F88" s="34">
        <v>0.02</v>
      </c>
      <c r="G88" s="34">
        <v>25613.63</v>
      </c>
      <c r="H88" s="79"/>
      <c r="I88" s="85">
        <f>G88*0.02</f>
        <v>512.27260000000001</v>
      </c>
    </row>
    <row r="89" spans="1:9" ht="16.5" customHeight="1">
      <c r="A89" s="29">
        <v>20</v>
      </c>
      <c r="B89" s="98" t="s">
        <v>228</v>
      </c>
      <c r="C89" s="49" t="s">
        <v>112</v>
      </c>
      <c r="D89" s="48"/>
      <c r="E89" s="34"/>
      <c r="F89" s="34">
        <v>1</v>
      </c>
      <c r="G89" s="34">
        <v>73.37</v>
      </c>
      <c r="H89" s="79"/>
      <c r="I89" s="85">
        <f>G89*1</f>
        <v>73.37</v>
      </c>
    </row>
    <row r="90" spans="1:9" ht="15.75" customHeight="1">
      <c r="A90" s="29"/>
      <c r="B90" s="41" t="s">
        <v>50</v>
      </c>
      <c r="C90" s="37"/>
      <c r="D90" s="45"/>
      <c r="E90" s="37">
        <v>1</v>
      </c>
      <c r="F90" s="37"/>
      <c r="G90" s="37"/>
      <c r="H90" s="37"/>
      <c r="I90" s="32">
        <f>SUM(I82:I89)</f>
        <v>8784.1226000000006</v>
      </c>
    </row>
    <row r="91" spans="1:9" ht="15.75" customHeight="1">
      <c r="A91" s="29"/>
      <c r="B91" s="43" t="s">
        <v>76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151</v>
      </c>
      <c r="C92" s="33"/>
      <c r="D92" s="33"/>
      <c r="E92" s="33"/>
      <c r="F92" s="33"/>
      <c r="G92" s="33"/>
      <c r="H92" s="33"/>
      <c r="I92" s="40">
        <f>I80+I90</f>
        <v>37023.341022216671</v>
      </c>
    </row>
    <row r="93" spans="1:9" ht="15.75">
      <c r="A93" s="145" t="s">
        <v>229</v>
      </c>
      <c r="B93" s="145"/>
      <c r="C93" s="145"/>
      <c r="D93" s="145"/>
      <c r="E93" s="145"/>
      <c r="F93" s="145"/>
      <c r="G93" s="145"/>
      <c r="H93" s="145"/>
      <c r="I93" s="145"/>
    </row>
    <row r="94" spans="1:9" ht="15.75">
      <c r="A94" s="56"/>
      <c r="B94" s="140" t="s">
        <v>230</v>
      </c>
      <c r="C94" s="140"/>
      <c r="D94" s="140"/>
      <c r="E94" s="140"/>
      <c r="F94" s="140"/>
      <c r="G94" s="140"/>
      <c r="H94" s="61"/>
      <c r="I94" s="3"/>
    </row>
    <row r="95" spans="1:9">
      <c r="A95" s="53"/>
      <c r="B95" s="136" t="s">
        <v>6</v>
      </c>
      <c r="C95" s="136"/>
      <c r="D95" s="136"/>
      <c r="E95" s="136"/>
      <c r="F95" s="136"/>
      <c r="G95" s="136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41" t="s">
        <v>7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>
      <c r="A98" s="141" t="s">
        <v>8</v>
      </c>
      <c r="B98" s="141"/>
      <c r="C98" s="141"/>
      <c r="D98" s="141"/>
      <c r="E98" s="141"/>
      <c r="F98" s="141"/>
      <c r="G98" s="141"/>
      <c r="H98" s="141"/>
      <c r="I98" s="141"/>
    </row>
    <row r="99" spans="1:9" ht="15.75">
      <c r="A99" s="142" t="s">
        <v>59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1"/>
    </row>
    <row r="101" spans="1:9" ht="15.75">
      <c r="A101" s="143" t="s">
        <v>9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>
      <c r="A102" s="4"/>
    </row>
    <row r="103" spans="1:9" ht="15.75">
      <c r="B103" s="51" t="s">
        <v>10</v>
      </c>
      <c r="C103" s="135" t="s">
        <v>84</v>
      </c>
      <c r="D103" s="135"/>
      <c r="E103" s="135"/>
      <c r="F103" s="59"/>
      <c r="I103" s="52"/>
    </row>
    <row r="104" spans="1:9">
      <c r="A104" s="53"/>
      <c r="C104" s="136" t="s">
        <v>11</v>
      </c>
      <c r="D104" s="136"/>
      <c r="E104" s="136"/>
      <c r="F104" s="24"/>
      <c r="I104" s="50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1" t="s">
        <v>13</v>
      </c>
      <c r="C106" s="137"/>
      <c r="D106" s="137"/>
      <c r="E106" s="137"/>
      <c r="F106" s="60"/>
      <c r="I106" s="52"/>
    </row>
    <row r="107" spans="1:9">
      <c r="A107" s="53"/>
      <c r="C107" s="138" t="s">
        <v>11</v>
      </c>
      <c r="D107" s="138"/>
      <c r="E107" s="138"/>
      <c r="F107" s="53"/>
      <c r="I107" s="50" t="s">
        <v>12</v>
      </c>
    </row>
    <row r="108" spans="1:9" ht="15.75">
      <c r="A108" s="4" t="s">
        <v>14</v>
      </c>
    </row>
    <row r="109" spans="1:9">
      <c r="A109" s="139" t="s">
        <v>15</v>
      </c>
      <c r="B109" s="139"/>
      <c r="C109" s="139"/>
      <c r="D109" s="139"/>
      <c r="E109" s="139"/>
      <c r="F109" s="139"/>
      <c r="G109" s="139"/>
      <c r="H109" s="139"/>
      <c r="I109" s="139"/>
    </row>
    <row r="110" spans="1:9" ht="45" customHeight="1">
      <c r="A110" s="131" t="s">
        <v>16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ht="30" customHeight="1">
      <c r="A111" s="131" t="s">
        <v>17</v>
      </c>
      <c r="B111" s="131"/>
      <c r="C111" s="131"/>
      <c r="D111" s="131"/>
      <c r="E111" s="131"/>
      <c r="F111" s="131"/>
      <c r="G111" s="131"/>
      <c r="H111" s="131"/>
      <c r="I111" s="131"/>
    </row>
    <row r="112" spans="1:9" ht="30" customHeight="1">
      <c r="A112" s="131" t="s">
        <v>21</v>
      </c>
      <c r="B112" s="131"/>
      <c r="C112" s="131"/>
      <c r="D112" s="131"/>
      <c r="E112" s="131"/>
      <c r="F112" s="131"/>
      <c r="G112" s="131"/>
      <c r="H112" s="131"/>
      <c r="I112" s="131"/>
    </row>
    <row r="113" spans="1:9" ht="15" customHeight="1">
      <c r="A113" s="131" t="s">
        <v>20</v>
      </c>
      <c r="B113" s="131"/>
      <c r="C113" s="131"/>
      <c r="D113" s="131"/>
      <c r="E113" s="131"/>
      <c r="F113" s="131"/>
      <c r="G113" s="131"/>
      <c r="H113" s="131"/>
      <c r="I113" s="131"/>
    </row>
  </sheetData>
  <autoFilter ref="I12:I57"/>
  <mergeCells count="29">
    <mergeCell ref="R62:U62"/>
    <mergeCell ref="A77:I77"/>
    <mergeCell ref="A3:I3"/>
    <mergeCell ref="A4:I4"/>
    <mergeCell ref="A5:I5"/>
    <mergeCell ref="A8:I8"/>
    <mergeCell ref="A10:I10"/>
    <mergeCell ref="A14:I14"/>
    <mergeCell ref="A99:I99"/>
    <mergeCell ref="A15:I15"/>
    <mergeCell ref="A26:I26"/>
    <mergeCell ref="A43:I43"/>
    <mergeCell ref="A53:I53"/>
    <mergeCell ref="A93:I93"/>
    <mergeCell ref="B94:G94"/>
    <mergeCell ref="B95:G95"/>
    <mergeCell ref="A97:I97"/>
    <mergeCell ref="A98:I98"/>
    <mergeCell ref="A81:I81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7"/>
  <sheetViews>
    <sheetView topLeftCell="A76" workbookViewId="0">
      <selection activeCell="K89" sqref="K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143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224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43982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180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f>F19*G19</f>
        <v>278.71199999999999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177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f>F20/2*G20</f>
        <v>36.280847999999999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177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f>F21/2*G21</f>
        <v>24.777647999999999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181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f>F22*G22</f>
        <v>650.03684999999996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181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f>F23*G23</f>
        <v>23.47242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180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f>F24*G24</f>
        <v>11.8474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32" t="s">
        <v>80</v>
      </c>
      <c r="B26" s="133"/>
      <c r="C26" s="133"/>
      <c r="D26" s="133"/>
      <c r="E26" s="133"/>
      <c r="F26" s="133"/>
      <c r="G26" s="133"/>
      <c r="H26" s="133"/>
      <c r="I26" s="13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5</v>
      </c>
      <c r="B28" s="63" t="s">
        <v>97</v>
      </c>
      <c r="C28" s="64" t="s">
        <v>127</v>
      </c>
      <c r="D28" s="63" t="s">
        <v>170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3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6</v>
      </c>
      <c r="B29" s="63" t="s">
        <v>138</v>
      </c>
      <c r="C29" s="64" t="s">
        <v>98</v>
      </c>
      <c r="D29" s="63" t="s">
        <v>169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customHeight="1">
      <c r="A30" s="29">
        <v>7</v>
      </c>
      <c r="B30" s="63" t="s">
        <v>27</v>
      </c>
      <c r="C30" s="64" t="s">
        <v>98</v>
      </c>
      <c r="D30" s="63" t="s">
        <v>178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8</v>
      </c>
      <c r="B31" s="63" t="s">
        <v>101</v>
      </c>
      <c r="C31" s="64" t="s">
        <v>39</v>
      </c>
      <c r="D31" s="63" t="s">
        <v>174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62</v>
      </c>
      <c r="C32" s="64" t="s">
        <v>33</v>
      </c>
      <c r="D32" s="63" t="s">
        <v>130</v>
      </c>
      <c r="E32" s="65"/>
      <c r="F32" s="66">
        <v>2</v>
      </c>
      <c r="G32" s="66">
        <v>217.61</v>
      </c>
      <c r="H32" s="67">
        <f t="shared" si="1"/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63</v>
      </c>
      <c r="C33" s="64" t="s">
        <v>32</v>
      </c>
      <c r="D33" s="63" t="s">
        <v>130</v>
      </c>
      <c r="E33" s="65"/>
      <c r="F33" s="66">
        <v>1</v>
      </c>
      <c r="G33" s="66">
        <v>1292.47</v>
      </c>
      <c r="H33" s="67">
        <f t="shared" si="1"/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131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2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103</v>
      </c>
      <c r="C36" s="64" t="s">
        <v>29</v>
      </c>
      <c r="D36" s="63" t="s">
        <v>132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104</v>
      </c>
      <c r="C37" s="64" t="s">
        <v>105</v>
      </c>
      <c r="D37" s="63" t="s">
        <v>64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65</v>
      </c>
      <c r="C38" s="64" t="s">
        <v>29</v>
      </c>
      <c r="D38" s="63" t="s">
        <v>106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2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79</v>
      </c>
      <c r="C39" s="64" t="s">
        <v>98</v>
      </c>
      <c r="D39" s="63" t="s">
        <v>107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2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108</v>
      </c>
      <c r="C40" s="64" t="s">
        <v>98</v>
      </c>
      <c r="D40" s="63" t="s">
        <v>66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2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67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2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customHeight="1">
      <c r="A42" s="132" t="s">
        <v>135</v>
      </c>
      <c r="B42" s="133"/>
      <c r="C42" s="133"/>
      <c r="D42" s="133"/>
      <c r="E42" s="133"/>
      <c r="F42" s="133"/>
      <c r="G42" s="133"/>
      <c r="H42" s="133"/>
      <c r="I42" s="134"/>
      <c r="J42" s="23"/>
      <c r="L42" s="19"/>
      <c r="M42" s="20"/>
      <c r="N42" s="21"/>
    </row>
    <row r="43" spans="1:14" ht="15.75" customHeight="1">
      <c r="A43" s="29">
        <v>9</v>
      </c>
      <c r="B43" s="63" t="s">
        <v>109</v>
      </c>
      <c r="C43" s="64" t="s">
        <v>98</v>
      </c>
      <c r="D43" s="63" t="s">
        <v>177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3">SUM(F43*G43/1000)</f>
        <v>1.345267856</v>
      </c>
      <c r="I43" s="13">
        <f>F43/2*G43</f>
        <v>672.63392799999997</v>
      </c>
      <c r="J43" s="23"/>
      <c r="L43" s="19"/>
      <c r="M43" s="20"/>
      <c r="N43" s="21"/>
    </row>
    <row r="44" spans="1:14" ht="15.75" customHeight="1">
      <c r="A44" s="29">
        <v>10</v>
      </c>
      <c r="B44" s="63" t="s">
        <v>34</v>
      </c>
      <c r="C44" s="64" t="s">
        <v>98</v>
      </c>
      <c r="D44" s="63" t="s">
        <v>177</v>
      </c>
      <c r="E44" s="65">
        <v>61</v>
      </c>
      <c r="F44" s="66">
        <f>E44*2/1000</f>
        <v>0.122</v>
      </c>
      <c r="G44" s="13">
        <v>3832.4</v>
      </c>
      <c r="H44" s="67">
        <f t="shared" si="3"/>
        <v>0.46755279999999999</v>
      </c>
      <c r="I44" s="13">
        <f>F44/2*G44</f>
        <v>233.7764</v>
      </c>
      <c r="J44" s="23"/>
      <c r="L44" s="19"/>
      <c r="M44" s="20"/>
      <c r="N44" s="21"/>
    </row>
    <row r="45" spans="1:14" ht="15.75" customHeight="1">
      <c r="A45" s="29">
        <v>11</v>
      </c>
      <c r="B45" s="63" t="s">
        <v>35</v>
      </c>
      <c r="C45" s="64" t="s">
        <v>98</v>
      </c>
      <c r="D45" s="63" t="s">
        <v>177</v>
      </c>
      <c r="E45" s="65">
        <v>3135.64</v>
      </c>
      <c r="F45" s="66">
        <f>SUM(E45*2/1000)</f>
        <v>6.27128</v>
      </c>
      <c r="G45" s="13">
        <v>1564.24</v>
      </c>
      <c r="H45" s="67">
        <f t="shared" si="3"/>
        <v>9.8097870272000005</v>
      </c>
      <c r="I45" s="13">
        <f>F45/2*G45</f>
        <v>4904.8935136</v>
      </c>
      <c r="J45" s="23"/>
      <c r="L45" s="19"/>
      <c r="M45" s="20"/>
      <c r="N45" s="21"/>
    </row>
    <row r="46" spans="1:14" ht="15.75" customHeight="1">
      <c r="A46" s="29">
        <v>12</v>
      </c>
      <c r="B46" s="63" t="s">
        <v>36</v>
      </c>
      <c r="C46" s="64" t="s">
        <v>98</v>
      </c>
      <c r="D46" s="63" t="s">
        <v>177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3"/>
        <v>3.6199898183999997</v>
      </c>
      <c r="I46" s="13">
        <f>F46/2*G46</f>
        <v>1809.9949091999999</v>
      </c>
      <c r="J46" s="23"/>
      <c r="L46" s="19"/>
      <c r="M46" s="20"/>
      <c r="N46" s="21"/>
    </row>
    <row r="47" spans="1:14" ht="15.75" customHeight="1">
      <c r="A47" s="29">
        <v>13</v>
      </c>
      <c r="B47" s="63" t="s">
        <v>54</v>
      </c>
      <c r="C47" s="64" t="s">
        <v>98</v>
      </c>
      <c r="D47" s="63" t="s">
        <v>177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3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0.75" customHeight="1">
      <c r="A48" s="29">
        <v>14</v>
      </c>
      <c r="B48" s="63" t="s">
        <v>110</v>
      </c>
      <c r="C48" s="64" t="s">
        <v>98</v>
      </c>
      <c r="D48" s="63" t="s">
        <v>177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3"/>
        <v>1.6958488659999997</v>
      </c>
      <c r="I48" s="13">
        <f>G48*F48/2</f>
        <v>847.92443299999991</v>
      </c>
      <c r="J48" s="23"/>
      <c r="L48" s="19"/>
      <c r="M48" s="20"/>
      <c r="N48" s="21"/>
    </row>
    <row r="49" spans="1:22" ht="28.5" customHeight="1">
      <c r="A49" s="29">
        <v>15</v>
      </c>
      <c r="B49" s="63" t="s">
        <v>111</v>
      </c>
      <c r="C49" s="64" t="s">
        <v>37</v>
      </c>
      <c r="D49" s="63" t="s">
        <v>177</v>
      </c>
      <c r="E49" s="65">
        <v>20</v>
      </c>
      <c r="F49" s="66">
        <f>SUM(E49*2/100)</f>
        <v>0.4</v>
      </c>
      <c r="G49" s="13">
        <v>3519.56</v>
      </c>
      <c r="H49" s="67">
        <f t="shared" si="3"/>
        <v>1.407824</v>
      </c>
      <c r="I49" s="13">
        <f>G49*F49/2</f>
        <v>703.91200000000003</v>
      </c>
      <c r="J49" s="23"/>
      <c r="L49" s="19"/>
      <c r="M49" s="20"/>
      <c r="N49" s="21"/>
    </row>
    <row r="50" spans="1:22" ht="15.75" customHeight="1">
      <c r="A50" s="29">
        <v>16</v>
      </c>
      <c r="B50" s="63" t="s">
        <v>38</v>
      </c>
      <c r="C50" s="64" t="s">
        <v>39</v>
      </c>
      <c r="D50" s="63" t="s">
        <v>177</v>
      </c>
      <c r="E50" s="65">
        <v>1</v>
      </c>
      <c r="F50" s="66">
        <v>0.02</v>
      </c>
      <c r="G50" s="13">
        <v>6428.82</v>
      </c>
      <c r="H50" s="67">
        <f t="shared" si="3"/>
        <v>0.12857640000000001</v>
      </c>
      <c r="I50" s="13">
        <f>G50*F50/2</f>
        <v>64.288200000000003</v>
      </c>
      <c r="J50" s="23"/>
      <c r="L50" s="19"/>
      <c r="M50" s="20"/>
      <c r="N50" s="21"/>
    </row>
    <row r="51" spans="1:22" ht="15.75" hidden="1" customHeight="1">
      <c r="A51" s="29">
        <v>22</v>
      </c>
      <c r="B51" s="63" t="s">
        <v>40</v>
      </c>
      <c r="C51" s="64" t="s">
        <v>112</v>
      </c>
      <c r="D51" s="63" t="s">
        <v>68</v>
      </c>
      <c r="E51" s="65">
        <v>170</v>
      </c>
      <c r="F51" s="66">
        <f>SUM(E51)*3</f>
        <v>510</v>
      </c>
      <c r="G51" s="13">
        <v>74.709999999999994</v>
      </c>
      <c r="H51" s="67">
        <f t="shared" si="3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32" t="s">
        <v>136</v>
      </c>
      <c r="B52" s="133"/>
      <c r="C52" s="133"/>
      <c r="D52" s="133"/>
      <c r="E52" s="133"/>
      <c r="F52" s="133"/>
      <c r="G52" s="133"/>
      <c r="H52" s="133"/>
      <c r="I52" s="13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113</v>
      </c>
      <c r="C54" s="64" t="s">
        <v>88</v>
      </c>
      <c r="D54" s="63" t="s">
        <v>114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133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17</v>
      </c>
      <c r="B57" s="74" t="s">
        <v>85</v>
      </c>
      <c r="C57" s="73" t="s">
        <v>25</v>
      </c>
      <c r="D57" s="74" t="s">
        <v>177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hidden="1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131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45</v>
      </c>
      <c r="C59" s="16" t="s">
        <v>112</v>
      </c>
      <c r="D59" s="14" t="s">
        <v>64</v>
      </c>
      <c r="E59" s="18">
        <v>25</v>
      </c>
      <c r="F59" s="66">
        <v>25</v>
      </c>
      <c r="G59" s="13">
        <v>252.96</v>
      </c>
      <c r="H59" s="79">
        <f t="shared" ref="H59:H73" si="4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112</v>
      </c>
      <c r="D60" s="14" t="s">
        <v>64</v>
      </c>
      <c r="E60" s="18">
        <v>2</v>
      </c>
      <c r="F60" s="66">
        <v>2</v>
      </c>
      <c r="G60" s="13">
        <v>86.74</v>
      </c>
      <c r="H60" s="79">
        <f t="shared" si="4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>
        <v>25</v>
      </c>
      <c r="B61" s="14" t="s">
        <v>47</v>
      </c>
      <c r="C61" s="16" t="s">
        <v>115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4"/>
        <v>20.9746652</v>
      </c>
      <c r="I61" s="13">
        <f>F61*G61</f>
        <v>20974.665199999999</v>
      </c>
      <c r="J61" s="5"/>
      <c r="K61" s="5"/>
      <c r="L61" s="5"/>
      <c r="M61" s="5"/>
      <c r="N61" s="5"/>
      <c r="O61" s="5"/>
      <c r="P61" s="5"/>
      <c r="Q61" s="5"/>
      <c r="R61" s="138"/>
      <c r="S61" s="138"/>
      <c r="T61" s="138"/>
      <c r="U61" s="138"/>
    </row>
    <row r="62" spans="1:22" ht="15.75" hidden="1" customHeight="1">
      <c r="A62" s="29">
        <v>26</v>
      </c>
      <c r="B62" s="14" t="s">
        <v>48</v>
      </c>
      <c r="C62" s="16" t="s">
        <v>116</v>
      </c>
      <c r="D62" s="14" t="s">
        <v>52</v>
      </c>
      <c r="E62" s="65">
        <v>8692</v>
      </c>
      <c r="F62" s="13">
        <f>SUM(E62/1000)</f>
        <v>8.6920000000000002</v>
      </c>
      <c r="G62" s="13">
        <v>187.91</v>
      </c>
      <c r="H62" s="79">
        <f t="shared" si="4"/>
        <v>1.6333137200000001</v>
      </c>
      <c r="I62" s="13">
        <f>F62*G62</f>
        <v>1633.3137200000001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29">
        <v>27</v>
      </c>
      <c r="B63" s="14" t="s">
        <v>49</v>
      </c>
      <c r="C63" s="16" t="s">
        <v>74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4"/>
        <v>20.175605999999998</v>
      </c>
      <c r="I63" s="13">
        <f>F63*G63</f>
        <v>20175.606</v>
      </c>
    </row>
    <row r="64" spans="1:22" ht="15.75" hidden="1" customHeight="1">
      <c r="A64" s="29">
        <v>28</v>
      </c>
      <c r="B64" s="80" t="s">
        <v>117</v>
      </c>
      <c r="C64" s="16" t="s">
        <v>33</v>
      </c>
      <c r="D64" s="14" t="s">
        <v>52</v>
      </c>
      <c r="E64" s="65">
        <v>8.6</v>
      </c>
      <c r="F64" s="13">
        <f>SUM(E64)</f>
        <v>8.6</v>
      </c>
      <c r="G64" s="13">
        <v>42.67</v>
      </c>
      <c r="H64" s="79">
        <f t="shared" si="4"/>
        <v>0.36696200000000001</v>
      </c>
      <c r="I64" s="13">
        <f>F64*G64</f>
        <v>366.96199999999999</v>
      </c>
    </row>
    <row r="65" spans="1:9" ht="15.75" hidden="1" customHeight="1">
      <c r="A65" s="29">
        <v>29</v>
      </c>
      <c r="B65" s="80" t="s">
        <v>118</v>
      </c>
      <c r="C65" s="16" t="s">
        <v>33</v>
      </c>
      <c r="D65" s="14" t="s">
        <v>52</v>
      </c>
      <c r="E65" s="65">
        <v>8.6</v>
      </c>
      <c r="F65" s="13">
        <f>SUM(E65)</f>
        <v>8.6</v>
      </c>
      <c r="G65" s="13">
        <v>39.81</v>
      </c>
      <c r="H65" s="79">
        <f t="shared" si="4"/>
        <v>0.342366</v>
      </c>
      <c r="I65" s="13">
        <f>F65*G65</f>
        <v>342.36599999999999</v>
      </c>
    </row>
    <row r="66" spans="1:9" ht="15.75" hidden="1" customHeight="1">
      <c r="A66" s="29"/>
      <c r="B66" s="14" t="s">
        <v>55</v>
      </c>
      <c r="C66" s="16" t="s">
        <v>56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4"/>
        <v>0.28370000000000001</v>
      </c>
      <c r="I66" s="13">
        <v>0</v>
      </c>
    </row>
    <row r="67" spans="1:9" ht="15.75" hidden="1" customHeight="1">
      <c r="A67" s="29"/>
      <c r="B67" s="88" t="s">
        <v>69</v>
      </c>
      <c r="C67" s="16"/>
      <c r="D67" s="14"/>
      <c r="E67" s="18"/>
      <c r="F67" s="13"/>
      <c r="G67" s="13"/>
      <c r="H67" s="79" t="s">
        <v>131</v>
      </c>
      <c r="I67" s="13"/>
    </row>
    <row r="68" spans="1:9" ht="15.75" hidden="1" customHeight="1">
      <c r="A68" s="29"/>
      <c r="B68" s="14" t="s">
        <v>124</v>
      </c>
      <c r="C68" s="16" t="s">
        <v>125</v>
      </c>
      <c r="D68" s="14"/>
      <c r="E68" s="18">
        <v>4</v>
      </c>
      <c r="F68" s="13">
        <f>E68</f>
        <v>4</v>
      </c>
      <c r="G68" s="13">
        <v>113.57</v>
      </c>
      <c r="H68" s="79">
        <f t="shared" si="4"/>
        <v>0.45427999999999996</v>
      </c>
      <c r="I68" s="13">
        <v>0</v>
      </c>
    </row>
    <row r="69" spans="1:9" ht="15.75" hidden="1" customHeight="1">
      <c r="A69" s="29">
        <v>24</v>
      </c>
      <c r="B69" s="14" t="s">
        <v>70</v>
      </c>
      <c r="C69" s="16" t="s">
        <v>72</v>
      </c>
      <c r="D69" s="14"/>
      <c r="E69" s="18">
        <v>20</v>
      </c>
      <c r="F69" s="13">
        <v>2</v>
      </c>
      <c r="G69" s="13">
        <v>570.54</v>
      </c>
      <c r="H69" s="79">
        <f t="shared" si="4"/>
        <v>1.1410799999999999</v>
      </c>
      <c r="I69" s="13">
        <f>G69*2.4</f>
        <v>1369.2959999999998</v>
      </c>
    </row>
    <row r="70" spans="1:9" ht="15.75" hidden="1" customHeight="1">
      <c r="A70" s="29"/>
      <c r="B70" s="14" t="s">
        <v>71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82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73</v>
      </c>
      <c r="C72" s="16"/>
      <c r="D72" s="14"/>
      <c r="E72" s="18"/>
      <c r="F72" s="13"/>
      <c r="G72" s="13" t="s">
        <v>131</v>
      </c>
      <c r="H72" s="79" t="s">
        <v>131</v>
      </c>
      <c r="I72" s="13"/>
    </row>
    <row r="73" spans="1:9" ht="15.75" hidden="1" customHeight="1">
      <c r="A73" s="29"/>
      <c r="B73" s="43" t="s">
        <v>121</v>
      </c>
      <c r="C73" s="16" t="s">
        <v>74</v>
      </c>
      <c r="D73" s="14"/>
      <c r="E73" s="18"/>
      <c r="F73" s="13">
        <v>1</v>
      </c>
      <c r="G73" s="13">
        <v>3138.63</v>
      </c>
      <c r="H73" s="79">
        <f t="shared" si="4"/>
        <v>3.13863</v>
      </c>
      <c r="I73" s="13">
        <v>0</v>
      </c>
    </row>
    <row r="74" spans="1:9" ht="15.75" hidden="1" customHeight="1">
      <c r="A74" s="29"/>
      <c r="B74" s="55" t="s">
        <v>119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120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32" t="s">
        <v>137</v>
      </c>
      <c r="B76" s="133"/>
      <c r="C76" s="133"/>
      <c r="D76" s="133"/>
      <c r="E76" s="133"/>
      <c r="F76" s="133"/>
      <c r="G76" s="133"/>
      <c r="H76" s="133"/>
      <c r="I76" s="134"/>
    </row>
    <row r="77" spans="1:9" ht="15.75" customHeight="1">
      <c r="A77" s="29">
        <v>18</v>
      </c>
      <c r="B77" s="63" t="s">
        <v>122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19</v>
      </c>
      <c r="B78" s="14" t="s">
        <v>75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77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I78+I77+I57+I50+I49+I48+I47+I46+I45+I44+I43+I31+I30+I29+I28+I25+I18+I17+I16</f>
        <v>49697.835821833331</v>
      </c>
    </row>
    <row r="80" spans="1:9" ht="15.75" customHeight="1">
      <c r="A80" s="146" t="s">
        <v>58</v>
      </c>
      <c r="B80" s="147"/>
      <c r="C80" s="147"/>
      <c r="D80" s="147"/>
      <c r="E80" s="147"/>
      <c r="F80" s="147"/>
      <c r="G80" s="147"/>
      <c r="H80" s="147"/>
      <c r="I80" s="148"/>
    </row>
    <row r="81" spans="1:9" ht="16.5" customHeight="1">
      <c r="A81" s="29">
        <v>20</v>
      </c>
      <c r="B81" s="98" t="s">
        <v>157</v>
      </c>
      <c r="C81" s="108" t="s">
        <v>153</v>
      </c>
      <c r="D81" s="48"/>
      <c r="E81" s="34"/>
      <c r="F81" s="34">
        <f>13+12+7</f>
        <v>32</v>
      </c>
      <c r="G81" s="34">
        <v>284</v>
      </c>
      <c r="H81" s="79">
        <f>G81*F81/1000</f>
        <v>9.0879999999999992</v>
      </c>
      <c r="I81" s="85">
        <f>G81*7</f>
        <v>1988</v>
      </c>
    </row>
    <row r="82" spans="1:9" ht="30" customHeight="1">
      <c r="A82" s="29">
        <v>21</v>
      </c>
      <c r="B82" s="98" t="s">
        <v>163</v>
      </c>
      <c r="C82" s="49" t="s">
        <v>37</v>
      </c>
      <c r="D82" s="48"/>
      <c r="E82" s="34"/>
      <c r="F82" s="34">
        <v>0.02</v>
      </c>
      <c r="G82" s="34">
        <v>4070.89</v>
      </c>
      <c r="H82" s="79"/>
      <c r="I82" s="85">
        <f>G82*0.01</f>
        <v>40.7089</v>
      </c>
    </row>
    <row r="83" spans="1:9" ht="16.5" customHeight="1">
      <c r="A83" s="29">
        <v>22</v>
      </c>
      <c r="B83" s="106" t="s">
        <v>225</v>
      </c>
      <c r="C83" s="107" t="s">
        <v>90</v>
      </c>
      <c r="D83" s="48" t="s">
        <v>198</v>
      </c>
      <c r="E83" s="34"/>
      <c r="F83" s="34">
        <v>0.06</v>
      </c>
      <c r="G83" s="34">
        <v>2638.36</v>
      </c>
      <c r="H83" s="79"/>
      <c r="I83" s="85">
        <f>G83*0.06</f>
        <v>158.30160000000001</v>
      </c>
    </row>
    <row r="84" spans="1:9" ht="15.75" customHeight="1">
      <c r="A84" s="29"/>
      <c r="B84" s="41" t="s">
        <v>50</v>
      </c>
      <c r="C84" s="37"/>
      <c r="D84" s="45"/>
      <c r="E84" s="37">
        <v>1</v>
      </c>
      <c r="F84" s="37"/>
      <c r="G84" s="37"/>
      <c r="H84" s="37"/>
      <c r="I84" s="32">
        <f>SUM(I81:I83)</f>
        <v>2187.0105000000003</v>
      </c>
    </row>
    <row r="85" spans="1:9" ht="15.75" customHeight="1">
      <c r="A85" s="29"/>
      <c r="B85" s="43" t="s">
        <v>76</v>
      </c>
      <c r="C85" s="15"/>
      <c r="D85" s="15"/>
      <c r="E85" s="38"/>
      <c r="F85" s="38"/>
      <c r="G85" s="39"/>
      <c r="H85" s="39"/>
      <c r="I85" s="17">
        <v>0</v>
      </c>
    </row>
    <row r="86" spans="1:9" ht="15.75" customHeight="1">
      <c r="A86" s="46"/>
      <c r="B86" s="42" t="s">
        <v>151</v>
      </c>
      <c r="C86" s="33"/>
      <c r="D86" s="33"/>
      <c r="E86" s="33"/>
      <c r="F86" s="33"/>
      <c r="G86" s="33"/>
      <c r="H86" s="33"/>
      <c r="I86" s="40">
        <f>I79+I84</f>
        <v>51884.846321833335</v>
      </c>
    </row>
    <row r="87" spans="1:9" ht="15.75">
      <c r="A87" s="145" t="s">
        <v>226</v>
      </c>
      <c r="B87" s="145"/>
      <c r="C87" s="145"/>
      <c r="D87" s="145"/>
      <c r="E87" s="145"/>
      <c r="F87" s="145"/>
      <c r="G87" s="145"/>
      <c r="H87" s="145"/>
      <c r="I87" s="145"/>
    </row>
    <row r="88" spans="1:9" ht="15.75">
      <c r="A88" s="56"/>
      <c r="B88" s="140" t="s">
        <v>227</v>
      </c>
      <c r="C88" s="140"/>
      <c r="D88" s="140"/>
      <c r="E88" s="140"/>
      <c r="F88" s="140"/>
      <c r="G88" s="140"/>
      <c r="H88" s="61"/>
      <c r="I88" s="3"/>
    </row>
    <row r="89" spans="1:9">
      <c r="A89" s="53"/>
      <c r="B89" s="136" t="s">
        <v>6</v>
      </c>
      <c r="C89" s="136"/>
      <c r="D89" s="136"/>
      <c r="E89" s="136"/>
      <c r="F89" s="136"/>
      <c r="G89" s="136"/>
      <c r="H89" s="24"/>
      <c r="I89" s="5"/>
    </row>
    <row r="90" spans="1:9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41" t="s">
        <v>7</v>
      </c>
      <c r="B91" s="141"/>
      <c r="C91" s="141"/>
      <c r="D91" s="141"/>
      <c r="E91" s="141"/>
      <c r="F91" s="141"/>
      <c r="G91" s="141"/>
      <c r="H91" s="141"/>
      <c r="I91" s="141"/>
    </row>
    <row r="92" spans="1:9" ht="15.75">
      <c r="A92" s="141" t="s">
        <v>8</v>
      </c>
      <c r="B92" s="141"/>
      <c r="C92" s="141"/>
      <c r="D92" s="141"/>
      <c r="E92" s="141"/>
      <c r="F92" s="141"/>
      <c r="G92" s="141"/>
      <c r="H92" s="141"/>
      <c r="I92" s="141"/>
    </row>
    <row r="93" spans="1:9" ht="15.75">
      <c r="A93" s="142" t="s">
        <v>59</v>
      </c>
      <c r="B93" s="142"/>
      <c r="C93" s="142"/>
      <c r="D93" s="142"/>
      <c r="E93" s="142"/>
      <c r="F93" s="142"/>
      <c r="G93" s="142"/>
      <c r="H93" s="142"/>
      <c r="I93" s="142"/>
    </row>
    <row r="94" spans="1:9" ht="15.75">
      <c r="A94" s="11"/>
    </row>
    <row r="95" spans="1:9" ht="15.75">
      <c r="A95" s="143" t="s">
        <v>9</v>
      </c>
      <c r="B95" s="143"/>
      <c r="C95" s="143"/>
      <c r="D95" s="143"/>
      <c r="E95" s="143"/>
      <c r="F95" s="143"/>
      <c r="G95" s="143"/>
      <c r="H95" s="143"/>
      <c r="I95" s="143"/>
    </row>
    <row r="96" spans="1:9" ht="15.75">
      <c r="A96" s="4"/>
    </row>
    <row r="97" spans="1:9" ht="15.75">
      <c r="B97" s="51" t="s">
        <v>10</v>
      </c>
      <c r="C97" s="135" t="s">
        <v>84</v>
      </c>
      <c r="D97" s="135"/>
      <c r="E97" s="135"/>
      <c r="F97" s="59"/>
      <c r="I97" s="52"/>
    </row>
    <row r="98" spans="1:9">
      <c r="A98" s="53"/>
      <c r="C98" s="136" t="s">
        <v>11</v>
      </c>
      <c r="D98" s="136"/>
      <c r="E98" s="136"/>
      <c r="F98" s="24"/>
      <c r="I98" s="50" t="s">
        <v>12</v>
      </c>
    </row>
    <row r="99" spans="1:9" ht="15.75">
      <c r="A99" s="25"/>
      <c r="C99" s="12"/>
      <c r="D99" s="12"/>
      <c r="G99" s="12"/>
      <c r="H99" s="12"/>
    </row>
    <row r="100" spans="1:9" ht="15.75">
      <c r="B100" s="51" t="s">
        <v>13</v>
      </c>
      <c r="C100" s="137"/>
      <c r="D100" s="137"/>
      <c r="E100" s="137"/>
      <c r="F100" s="60"/>
      <c r="I100" s="52"/>
    </row>
    <row r="101" spans="1:9">
      <c r="A101" s="53"/>
      <c r="C101" s="138" t="s">
        <v>11</v>
      </c>
      <c r="D101" s="138"/>
      <c r="E101" s="138"/>
      <c r="F101" s="53"/>
      <c r="I101" s="50" t="s">
        <v>12</v>
      </c>
    </row>
    <row r="102" spans="1:9" ht="15.75">
      <c r="A102" s="4" t="s">
        <v>14</v>
      </c>
    </row>
    <row r="103" spans="1:9">
      <c r="A103" s="139" t="s">
        <v>15</v>
      </c>
      <c r="B103" s="139"/>
      <c r="C103" s="139"/>
      <c r="D103" s="139"/>
      <c r="E103" s="139"/>
      <c r="F103" s="139"/>
      <c r="G103" s="139"/>
      <c r="H103" s="139"/>
      <c r="I103" s="139"/>
    </row>
    <row r="104" spans="1:9" ht="45" customHeight="1">
      <c r="A104" s="131" t="s">
        <v>16</v>
      </c>
      <c r="B104" s="131"/>
      <c r="C104" s="131"/>
      <c r="D104" s="131"/>
      <c r="E104" s="131"/>
      <c r="F104" s="131"/>
      <c r="G104" s="131"/>
      <c r="H104" s="131"/>
      <c r="I104" s="131"/>
    </row>
    <row r="105" spans="1:9" ht="30" customHeight="1">
      <c r="A105" s="131" t="s">
        <v>17</v>
      </c>
      <c r="B105" s="131"/>
      <c r="C105" s="131"/>
      <c r="D105" s="131"/>
      <c r="E105" s="131"/>
      <c r="F105" s="131"/>
      <c r="G105" s="131"/>
      <c r="H105" s="131"/>
      <c r="I105" s="131"/>
    </row>
    <row r="106" spans="1:9" ht="30" customHeight="1">
      <c r="A106" s="131" t="s">
        <v>21</v>
      </c>
      <c r="B106" s="131"/>
      <c r="C106" s="131"/>
      <c r="D106" s="131"/>
      <c r="E106" s="131"/>
      <c r="F106" s="131"/>
      <c r="G106" s="131"/>
      <c r="H106" s="131"/>
      <c r="I106" s="131"/>
    </row>
    <row r="107" spans="1:9" ht="15" customHeight="1">
      <c r="A107" s="131" t="s">
        <v>20</v>
      </c>
      <c r="B107" s="131"/>
      <c r="C107" s="131"/>
      <c r="D107" s="131"/>
      <c r="E107" s="131"/>
      <c r="F107" s="131"/>
      <c r="G107" s="131"/>
      <c r="H107" s="131"/>
      <c r="I107" s="13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93:I93"/>
    <mergeCell ref="A15:I15"/>
    <mergeCell ref="A26:I26"/>
    <mergeCell ref="A42:I42"/>
    <mergeCell ref="A52:I52"/>
    <mergeCell ref="A87:I87"/>
    <mergeCell ref="B88:G88"/>
    <mergeCell ref="B89:G89"/>
    <mergeCell ref="A91:I91"/>
    <mergeCell ref="A92:I92"/>
    <mergeCell ref="A80:I80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9"/>
  <sheetViews>
    <sheetView topLeftCell="A13" workbookViewId="0">
      <selection activeCell="K86" sqref="K86"/>
    </sheetView>
  </sheetViews>
  <sheetFormatPr defaultRowHeight="15"/>
  <cols>
    <col min="1" max="1" width="7.5703125" customWidth="1"/>
    <col min="2" max="2" width="53.140625" customWidth="1"/>
    <col min="3" max="4" width="18.42578125" customWidth="1"/>
    <col min="5" max="5" width="18.85546875" hidden="1" customWidth="1"/>
    <col min="6" max="6" width="9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144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231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89">
        <v>44012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customHeight="1">
      <c r="A19" s="29">
        <v>4</v>
      </c>
      <c r="B19" s="63" t="s">
        <v>89</v>
      </c>
      <c r="C19" s="64" t="s">
        <v>90</v>
      </c>
      <c r="D19" s="63" t="s">
        <v>177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f>G19*F19</f>
        <v>278.71199999999999</v>
      </c>
      <c r="J19" s="22"/>
      <c r="K19" s="8"/>
      <c r="L19" s="8"/>
      <c r="M19" s="8"/>
    </row>
    <row r="20" spans="1:13" ht="15.75" customHeight="1">
      <c r="A20" s="29">
        <v>5</v>
      </c>
      <c r="B20" s="63" t="s">
        <v>92</v>
      </c>
      <c r="C20" s="64" t="s">
        <v>88</v>
      </c>
      <c r="D20" s="63" t="s">
        <v>177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f>G20*F20/2</f>
        <v>36.280847999999999</v>
      </c>
      <c r="J20" s="22"/>
      <c r="K20" s="8"/>
      <c r="L20" s="8"/>
      <c r="M20" s="8"/>
    </row>
    <row r="21" spans="1:13" ht="15.75" customHeight="1">
      <c r="A21" s="29">
        <v>6</v>
      </c>
      <c r="B21" s="63" t="s">
        <v>93</v>
      </c>
      <c r="C21" s="64" t="s">
        <v>88</v>
      </c>
      <c r="D21" s="63" t="s">
        <v>177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f>G21*F21/2</f>
        <v>24.777647999999999</v>
      </c>
      <c r="J21" s="22"/>
      <c r="K21" s="8"/>
      <c r="L21" s="8"/>
      <c r="M21" s="8"/>
    </row>
    <row r="22" spans="1:13" ht="15.75" customHeight="1">
      <c r="A22" s="29">
        <v>7</v>
      </c>
      <c r="B22" s="63" t="s">
        <v>94</v>
      </c>
      <c r="C22" s="64" t="s">
        <v>51</v>
      </c>
      <c r="D22" s="63" t="s">
        <v>177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f>G22*F22</f>
        <v>650.03684999999996</v>
      </c>
      <c r="J22" s="22"/>
      <c r="K22" s="8"/>
      <c r="L22" s="8"/>
      <c r="M22" s="8"/>
    </row>
    <row r="23" spans="1:13" ht="15.75" customHeight="1">
      <c r="A23" s="29">
        <v>8</v>
      </c>
      <c r="B23" s="63" t="s">
        <v>95</v>
      </c>
      <c r="C23" s="64" t="s">
        <v>51</v>
      </c>
      <c r="D23" s="63" t="s">
        <v>177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f>G23*F23</f>
        <v>23.47242</v>
      </c>
      <c r="J23" s="22"/>
      <c r="K23" s="8"/>
      <c r="L23" s="8"/>
      <c r="M23" s="8"/>
    </row>
    <row r="24" spans="1:13" ht="15.75" customHeight="1">
      <c r="A24" s="29">
        <v>9</v>
      </c>
      <c r="B24" s="63" t="s">
        <v>96</v>
      </c>
      <c r="C24" s="64" t="s">
        <v>51</v>
      </c>
      <c r="D24" s="63" t="s">
        <v>181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f>G24*F24</f>
        <v>11.8474</v>
      </c>
      <c r="J24" s="22"/>
      <c r="K24" s="8"/>
      <c r="L24" s="8"/>
      <c r="M24" s="8"/>
    </row>
    <row r="25" spans="1:13" ht="15.75" customHeight="1">
      <c r="A25" s="29">
        <v>10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32" t="s">
        <v>80</v>
      </c>
      <c r="B26" s="133"/>
      <c r="C26" s="133"/>
      <c r="D26" s="133"/>
      <c r="E26" s="133"/>
      <c r="F26" s="133"/>
      <c r="G26" s="133"/>
      <c r="H26" s="133"/>
      <c r="I26" s="13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11</v>
      </c>
      <c r="B28" s="63" t="s">
        <v>97</v>
      </c>
      <c r="C28" s="64" t="s">
        <v>127</v>
      </c>
      <c r="D28" s="63" t="s">
        <v>170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3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12</v>
      </c>
      <c r="B29" s="63" t="s">
        <v>138</v>
      </c>
      <c r="C29" s="64" t="s">
        <v>98</v>
      </c>
      <c r="D29" s="63" t="s">
        <v>169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98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13</v>
      </c>
      <c r="B31" s="63" t="s">
        <v>101</v>
      </c>
      <c r="C31" s="64" t="s">
        <v>39</v>
      </c>
      <c r="D31" s="63" t="s">
        <v>174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62</v>
      </c>
      <c r="C32" s="64" t="s">
        <v>33</v>
      </c>
      <c r="D32" s="63" t="s">
        <v>130</v>
      </c>
      <c r="E32" s="65"/>
      <c r="F32" s="66">
        <v>2</v>
      </c>
      <c r="G32" s="66">
        <v>217.61</v>
      </c>
      <c r="H32" s="67">
        <f t="shared" si="1"/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63</v>
      </c>
      <c r="C33" s="64" t="s">
        <v>32</v>
      </c>
      <c r="D33" s="63" t="s">
        <v>130</v>
      </c>
      <c r="E33" s="65"/>
      <c r="F33" s="66">
        <v>1</v>
      </c>
      <c r="G33" s="66">
        <v>1292.47</v>
      </c>
      <c r="H33" s="67">
        <f t="shared" si="1"/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131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2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103</v>
      </c>
      <c r="C36" s="64" t="s">
        <v>29</v>
      </c>
      <c r="D36" s="63" t="s">
        <v>132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104</v>
      </c>
      <c r="C37" s="64" t="s">
        <v>105</v>
      </c>
      <c r="D37" s="63" t="s">
        <v>64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65</v>
      </c>
      <c r="C38" s="64" t="s">
        <v>29</v>
      </c>
      <c r="D38" s="63" t="s">
        <v>106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2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16.5" hidden="1" customHeight="1">
      <c r="A39" s="72">
        <v>9</v>
      </c>
      <c r="B39" s="63" t="s">
        <v>79</v>
      </c>
      <c r="C39" s="64" t="s">
        <v>98</v>
      </c>
      <c r="D39" s="63" t="s">
        <v>107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2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2" hidden="1" customHeight="1">
      <c r="A40" s="29">
        <v>10</v>
      </c>
      <c r="B40" s="63" t="s">
        <v>108</v>
      </c>
      <c r="C40" s="64" t="s">
        <v>98</v>
      </c>
      <c r="D40" s="63" t="s">
        <v>66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2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3.5" hidden="1" customHeight="1">
      <c r="A41" s="29">
        <v>11</v>
      </c>
      <c r="B41" s="63" t="s">
        <v>67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2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customHeight="1">
      <c r="A42" s="132" t="s">
        <v>135</v>
      </c>
      <c r="B42" s="133"/>
      <c r="C42" s="133"/>
      <c r="D42" s="133"/>
      <c r="E42" s="133"/>
      <c r="F42" s="133"/>
      <c r="G42" s="133"/>
      <c r="H42" s="133"/>
      <c r="I42" s="134"/>
      <c r="J42" s="23"/>
      <c r="L42" s="19"/>
      <c r="M42" s="20"/>
      <c r="N42" s="21"/>
    </row>
    <row r="43" spans="1:14" ht="15.75" hidden="1" customHeight="1">
      <c r="A43" s="29"/>
      <c r="B43" s="63" t="s">
        <v>109</v>
      </c>
      <c r="C43" s="64" t="s">
        <v>98</v>
      </c>
      <c r="D43" s="63" t="s">
        <v>41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3">SUM(F43*G43/1000)</f>
        <v>1.345267856</v>
      </c>
      <c r="I43" s="13">
        <v>0</v>
      </c>
      <c r="J43" s="23"/>
      <c r="L43" s="19"/>
      <c r="M43" s="20"/>
      <c r="N43" s="21"/>
    </row>
    <row r="44" spans="1:14" ht="15.75" hidden="1" customHeight="1">
      <c r="A44" s="29"/>
      <c r="B44" s="63" t="s">
        <v>34</v>
      </c>
      <c r="C44" s="64" t="s">
        <v>98</v>
      </c>
      <c r="D44" s="63" t="s">
        <v>41</v>
      </c>
      <c r="E44" s="65">
        <v>61</v>
      </c>
      <c r="F44" s="66">
        <f>E44*2/1000</f>
        <v>0.122</v>
      </c>
      <c r="G44" s="13">
        <v>3832.4</v>
      </c>
      <c r="H44" s="67">
        <f t="shared" si="3"/>
        <v>0.46755279999999999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3" t="s">
        <v>35</v>
      </c>
      <c r="C45" s="64" t="s">
        <v>98</v>
      </c>
      <c r="D45" s="63" t="s">
        <v>41</v>
      </c>
      <c r="E45" s="65">
        <v>3135.64</v>
      </c>
      <c r="F45" s="66">
        <f>SUM(E45*2/1000)</f>
        <v>6.27128</v>
      </c>
      <c r="G45" s="13">
        <v>1564.24</v>
      </c>
      <c r="H45" s="67">
        <f t="shared" si="3"/>
        <v>9.8097870272000005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36</v>
      </c>
      <c r="C46" s="64" t="s">
        <v>98</v>
      </c>
      <c r="D46" s="63" t="s">
        <v>41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3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3" t="s">
        <v>54</v>
      </c>
      <c r="C47" s="64" t="s">
        <v>98</v>
      </c>
      <c r="D47" s="63" t="s">
        <v>139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3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hidden="1" customHeight="1">
      <c r="A48" s="29"/>
      <c r="B48" s="63" t="s">
        <v>110</v>
      </c>
      <c r="C48" s="64" t="s">
        <v>98</v>
      </c>
      <c r="D48" s="63" t="s">
        <v>41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3"/>
        <v>1.6958488659999997</v>
      </c>
      <c r="I48" s="13">
        <v>0</v>
      </c>
      <c r="J48" s="23"/>
      <c r="L48" s="19"/>
      <c r="M48" s="20"/>
      <c r="N48" s="21"/>
    </row>
    <row r="49" spans="1:22" ht="31.5" hidden="1" customHeight="1">
      <c r="A49" s="44"/>
      <c r="B49" s="63" t="s">
        <v>111</v>
      </c>
      <c r="C49" s="64" t="s">
        <v>37</v>
      </c>
      <c r="D49" s="63" t="s">
        <v>41</v>
      </c>
      <c r="E49" s="65">
        <v>20</v>
      </c>
      <c r="F49" s="66">
        <f>SUM(E49*2/100)</f>
        <v>0.4</v>
      </c>
      <c r="G49" s="13">
        <v>3519.56</v>
      </c>
      <c r="H49" s="67">
        <f t="shared" si="3"/>
        <v>1.407824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6428.82</v>
      </c>
      <c r="H50" s="67">
        <f t="shared" si="3"/>
        <v>0.12857640000000001</v>
      </c>
      <c r="I50" s="13">
        <v>0</v>
      </c>
      <c r="J50" s="23"/>
      <c r="L50" s="19"/>
      <c r="M50" s="20"/>
      <c r="N50" s="21"/>
    </row>
    <row r="51" spans="1:22" ht="15.75" customHeight="1">
      <c r="A51" s="29">
        <v>14</v>
      </c>
      <c r="B51" s="63" t="s">
        <v>40</v>
      </c>
      <c r="C51" s="64" t="s">
        <v>112</v>
      </c>
      <c r="D51" s="113">
        <v>43997</v>
      </c>
      <c r="E51" s="65">
        <v>170</v>
      </c>
      <c r="F51" s="66">
        <f>SUM(E51)*3</f>
        <v>510</v>
      </c>
      <c r="G51" s="13">
        <v>74.709999999999994</v>
      </c>
      <c r="H51" s="67">
        <f t="shared" si="3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32" t="s">
        <v>136</v>
      </c>
      <c r="B52" s="133"/>
      <c r="C52" s="133"/>
      <c r="D52" s="133"/>
      <c r="E52" s="133"/>
      <c r="F52" s="133"/>
      <c r="G52" s="133"/>
      <c r="H52" s="133"/>
      <c r="I52" s="13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113</v>
      </c>
      <c r="C54" s="64" t="s">
        <v>88</v>
      </c>
      <c r="D54" s="63" t="s">
        <v>114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133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15</v>
      </c>
      <c r="B57" s="74" t="s">
        <v>85</v>
      </c>
      <c r="C57" s="73" t="s">
        <v>25</v>
      </c>
      <c r="D57" s="74" t="s">
        <v>178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hidden="1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131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45</v>
      </c>
      <c r="C59" s="16" t="s">
        <v>112</v>
      </c>
      <c r="D59" s="14" t="s">
        <v>64</v>
      </c>
      <c r="E59" s="18">
        <v>25</v>
      </c>
      <c r="F59" s="66">
        <v>25</v>
      </c>
      <c r="G59" s="13">
        <v>252.96</v>
      </c>
      <c r="H59" s="79">
        <f t="shared" ref="H59:H73" si="4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112</v>
      </c>
      <c r="D60" s="14" t="s">
        <v>64</v>
      </c>
      <c r="E60" s="18">
        <v>2</v>
      </c>
      <c r="F60" s="66">
        <v>2</v>
      </c>
      <c r="G60" s="13">
        <v>86.74</v>
      </c>
      <c r="H60" s="79">
        <f t="shared" si="4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47</v>
      </c>
      <c r="C61" s="16" t="s">
        <v>115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4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38"/>
      <c r="S61" s="138"/>
      <c r="T61" s="138"/>
      <c r="U61" s="138"/>
    </row>
    <row r="62" spans="1:22" ht="15.75" hidden="1" customHeight="1">
      <c r="A62" s="29"/>
      <c r="B62" s="14" t="s">
        <v>48</v>
      </c>
      <c r="C62" s="16" t="s">
        <v>116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4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49</v>
      </c>
      <c r="C63" s="16" t="s">
        <v>74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4"/>
        <v>20.175605999999998</v>
      </c>
      <c r="I63" s="13">
        <v>0</v>
      </c>
    </row>
    <row r="64" spans="1:22" ht="15.75" hidden="1" customHeight="1">
      <c r="A64" s="29"/>
      <c r="B64" s="80" t="s">
        <v>117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4"/>
        <v>0.36696200000000001</v>
      </c>
      <c r="I64" s="13">
        <v>0</v>
      </c>
    </row>
    <row r="65" spans="1:9" ht="15.75" hidden="1" customHeight="1">
      <c r="A65" s="29"/>
      <c r="B65" s="80" t="s">
        <v>118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4"/>
        <v>0.342366</v>
      </c>
      <c r="I65" s="13">
        <v>0</v>
      </c>
    </row>
    <row r="66" spans="1:9" ht="15.75" hidden="1" customHeight="1">
      <c r="A66" s="29"/>
      <c r="B66" s="14" t="s">
        <v>55</v>
      </c>
      <c r="C66" s="16" t="s">
        <v>56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4"/>
        <v>0.28370000000000001</v>
      </c>
      <c r="I66" s="13">
        <v>0</v>
      </c>
    </row>
    <row r="67" spans="1:9" ht="15.75" customHeight="1">
      <c r="A67" s="29"/>
      <c r="B67" s="88" t="s">
        <v>69</v>
      </c>
      <c r="C67" s="16"/>
      <c r="D67" s="14"/>
      <c r="E67" s="18"/>
      <c r="F67" s="13"/>
      <c r="G67" s="13"/>
      <c r="H67" s="79" t="s">
        <v>131</v>
      </c>
      <c r="I67" s="13"/>
    </row>
    <row r="68" spans="1:9" ht="15.75" hidden="1" customHeight="1">
      <c r="A68" s="29"/>
      <c r="B68" s="14" t="s">
        <v>124</v>
      </c>
      <c r="C68" s="16" t="s">
        <v>125</v>
      </c>
      <c r="D68" s="14"/>
      <c r="E68" s="18">
        <v>4</v>
      </c>
      <c r="F68" s="13">
        <f>E68</f>
        <v>4</v>
      </c>
      <c r="G68" s="13">
        <v>113.57</v>
      </c>
      <c r="H68" s="79">
        <f t="shared" si="4"/>
        <v>0.45427999999999996</v>
      </c>
      <c r="I68" s="13">
        <v>0</v>
      </c>
    </row>
    <row r="69" spans="1:9" ht="15.75" customHeight="1">
      <c r="A69" s="29">
        <v>16</v>
      </c>
      <c r="B69" s="14" t="s">
        <v>70</v>
      </c>
      <c r="C69" s="16" t="s">
        <v>72</v>
      </c>
      <c r="D69" s="14" t="s">
        <v>232</v>
      </c>
      <c r="E69" s="18">
        <v>20</v>
      </c>
      <c r="F69" s="13">
        <v>2</v>
      </c>
      <c r="G69" s="13">
        <v>570.54</v>
      </c>
      <c r="H69" s="79">
        <f t="shared" si="4"/>
        <v>1.1410799999999999</v>
      </c>
      <c r="I69" s="13">
        <f>G69*2.3</f>
        <v>1312.2419999999997</v>
      </c>
    </row>
    <row r="70" spans="1:9" ht="15.75" hidden="1" customHeight="1">
      <c r="A70" s="29"/>
      <c r="B70" s="14" t="s">
        <v>71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82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73</v>
      </c>
      <c r="C72" s="16"/>
      <c r="D72" s="14"/>
      <c r="E72" s="18"/>
      <c r="F72" s="13"/>
      <c r="G72" s="13" t="s">
        <v>131</v>
      </c>
      <c r="H72" s="79" t="s">
        <v>131</v>
      </c>
      <c r="I72" s="13"/>
    </row>
    <row r="73" spans="1:9" ht="15.75" hidden="1" customHeight="1">
      <c r="A73" s="29"/>
      <c r="B73" s="43" t="s">
        <v>121</v>
      </c>
      <c r="C73" s="16" t="s">
        <v>74</v>
      </c>
      <c r="D73" s="14"/>
      <c r="E73" s="18"/>
      <c r="F73" s="13">
        <v>1</v>
      </c>
      <c r="G73" s="13">
        <v>3138.63</v>
      </c>
      <c r="H73" s="79">
        <f t="shared" si="4"/>
        <v>3.13863</v>
      </c>
      <c r="I73" s="13">
        <v>0</v>
      </c>
    </row>
    <row r="74" spans="1:9" ht="15.75" hidden="1" customHeight="1">
      <c r="A74" s="29"/>
      <c r="B74" s="55" t="s">
        <v>119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120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32" t="s">
        <v>137</v>
      </c>
      <c r="B76" s="133"/>
      <c r="C76" s="133"/>
      <c r="D76" s="133"/>
      <c r="E76" s="133"/>
      <c r="F76" s="133"/>
      <c r="G76" s="133"/>
      <c r="H76" s="133"/>
      <c r="I76" s="134"/>
    </row>
    <row r="77" spans="1:9" ht="15.75" customHeight="1">
      <c r="A77" s="29">
        <v>17</v>
      </c>
      <c r="B77" s="63" t="s">
        <v>122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18</v>
      </c>
      <c r="B78" s="14" t="s">
        <v>75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77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I78+I77+I69+I57+I51+I31+I29+I28+I25+I24+I23+I22+I21+I20+I19+I18+I17+I16</f>
        <v>45788.598525033325</v>
      </c>
    </row>
    <row r="80" spans="1:9" ht="15.75" customHeight="1">
      <c r="A80" s="146" t="s">
        <v>58</v>
      </c>
      <c r="B80" s="147"/>
      <c r="C80" s="147"/>
      <c r="D80" s="147"/>
      <c r="E80" s="147"/>
      <c r="F80" s="147"/>
      <c r="G80" s="147"/>
      <c r="H80" s="147"/>
      <c r="I80" s="148"/>
    </row>
    <row r="81" spans="1:9" ht="16.5" customHeight="1">
      <c r="A81" s="29">
        <v>19</v>
      </c>
      <c r="B81" s="98" t="s">
        <v>157</v>
      </c>
      <c r="C81" s="108" t="s">
        <v>153</v>
      </c>
      <c r="D81" s="48"/>
      <c r="E81" s="34"/>
      <c r="F81" s="34">
        <v>38</v>
      </c>
      <c r="G81" s="34">
        <v>284</v>
      </c>
      <c r="H81" s="13">
        <f>G81*F81/1000</f>
        <v>10.792</v>
      </c>
      <c r="I81" s="85">
        <f>G81*6</f>
        <v>1704</v>
      </c>
    </row>
    <row r="82" spans="1:9" ht="15.75" hidden="1" customHeight="1">
      <c r="A82" s="29"/>
      <c r="B82" s="47"/>
      <c r="C82" s="62"/>
      <c r="D82" s="14"/>
      <c r="E82" s="18"/>
      <c r="F82" s="13"/>
      <c r="G82" s="13"/>
      <c r="H82" s="79"/>
      <c r="I82" s="85"/>
    </row>
    <row r="83" spans="1:9" ht="15.75" hidden="1" customHeight="1">
      <c r="A83" s="29"/>
      <c r="B83" s="47"/>
      <c r="C83" s="62"/>
      <c r="D83" s="14"/>
      <c r="E83" s="18"/>
      <c r="F83" s="13"/>
      <c r="G83" s="13"/>
      <c r="H83" s="79"/>
      <c r="I83" s="85"/>
    </row>
    <row r="84" spans="1:9" ht="15.75" hidden="1" customHeight="1">
      <c r="A84" s="29">
        <v>16</v>
      </c>
      <c r="B84" s="47"/>
      <c r="C84" s="62"/>
      <c r="D84" s="35"/>
      <c r="E84" s="17"/>
      <c r="F84" s="34">
        <v>1</v>
      </c>
      <c r="G84" s="34"/>
      <c r="H84" s="90">
        <f>G84*F84/1000</f>
        <v>0</v>
      </c>
      <c r="I84" s="85"/>
    </row>
    <row r="85" spans="1:9" ht="30" customHeight="1">
      <c r="A85" s="29">
        <v>20</v>
      </c>
      <c r="B85" s="98" t="s">
        <v>163</v>
      </c>
      <c r="C85" s="49" t="s">
        <v>37</v>
      </c>
      <c r="D85" s="48"/>
      <c r="E85" s="34"/>
      <c r="F85" s="34">
        <v>0.03</v>
      </c>
      <c r="G85" s="34">
        <v>4070.89</v>
      </c>
      <c r="H85" s="90"/>
      <c r="I85" s="85">
        <f>G85*0.01</f>
        <v>40.7089</v>
      </c>
    </row>
    <row r="86" spans="1:9" ht="15.75" customHeight="1">
      <c r="A86" s="29"/>
      <c r="B86" s="41" t="s">
        <v>50</v>
      </c>
      <c r="C86" s="37"/>
      <c r="D86" s="45"/>
      <c r="E86" s="37">
        <v>1</v>
      </c>
      <c r="F86" s="37"/>
      <c r="G86" s="37"/>
      <c r="H86" s="37"/>
      <c r="I86" s="32">
        <f>SUM(I81:I85)</f>
        <v>1744.7089000000001</v>
      </c>
    </row>
    <row r="87" spans="1:9" ht="15.75" customHeight="1">
      <c r="A87" s="29"/>
      <c r="B87" s="43" t="s">
        <v>76</v>
      </c>
      <c r="C87" s="15"/>
      <c r="D87" s="15"/>
      <c r="E87" s="38"/>
      <c r="F87" s="38"/>
      <c r="G87" s="39"/>
      <c r="H87" s="39"/>
      <c r="I87" s="17">
        <v>0</v>
      </c>
    </row>
    <row r="88" spans="1:9" ht="15.75" customHeight="1">
      <c r="A88" s="46"/>
      <c r="B88" s="42" t="s">
        <v>151</v>
      </c>
      <c r="C88" s="33"/>
      <c r="D88" s="33"/>
      <c r="E88" s="33"/>
      <c r="F88" s="33"/>
      <c r="G88" s="33"/>
      <c r="H88" s="33"/>
      <c r="I88" s="40">
        <f>I79+I86</f>
        <v>47533.307425033323</v>
      </c>
    </row>
    <row r="89" spans="1:9" ht="15.75">
      <c r="A89" s="145" t="s">
        <v>233</v>
      </c>
      <c r="B89" s="145"/>
      <c r="C89" s="145"/>
      <c r="D89" s="145"/>
      <c r="E89" s="145"/>
      <c r="F89" s="145"/>
      <c r="G89" s="145"/>
      <c r="H89" s="145"/>
      <c r="I89" s="145"/>
    </row>
    <row r="90" spans="1:9" ht="15.75">
      <c r="A90" s="56"/>
      <c r="B90" s="140" t="s">
        <v>234</v>
      </c>
      <c r="C90" s="140"/>
      <c r="D90" s="140"/>
      <c r="E90" s="140"/>
      <c r="F90" s="140"/>
      <c r="G90" s="140"/>
      <c r="H90" s="61"/>
      <c r="I90" s="3"/>
    </row>
    <row r="91" spans="1:9">
      <c r="A91" s="53"/>
      <c r="B91" s="136" t="s">
        <v>6</v>
      </c>
      <c r="C91" s="136"/>
      <c r="D91" s="136"/>
      <c r="E91" s="136"/>
      <c r="F91" s="136"/>
      <c r="G91" s="136"/>
      <c r="H91" s="24"/>
      <c r="I91" s="5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41" t="s">
        <v>7</v>
      </c>
      <c r="B93" s="141"/>
      <c r="C93" s="141"/>
      <c r="D93" s="141"/>
      <c r="E93" s="141"/>
      <c r="F93" s="141"/>
      <c r="G93" s="141"/>
      <c r="H93" s="141"/>
      <c r="I93" s="141"/>
    </row>
    <row r="94" spans="1:9" ht="15.75">
      <c r="A94" s="141" t="s">
        <v>8</v>
      </c>
      <c r="B94" s="141"/>
      <c r="C94" s="141"/>
      <c r="D94" s="141"/>
      <c r="E94" s="141"/>
      <c r="F94" s="141"/>
      <c r="G94" s="141"/>
      <c r="H94" s="141"/>
      <c r="I94" s="141"/>
    </row>
    <row r="95" spans="1:9" ht="15.75">
      <c r="A95" s="142" t="s">
        <v>59</v>
      </c>
      <c r="B95" s="142"/>
      <c r="C95" s="142"/>
      <c r="D95" s="142"/>
      <c r="E95" s="142"/>
      <c r="F95" s="142"/>
      <c r="G95" s="142"/>
      <c r="H95" s="142"/>
      <c r="I95" s="142"/>
    </row>
    <row r="96" spans="1:9" ht="15.75" customHeight="1">
      <c r="A96" s="11"/>
    </row>
    <row r="97" spans="1:9" ht="15.75">
      <c r="A97" s="143" t="s">
        <v>9</v>
      </c>
      <c r="B97" s="143"/>
      <c r="C97" s="143"/>
      <c r="D97" s="143"/>
      <c r="E97" s="143"/>
      <c r="F97" s="143"/>
      <c r="G97" s="143"/>
      <c r="H97" s="143"/>
      <c r="I97" s="143"/>
    </row>
    <row r="98" spans="1:9" ht="15.75">
      <c r="A98" s="4"/>
    </row>
    <row r="99" spans="1:9" ht="15.75">
      <c r="B99" s="51" t="s">
        <v>10</v>
      </c>
      <c r="C99" s="135" t="s">
        <v>84</v>
      </c>
      <c r="D99" s="135"/>
      <c r="E99" s="135"/>
      <c r="F99" s="59"/>
      <c r="I99" s="52"/>
    </row>
    <row r="100" spans="1:9">
      <c r="A100" s="53"/>
      <c r="C100" s="136" t="s">
        <v>11</v>
      </c>
      <c r="D100" s="136"/>
      <c r="E100" s="136"/>
      <c r="F100" s="24"/>
      <c r="I100" s="50" t="s">
        <v>12</v>
      </c>
    </row>
    <row r="101" spans="1:9" ht="15.75">
      <c r="A101" s="25"/>
      <c r="C101" s="12"/>
      <c r="D101" s="12"/>
      <c r="G101" s="12"/>
      <c r="H101" s="12"/>
    </row>
    <row r="102" spans="1:9" ht="15.75">
      <c r="B102" s="51" t="s">
        <v>13</v>
      </c>
      <c r="C102" s="137"/>
      <c r="D102" s="137"/>
      <c r="E102" s="137"/>
      <c r="F102" s="60"/>
      <c r="I102" s="52"/>
    </row>
    <row r="103" spans="1:9">
      <c r="A103" s="53"/>
      <c r="C103" s="138" t="s">
        <v>11</v>
      </c>
      <c r="D103" s="138"/>
      <c r="E103" s="138"/>
      <c r="F103" s="53"/>
      <c r="I103" s="50" t="s">
        <v>12</v>
      </c>
    </row>
    <row r="104" spans="1:9" ht="15.75">
      <c r="A104" s="4" t="s">
        <v>14</v>
      </c>
    </row>
    <row r="105" spans="1:9">
      <c r="A105" s="139" t="s">
        <v>15</v>
      </c>
      <c r="B105" s="139"/>
      <c r="C105" s="139"/>
      <c r="D105" s="139"/>
      <c r="E105" s="139"/>
      <c r="F105" s="139"/>
      <c r="G105" s="139"/>
      <c r="H105" s="139"/>
      <c r="I105" s="139"/>
    </row>
    <row r="106" spans="1:9" ht="45" customHeight="1">
      <c r="A106" s="131" t="s">
        <v>16</v>
      </c>
      <c r="B106" s="131"/>
      <c r="C106" s="131"/>
      <c r="D106" s="131"/>
      <c r="E106" s="131"/>
      <c r="F106" s="131"/>
      <c r="G106" s="131"/>
      <c r="H106" s="131"/>
      <c r="I106" s="131"/>
    </row>
    <row r="107" spans="1:9" ht="30" customHeight="1">
      <c r="A107" s="131" t="s">
        <v>17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30" customHeight="1">
      <c r="A108" s="131" t="s">
        <v>21</v>
      </c>
      <c r="B108" s="131"/>
      <c r="C108" s="131"/>
      <c r="D108" s="131"/>
      <c r="E108" s="131"/>
      <c r="F108" s="131"/>
      <c r="G108" s="131"/>
      <c r="H108" s="131"/>
      <c r="I108" s="131"/>
    </row>
    <row r="109" spans="1:9" ht="15" customHeight="1">
      <c r="A109" s="131" t="s">
        <v>20</v>
      </c>
      <c r="B109" s="131"/>
      <c r="C109" s="131"/>
      <c r="D109" s="131"/>
      <c r="E109" s="131"/>
      <c r="F109" s="131"/>
      <c r="G109" s="131"/>
      <c r="H109" s="131"/>
      <c r="I109" s="13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95:I95"/>
    <mergeCell ref="A15:I15"/>
    <mergeCell ref="A26:I26"/>
    <mergeCell ref="A42:I42"/>
    <mergeCell ref="A52:I52"/>
    <mergeCell ref="A89:I89"/>
    <mergeCell ref="B90:G90"/>
    <mergeCell ref="B91:G91"/>
    <mergeCell ref="A93:I93"/>
    <mergeCell ref="A94:I94"/>
    <mergeCell ref="A80:I80"/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</mergeCells>
  <pageMargins left="0.70866141732283472" right="0.23622047244094491" top="0.27559055118110237" bottom="0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topLeftCell="A67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147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236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44043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32" t="s">
        <v>80</v>
      </c>
      <c r="B26" s="133"/>
      <c r="C26" s="133"/>
      <c r="D26" s="133"/>
      <c r="E26" s="133"/>
      <c r="F26" s="133"/>
      <c r="G26" s="133"/>
      <c r="H26" s="133"/>
      <c r="I26" s="13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5</v>
      </c>
      <c r="B28" s="63" t="s">
        <v>97</v>
      </c>
      <c r="C28" s="64" t="s">
        <v>127</v>
      </c>
      <c r="D28" s="63" t="s">
        <v>170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3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6</v>
      </c>
      <c r="B29" s="63" t="s">
        <v>138</v>
      </c>
      <c r="C29" s="64" t="s">
        <v>98</v>
      </c>
      <c r="D29" s="63" t="s">
        <v>169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98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7</v>
      </c>
      <c r="B31" s="63" t="s">
        <v>101</v>
      </c>
      <c r="C31" s="64" t="s">
        <v>39</v>
      </c>
      <c r="D31" s="63" t="s">
        <v>174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62</v>
      </c>
      <c r="C32" s="64" t="s">
        <v>33</v>
      </c>
      <c r="D32" s="63" t="s">
        <v>130</v>
      </c>
      <c r="E32" s="65"/>
      <c r="F32" s="66">
        <v>2</v>
      </c>
      <c r="G32" s="66">
        <v>217.61</v>
      </c>
      <c r="H32" s="67">
        <f t="shared" si="1"/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63</v>
      </c>
      <c r="C33" s="64" t="s">
        <v>32</v>
      </c>
      <c r="D33" s="63" t="s">
        <v>130</v>
      </c>
      <c r="E33" s="65"/>
      <c r="F33" s="66">
        <v>1</v>
      </c>
      <c r="G33" s="66">
        <v>1292.47</v>
      </c>
      <c r="H33" s="67">
        <f t="shared" si="1"/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131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2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103</v>
      </c>
      <c r="C36" s="64" t="s">
        <v>29</v>
      </c>
      <c r="D36" s="63" t="s">
        <v>132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104</v>
      </c>
      <c r="C37" s="64" t="s">
        <v>105</v>
      </c>
      <c r="D37" s="63" t="s">
        <v>64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65</v>
      </c>
      <c r="C38" s="64" t="s">
        <v>29</v>
      </c>
      <c r="D38" s="63" t="s">
        <v>106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2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79</v>
      </c>
      <c r="C39" s="64" t="s">
        <v>98</v>
      </c>
      <c r="D39" s="63" t="s">
        <v>107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2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108</v>
      </c>
      <c r="C40" s="64" t="s">
        <v>98</v>
      </c>
      <c r="D40" s="63" t="s">
        <v>66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2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67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2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hidden="1" customHeight="1">
      <c r="A42" s="132" t="s">
        <v>135</v>
      </c>
      <c r="B42" s="133"/>
      <c r="C42" s="133"/>
      <c r="D42" s="133"/>
      <c r="E42" s="133"/>
      <c r="F42" s="133"/>
      <c r="G42" s="133"/>
      <c r="H42" s="133"/>
      <c r="I42" s="134"/>
      <c r="J42" s="23"/>
      <c r="L42" s="19"/>
      <c r="M42" s="20"/>
      <c r="N42" s="21"/>
    </row>
    <row r="43" spans="1:14" ht="15.75" hidden="1" customHeight="1">
      <c r="A43" s="29"/>
      <c r="B43" s="63" t="s">
        <v>109</v>
      </c>
      <c r="C43" s="64" t="s">
        <v>98</v>
      </c>
      <c r="D43" s="63" t="s">
        <v>41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3">SUM(F43*G43/1000)</f>
        <v>1.345267856</v>
      </c>
      <c r="I43" s="13">
        <v>0</v>
      </c>
      <c r="J43" s="23"/>
      <c r="L43" s="19"/>
      <c r="M43" s="20"/>
      <c r="N43" s="21"/>
    </row>
    <row r="44" spans="1:14" ht="15.75" hidden="1" customHeight="1">
      <c r="A44" s="29"/>
      <c r="B44" s="63" t="s">
        <v>34</v>
      </c>
      <c r="C44" s="64" t="s">
        <v>98</v>
      </c>
      <c r="D44" s="63" t="s">
        <v>41</v>
      </c>
      <c r="E44" s="65">
        <v>61</v>
      </c>
      <c r="F44" s="66">
        <f>E44*2/1000</f>
        <v>0.122</v>
      </c>
      <c r="G44" s="13">
        <v>3832.4</v>
      </c>
      <c r="H44" s="67">
        <f t="shared" si="3"/>
        <v>0.46755279999999999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3" t="s">
        <v>35</v>
      </c>
      <c r="C45" s="64" t="s">
        <v>98</v>
      </c>
      <c r="D45" s="63" t="s">
        <v>41</v>
      </c>
      <c r="E45" s="65">
        <v>3135.64</v>
      </c>
      <c r="F45" s="66">
        <f>SUM(E45*2/1000)</f>
        <v>6.27128</v>
      </c>
      <c r="G45" s="13">
        <v>1564.24</v>
      </c>
      <c r="H45" s="67">
        <f t="shared" si="3"/>
        <v>9.8097870272000005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36</v>
      </c>
      <c r="C46" s="64" t="s">
        <v>98</v>
      </c>
      <c r="D46" s="63" t="s">
        <v>41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3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3" t="s">
        <v>54</v>
      </c>
      <c r="C47" s="64" t="s">
        <v>98</v>
      </c>
      <c r="D47" s="63" t="s">
        <v>139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3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hidden="1" customHeight="1">
      <c r="A48" s="29"/>
      <c r="B48" s="63" t="s">
        <v>110</v>
      </c>
      <c r="C48" s="64" t="s">
        <v>98</v>
      </c>
      <c r="D48" s="63" t="s">
        <v>41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3"/>
        <v>1.6958488659999997</v>
      </c>
      <c r="I48" s="13">
        <v>0</v>
      </c>
      <c r="J48" s="23"/>
      <c r="L48" s="19"/>
      <c r="M48" s="20"/>
      <c r="N48" s="21"/>
    </row>
    <row r="49" spans="1:22" ht="31.5" hidden="1" customHeight="1">
      <c r="A49" s="44"/>
      <c r="B49" s="63" t="s">
        <v>111</v>
      </c>
      <c r="C49" s="64" t="s">
        <v>37</v>
      </c>
      <c r="D49" s="63" t="s">
        <v>41</v>
      </c>
      <c r="E49" s="65">
        <v>20</v>
      </c>
      <c r="F49" s="66">
        <f>SUM(E49*2/100)</f>
        <v>0.4</v>
      </c>
      <c r="G49" s="13">
        <v>3519.56</v>
      </c>
      <c r="H49" s="67">
        <f t="shared" si="3"/>
        <v>1.407824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6428.82</v>
      </c>
      <c r="H50" s="67">
        <f t="shared" si="3"/>
        <v>0.12857640000000001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13</v>
      </c>
      <c r="B51" s="63" t="s">
        <v>40</v>
      </c>
      <c r="C51" s="64" t="s">
        <v>112</v>
      </c>
      <c r="D51" s="63" t="s">
        <v>68</v>
      </c>
      <c r="E51" s="65">
        <v>170</v>
      </c>
      <c r="F51" s="66">
        <f>SUM(E51)*3</f>
        <v>510</v>
      </c>
      <c r="G51" s="13">
        <v>74.709999999999994</v>
      </c>
      <c r="H51" s="67">
        <f t="shared" si="3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32" t="s">
        <v>145</v>
      </c>
      <c r="B52" s="133"/>
      <c r="C52" s="133"/>
      <c r="D52" s="133"/>
      <c r="E52" s="133"/>
      <c r="F52" s="133"/>
      <c r="G52" s="133"/>
      <c r="H52" s="133"/>
      <c r="I52" s="13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113</v>
      </c>
      <c r="C54" s="64" t="s">
        <v>88</v>
      </c>
      <c r="D54" s="63" t="s">
        <v>114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133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8</v>
      </c>
      <c r="B57" s="74" t="s">
        <v>85</v>
      </c>
      <c r="C57" s="73" t="s">
        <v>25</v>
      </c>
      <c r="D57" s="74" t="s">
        <v>30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131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45</v>
      </c>
      <c r="C59" s="16" t="s">
        <v>112</v>
      </c>
      <c r="D59" s="14" t="s">
        <v>64</v>
      </c>
      <c r="E59" s="18">
        <v>25</v>
      </c>
      <c r="F59" s="66">
        <v>25</v>
      </c>
      <c r="G59" s="13">
        <v>252.96</v>
      </c>
      <c r="H59" s="79">
        <f t="shared" ref="H59:H73" si="4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112</v>
      </c>
      <c r="D60" s="14" t="s">
        <v>64</v>
      </c>
      <c r="E60" s="18">
        <v>2</v>
      </c>
      <c r="F60" s="66">
        <v>2</v>
      </c>
      <c r="G60" s="13">
        <v>86.74</v>
      </c>
      <c r="H60" s="79">
        <f t="shared" si="4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29">
        <v>9</v>
      </c>
      <c r="B61" s="14" t="s">
        <v>47</v>
      </c>
      <c r="C61" s="16" t="s">
        <v>115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4"/>
        <v>20.9746652</v>
      </c>
      <c r="I61" s="13">
        <f>G61*F61</f>
        <v>20974.665199999999</v>
      </c>
      <c r="J61" s="5"/>
      <c r="K61" s="5"/>
      <c r="L61" s="5"/>
      <c r="M61" s="5"/>
      <c r="N61" s="5"/>
      <c r="O61" s="5"/>
      <c r="P61" s="5"/>
      <c r="Q61" s="5"/>
      <c r="R61" s="138"/>
      <c r="S61" s="138"/>
      <c r="T61" s="138"/>
      <c r="U61" s="138"/>
    </row>
    <row r="62" spans="1:22" ht="15.75" customHeight="1">
      <c r="A62" s="29">
        <v>10</v>
      </c>
      <c r="B62" s="14" t="s">
        <v>48</v>
      </c>
      <c r="C62" s="16" t="s">
        <v>116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4"/>
        <v>1.6333137200000001</v>
      </c>
      <c r="I62" s="13">
        <f>G62*F62</f>
        <v>1633.3137200000001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29">
        <v>11</v>
      </c>
      <c r="B63" s="14" t="s">
        <v>49</v>
      </c>
      <c r="C63" s="16" t="s">
        <v>74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4"/>
        <v>20.175605999999998</v>
      </c>
      <c r="I63" s="13">
        <f>G63*F63</f>
        <v>20175.606</v>
      </c>
    </row>
    <row r="64" spans="1:22" ht="15.75" customHeight="1">
      <c r="A64" s="29">
        <v>12</v>
      </c>
      <c r="B64" s="80" t="s">
        <v>117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4"/>
        <v>0.36696200000000001</v>
      </c>
      <c r="I64" s="13">
        <f>G64*F64</f>
        <v>366.96199999999999</v>
      </c>
    </row>
    <row r="65" spans="1:9" ht="15.75" customHeight="1">
      <c r="A65" s="29">
        <v>13</v>
      </c>
      <c r="B65" s="80" t="s">
        <v>118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4"/>
        <v>0.342366</v>
      </c>
      <c r="I65" s="13">
        <f>G65*F65</f>
        <v>342.36599999999999</v>
      </c>
    </row>
    <row r="66" spans="1:9" ht="15.75" hidden="1" customHeight="1">
      <c r="A66" s="29"/>
      <c r="B66" s="14" t="s">
        <v>55</v>
      </c>
      <c r="C66" s="16" t="s">
        <v>56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4"/>
        <v>0.28370000000000001</v>
      </c>
      <c r="I66" s="13">
        <v>0</v>
      </c>
    </row>
    <row r="67" spans="1:9" ht="15.75" customHeight="1">
      <c r="A67" s="29"/>
      <c r="B67" s="88" t="s">
        <v>69</v>
      </c>
      <c r="C67" s="16"/>
      <c r="D67" s="14"/>
      <c r="E67" s="18"/>
      <c r="F67" s="13"/>
      <c r="G67" s="13"/>
      <c r="H67" s="79" t="s">
        <v>131</v>
      </c>
      <c r="I67" s="13"/>
    </row>
    <row r="68" spans="1:9" ht="15.75" hidden="1" customHeight="1">
      <c r="A68" s="29"/>
      <c r="B68" s="14" t="s">
        <v>124</v>
      </c>
      <c r="C68" s="16" t="s">
        <v>125</v>
      </c>
      <c r="D68" s="14"/>
      <c r="E68" s="18">
        <v>4</v>
      </c>
      <c r="F68" s="13">
        <f>E68</f>
        <v>4</v>
      </c>
      <c r="G68" s="13">
        <v>113.57</v>
      </c>
      <c r="H68" s="79">
        <f t="shared" si="4"/>
        <v>0.45427999999999996</v>
      </c>
      <c r="I68" s="13">
        <v>0</v>
      </c>
    </row>
    <row r="69" spans="1:9" ht="15.75" customHeight="1">
      <c r="A69" s="29">
        <v>14</v>
      </c>
      <c r="B69" s="14" t="s">
        <v>70</v>
      </c>
      <c r="C69" s="16" t="s">
        <v>72</v>
      </c>
      <c r="D69" s="14" t="s">
        <v>237</v>
      </c>
      <c r="E69" s="18">
        <v>20</v>
      </c>
      <c r="F69" s="13">
        <v>2</v>
      </c>
      <c r="G69" s="13">
        <v>570.54</v>
      </c>
      <c r="H69" s="79">
        <f t="shared" si="4"/>
        <v>1.1410799999999999</v>
      </c>
      <c r="I69" s="13">
        <f>G69*1.7</f>
        <v>969.91799999999989</v>
      </c>
    </row>
    <row r="70" spans="1:9" ht="15.75" hidden="1" customHeight="1">
      <c r="A70" s="29"/>
      <c r="B70" s="14" t="s">
        <v>71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82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73</v>
      </c>
      <c r="C72" s="16"/>
      <c r="D72" s="14"/>
      <c r="E72" s="18"/>
      <c r="F72" s="13"/>
      <c r="G72" s="13" t="s">
        <v>131</v>
      </c>
      <c r="H72" s="79" t="s">
        <v>131</v>
      </c>
      <c r="I72" s="13"/>
    </row>
    <row r="73" spans="1:9" ht="15.75" hidden="1" customHeight="1">
      <c r="A73" s="29"/>
      <c r="B73" s="43" t="s">
        <v>121</v>
      </c>
      <c r="C73" s="16" t="s">
        <v>74</v>
      </c>
      <c r="D73" s="14"/>
      <c r="E73" s="18"/>
      <c r="F73" s="13">
        <v>1</v>
      </c>
      <c r="G73" s="13">
        <v>3138.63</v>
      </c>
      <c r="H73" s="79">
        <f t="shared" si="4"/>
        <v>3.13863</v>
      </c>
      <c r="I73" s="13">
        <v>0</v>
      </c>
    </row>
    <row r="74" spans="1:9" ht="15.75" hidden="1" customHeight="1">
      <c r="A74" s="29"/>
      <c r="B74" s="55" t="s">
        <v>119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120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32" t="s">
        <v>146</v>
      </c>
      <c r="B76" s="133"/>
      <c r="C76" s="133"/>
      <c r="D76" s="133"/>
      <c r="E76" s="133"/>
      <c r="F76" s="133"/>
      <c r="G76" s="133"/>
      <c r="H76" s="133"/>
      <c r="I76" s="134"/>
    </row>
    <row r="77" spans="1:9" ht="15.75" customHeight="1">
      <c r="A77" s="29">
        <v>15</v>
      </c>
      <c r="B77" s="63" t="s">
        <v>122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16</v>
      </c>
      <c r="B78" s="14" t="s">
        <v>75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77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I78+I77+I69+I65+I64+I63+I62+I61+I57+I31+I29+I28+I25+I18+I17+I16</f>
        <v>75213.360279033324</v>
      </c>
    </row>
    <row r="80" spans="1:9" ht="15.75" customHeight="1">
      <c r="A80" s="146" t="s">
        <v>58</v>
      </c>
      <c r="B80" s="147"/>
      <c r="C80" s="147"/>
      <c r="D80" s="147"/>
      <c r="E80" s="147"/>
      <c r="F80" s="147"/>
      <c r="G80" s="147"/>
      <c r="H80" s="147"/>
      <c r="I80" s="148"/>
    </row>
    <row r="81" spans="1:9" ht="33.75" customHeight="1">
      <c r="A81" s="29">
        <v>17</v>
      </c>
      <c r="B81" s="98" t="s">
        <v>163</v>
      </c>
      <c r="C81" s="49" t="s">
        <v>37</v>
      </c>
      <c r="D81" s="48"/>
      <c r="E81" s="34"/>
      <c r="F81" s="34">
        <v>0.04</v>
      </c>
      <c r="G81" s="34">
        <v>4070.89</v>
      </c>
      <c r="H81" s="79">
        <f>G81*F81/1000</f>
        <v>0.1628356</v>
      </c>
      <c r="I81" s="85">
        <f>G81*0.01</f>
        <v>40.7089</v>
      </c>
    </row>
    <row r="82" spans="1:9" ht="34.5" customHeight="1">
      <c r="A82" s="29">
        <v>18</v>
      </c>
      <c r="B82" s="98" t="s">
        <v>238</v>
      </c>
      <c r="C82" s="49" t="s">
        <v>29</v>
      </c>
      <c r="D82" s="48"/>
      <c r="E82" s="34"/>
      <c r="F82" s="34">
        <v>0.3</v>
      </c>
      <c r="G82" s="34">
        <v>1809.27</v>
      </c>
      <c r="H82" s="79"/>
      <c r="I82" s="85">
        <f>G82*0.3</f>
        <v>542.78099999999995</v>
      </c>
    </row>
    <row r="83" spans="1:9" ht="30" customHeight="1">
      <c r="A83" s="29">
        <v>19</v>
      </c>
      <c r="B83" s="98" t="s">
        <v>239</v>
      </c>
      <c r="C83" s="49" t="s">
        <v>112</v>
      </c>
      <c r="D83" s="48" t="s">
        <v>245</v>
      </c>
      <c r="E83" s="34"/>
      <c r="F83" s="34">
        <v>1</v>
      </c>
      <c r="G83" s="34">
        <v>945.36</v>
      </c>
      <c r="H83" s="79"/>
      <c r="I83" s="85">
        <f>G83*1</f>
        <v>945.36</v>
      </c>
    </row>
    <row r="84" spans="1:9" ht="17.25" customHeight="1">
      <c r="A84" s="29">
        <v>20</v>
      </c>
      <c r="B84" s="98" t="s">
        <v>240</v>
      </c>
      <c r="C84" s="49" t="s">
        <v>112</v>
      </c>
      <c r="D84" s="48"/>
      <c r="E84" s="34"/>
      <c r="F84" s="34">
        <v>2</v>
      </c>
      <c r="G84" s="34">
        <v>110</v>
      </c>
      <c r="H84" s="79"/>
      <c r="I84" s="85">
        <f>G84*2</f>
        <v>220</v>
      </c>
    </row>
    <row r="85" spans="1:9" ht="17.25" customHeight="1">
      <c r="A85" s="29">
        <v>21</v>
      </c>
      <c r="B85" s="98" t="s">
        <v>241</v>
      </c>
      <c r="C85" s="49" t="s">
        <v>112</v>
      </c>
      <c r="D85" s="48"/>
      <c r="E85" s="34"/>
      <c r="F85" s="34">
        <v>2</v>
      </c>
      <c r="G85" s="34">
        <v>235</v>
      </c>
      <c r="H85" s="79"/>
      <c r="I85" s="85">
        <f>G85*2</f>
        <v>470</v>
      </c>
    </row>
    <row r="86" spans="1:9" ht="17.25" customHeight="1">
      <c r="A86" s="29">
        <v>22</v>
      </c>
      <c r="B86" s="98" t="s">
        <v>242</v>
      </c>
      <c r="C86" s="49" t="s">
        <v>112</v>
      </c>
      <c r="D86" s="48"/>
      <c r="E86" s="34"/>
      <c r="F86" s="34">
        <v>1</v>
      </c>
      <c r="G86" s="34">
        <v>125</v>
      </c>
      <c r="H86" s="79"/>
      <c r="I86" s="85">
        <f>G86*1</f>
        <v>125</v>
      </c>
    </row>
    <row r="87" spans="1:9" ht="17.25" customHeight="1">
      <c r="A87" s="29">
        <v>23</v>
      </c>
      <c r="B87" s="98" t="s">
        <v>243</v>
      </c>
      <c r="C87" s="49" t="s">
        <v>112</v>
      </c>
      <c r="D87" s="48"/>
      <c r="E87" s="34"/>
      <c r="F87" s="34">
        <v>1</v>
      </c>
      <c r="G87" s="34">
        <v>98</v>
      </c>
      <c r="H87" s="79"/>
      <c r="I87" s="85">
        <f>G87*1</f>
        <v>98</v>
      </c>
    </row>
    <row r="88" spans="1:9" ht="17.25" customHeight="1">
      <c r="A88" s="29">
        <v>24</v>
      </c>
      <c r="B88" s="98" t="s">
        <v>244</v>
      </c>
      <c r="C88" s="49" t="s">
        <v>112</v>
      </c>
      <c r="D88" s="48"/>
      <c r="E88" s="34"/>
      <c r="F88" s="34">
        <v>1</v>
      </c>
      <c r="G88" s="34">
        <v>49</v>
      </c>
      <c r="H88" s="79"/>
      <c r="I88" s="85">
        <f>G88*1</f>
        <v>49</v>
      </c>
    </row>
    <row r="89" spans="1:9" ht="15.75" customHeight="1">
      <c r="A89" s="29"/>
      <c r="B89" s="41" t="s">
        <v>50</v>
      </c>
      <c r="C89" s="37"/>
      <c r="D89" s="45"/>
      <c r="E89" s="37">
        <v>1</v>
      </c>
      <c r="F89" s="37"/>
      <c r="G89" s="37"/>
      <c r="H89" s="37"/>
      <c r="I89" s="32">
        <f>SUM(I81:I88)</f>
        <v>2490.8499000000002</v>
      </c>
    </row>
    <row r="90" spans="1:9" ht="15.75" customHeight="1">
      <c r="A90" s="29"/>
      <c r="B90" s="43" t="s">
        <v>76</v>
      </c>
      <c r="C90" s="15"/>
      <c r="D90" s="15"/>
      <c r="E90" s="38"/>
      <c r="F90" s="38"/>
      <c r="G90" s="39"/>
      <c r="H90" s="39"/>
      <c r="I90" s="17">
        <v>0</v>
      </c>
    </row>
    <row r="91" spans="1:9" ht="15.75" customHeight="1">
      <c r="A91" s="46"/>
      <c r="B91" s="42" t="s">
        <v>151</v>
      </c>
      <c r="C91" s="33"/>
      <c r="D91" s="33"/>
      <c r="E91" s="33"/>
      <c r="F91" s="33"/>
      <c r="G91" s="33"/>
      <c r="H91" s="33"/>
      <c r="I91" s="40">
        <f>I79+I89</f>
        <v>77704.210179033325</v>
      </c>
    </row>
    <row r="92" spans="1:9" ht="15.75">
      <c r="A92" s="145" t="s">
        <v>246</v>
      </c>
      <c r="B92" s="145"/>
      <c r="C92" s="145"/>
      <c r="D92" s="145"/>
      <c r="E92" s="145"/>
      <c r="F92" s="145"/>
      <c r="G92" s="145"/>
      <c r="H92" s="145"/>
      <c r="I92" s="145"/>
    </row>
    <row r="93" spans="1:9" ht="15.75">
      <c r="A93" s="56"/>
      <c r="B93" s="140" t="s">
        <v>247</v>
      </c>
      <c r="C93" s="140"/>
      <c r="D93" s="140"/>
      <c r="E93" s="140"/>
      <c r="F93" s="140"/>
      <c r="G93" s="140"/>
      <c r="H93" s="61"/>
      <c r="I93" s="3"/>
    </row>
    <row r="94" spans="1:9">
      <c r="A94" s="53"/>
      <c r="B94" s="136" t="s">
        <v>6</v>
      </c>
      <c r="C94" s="136"/>
      <c r="D94" s="136"/>
      <c r="E94" s="136"/>
      <c r="F94" s="136"/>
      <c r="G94" s="136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41" t="s">
        <v>7</v>
      </c>
      <c r="B96" s="141"/>
      <c r="C96" s="141"/>
      <c r="D96" s="141"/>
      <c r="E96" s="141"/>
      <c r="F96" s="141"/>
      <c r="G96" s="141"/>
      <c r="H96" s="141"/>
      <c r="I96" s="141"/>
    </row>
    <row r="97" spans="1:9" ht="15.75">
      <c r="A97" s="141" t="s">
        <v>8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>
      <c r="A98" s="142" t="s">
        <v>59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11"/>
    </row>
    <row r="100" spans="1:9" ht="15.75">
      <c r="A100" s="143" t="s">
        <v>9</v>
      </c>
      <c r="B100" s="143"/>
      <c r="C100" s="143"/>
      <c r="D100" s="143"/>
      <c r="E100" s="143"/>
      <c r="F100" s="143"/>
      <c r="G100" s="143"/>
      <c r="H100" s="143"/>
      <c r="I100" s="143"/>
    </row>
    <row r="101" spans="1:9" ht="15.75">
      <c r="A101" s="4"/>
    </row>
    <row r="102" spans="1:9" ht="15.75">
      <c r="B102" s="51" t="s">
        <v>10</v>
      </c>
      <c r="C102" s="135" t="s">
        <v>84</v>
      </c>
      <c r="D102" s="135"/>
      <c r="E102" s="135"/>
      <c r="F102" s="59"/>
      <c r="I102" s="52"/>
    </row>
    <row r="103" spans="1:9">
      <c r="A103" s="53"/>
      <c r="C103" s="136" t="s">
        <v>11</v>
      </c>
      <c r="D103" s="136"/>
      <c r="E103" s="136"/>
      <c r="F103" s="24"/>
      <c r="I103" s="50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51" t="s">
        <v>13</v>
      </c>
      <c r="C105" s="137"/>
      <c r="D105" s="137"/>
      <c r="E105" s="137"/>
      <c r="F105" s="60"/>
      <c r="I105" s="52"/>
    </row>
    <row r="106" spans="1:9">
      <c r="A106" s="53"/>
      <c r="C106" s="138" t="s">
        <v>11</v>
      </c>
      <c r="D106" s="138"/>
      <c r="E106" s="138"/>
      <c r="F106" s="53"/>
      <c r="I106" s="50" t="s">
        <v>12</v>
      </c>
    </row>
    <row r="107" spans="1:9" ht="15.75">
      <c r="A107" s="4" t="s">
        <v>14</v>
      </c>
    </row>
    <row r="108" spans="1:9">
      <c r="A108" s="139" t="s">
        <v>15</v>
      </c>
      <c r="B108" s="139"/>
      <c r="C108" s="139"/>
      <c r="D108" s="139"/>
      <c r="E108" s="139"/>
      <c r="F108" s="139"/>
      <c r="G108" s="139"/>
      <c r="H108" s="139"/>
      <c r="I108" s="139"/>
    </row>
    <row r="109" spans="1:9" ht="45" customHeight="1">
      <c r="A109" s="131" t="s">
        <v>16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30" customHeight="1">
      <c r="A110" s="131" t="s">
        <v>17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ht="30" customHeight="1">
      <c r="A111" s="131" t="s">
        <v>21</v>
      </c>
      <c r="B111" s="131"/>
      <c r="C111" s="131"/>
      <c r="D111" s="131"/>
      <c r="E111" s="131"/>
      <c r="F111" s="131"/>
      <c r="G111" s="131"/>
      <c r="H111" s="131"/>
      <c r="I111" s="131"/>
    </row>
    <row r="112" spans="1:9" ht="15" customHeight="1">
      <c r="A112" s="131" t="s">
        <v>20</v>
      </c>
      <c r="B112" s="131"/>
      <c r="C112" s="131"/>
      <c r="D112" s="131"/>
      <c r="E112" s="131"/>
      <c r="F112" s="131"/>
      <c r="G112" s="131"/>
      <c r="H112" s="131"/>
      <c r="I112" s="13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98:I98"/>
    <mergeCell ref="A15:I15"/>
    <mergeCell ref="A26:I26"/>
    <mergeCell ref="A42:I42"/>
    <mergeCell ref="A52:I52"/>
    <mergeCell ref="A92:I92"/>
    <mergeCell ref="B93:G93"/>
    <mergeCell ref="B94:G94"/>
    <mergeCell ref="A96:I96"/>
    <mergeCell ref="A97:I97"/>
    <mergeCell ref="A80:I80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9"/>
  <sheetViews>
    <sheetView topLeftCell="A87" workbookViewId="0">
      <selection activeCell="A103" sqref="A103: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148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250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44074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92</v>
      </c>
      <c r="C20" s="64" t="s">
        <v>88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93</v>
      </c>
      <c r="C21" s="64" t="s">
        <v>88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32" t="s">
        <v>80</v>
      </c>
      <c r="B26" s="133"/>
      <c r="C26" s="133"/>
      <c r="D26" s="133"/>
      <c r="E26" s="133"/>
      <c r="F26" s="133"/>
      <c r="G26" s="133"/>
      <c r="H26" s="133"/>
      <c r="I26" s="13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5</v>
      </c>
      <c r="B28" s="63" t="s">
        <v>97</v>
      </c>
      <c r="C28" s="64" t="s">
        <v>127</v>
      </c>
      <c r="D28" s="63" t="s">
        <v>170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6</v>
      </c>
      <c r="B29" s="63" t="s">
        <v>138</v>
      </c>
      <c r="C29" s="64" t="s">
        <v>98</v>
      </c>
      <c r="D29" s="63" t="s">
        <v>169</v>
      </c>
      <c r="E29" s="66">
        <v>266.37</v>
      </c>
      <c r="F29" s="66">
        <f>SUM(E29*78/1000)</f>
        <v>20.776859999999999</v>
      </c>
      <c r="G29" s="66">
        <v>297.17</v>
      </c>
      <c r="H29" s="67">
        <f>SUM(F29*G29/1000)</f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98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>SUM(F30*G30/1000)</f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7</v>
      </c>
      <c r="B31" s="63" t="s">
        <v>101</v>
      </c>
      <c r="C31" s="64" t="s">
        <v>39</v>
      </c>
      <c r="D31" s="63" t="s">
        <v>174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62</v>
      </c>
      <c r="C32" s="64" t="s">
        <v>33</v>
      </c>
      <c r="D32" s="63" t="s">
        <v>130</v>
      </c>
      <c r="E32" s="65"/>
      <c r="F32" s="66">
        <v>2</v>
      </c>
      <c r="G32" s="66">
        <v>217.61</v>
      </c>
      <c r="H32" s="67">
        <f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63</v>
      </c>
      <c r="C33" s="64" t="s">
        <v>32</v>
      </c>
      <c r="D33" s="63" t="s">
        <v>130</v>
      </c>
      <c r="E33" s="65"/>
      <c r="F33" s="66">
        <v>1</v>
      </c>
      <c r="G33" s="66">
        <v>1292.47</v>
      </c>
      <c r="H33" s="67">
        <f>SUM(F33*G33/1000)</f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131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1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103</v>
      </c>
      <c r="C36" s="64" t="s">
        <v>29</v>
      </c>
      <c r="D36" s="63" t="s">
        <v>132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104</v>
      </c>
      <c r="C37" s="64" t="s">
        <v>105</v>
      </c>
      <c r="D37" s="63" t="s">
        <v>64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65</v>
      </c>
      <c r="C38" s="64" t="s">
        <v>29</v>
      </c>
      <c r="D38" s="63" t="s">
        <v>106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1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79</v>
      </c>
      <c r="C39" s="64" t="s">
        <v>98</v>
      </c>
      <c r="D39" s="63" t="s">
        <v>107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1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108</v>
      </c>
      <c r="C40" s="64" t="s">
        <v>98</v>
      </c>
      <c r="D40" s="63" t="s">
        <v>66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1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67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1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hidden="1" customHeight="1">
      <c r="A42" s="132" t="s">
        <v>135</v>
      </c>
      <c r="B42" s="133"/>
      <c r="C42" s="133"/>
      <c r="D42" s="133"/>
      <c r="E42" s="133"/>
      <c r="F42" s="133"/>
      <c r="G42" s="133"/>
      <c r="H42" s="133"/>
      <c r="I42" s="134"/>
      <c r="J42" s="23"/>
      <c r="L42" s="19"/>
      <c r="M42" s="20"/>
      <c r="N42" s="21"/>
    </row>
    <row r="43" spans="1:14" ht="15.75" hidden="1" customHeight="1">
      <c r="A43" s="29"/>
      <c r="B43" s="63" t="s">
        <v>109</v>
      </c>
      <c r="C43" s="64" t="s">
        <v>98</v>
      </c>
      <c r="D43" s="63" t="s">
        <v>41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2">SUM(F43*G43/1000)</f>
        <v>1.345267856</v>
      </c>
      <c r="I43" s="13">
        <v>0</v>
      </c>
      <c r="J43" s="23"/>
      <c r="L43" s="19"/>
      <c r="M43" s="20"/>
      <c r="N43" s="21"/>
    </row>
    <row r="44" spans="1:14" ht="15.75" hidden="1" customHeight="1">
      <c r="A44" s="29"/>
      <c r="B44" s="63" t="s">
        <v>34</v>
      </c>
      <c r="C44" s="64" t="s">
        <v>98</v>
      </c>
      <c r="D44" s="63" t="s">
        <v>41</v>
      </c>
      <c r="E44" s="65">
        <v>61</v>
      </c>
      <c r="F44" s="66">
        <f>E44*2/1000</f>
        <v>0.122</v>
      </c>
      <c r="G44" s="13">
        <v>3832.4</v>
      </c>
      <c r="H44" s="67">
        <f t="shared" si="2"/>
        <v>0.46755279999999999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3" t="s">
        <v>35</v>
      </c>
      <c r="C45" s="64" t="s">
        <v>98</v>
      </c>
      <c r="D45" s="63" t="s">
        <v>41</v>
      </c>
      <c r="E45" s="65">
        <v>3135.64</v>
      </c>
      <c r="F45" s="66">
        <f>SUM(E45*2/1000)</f>
        <v>6.27128</v>
      </c>
      <c r="G45" s="13">
        <v>1564.24</v>
      </c>
      <c r="H45" s="67">
        <f t="shared" si="2"/>
        <v>9.8097870272000005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36</v>
      </c>
      <c r="C46" s="64" t="s">
        <v>98</v>
      </c>
      <c r="D46" s="63" t="s">
        <v>41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2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3" t="s">
        <v>54</v>
      </c>
      <c r="C47" s="64" t="s">
        <v>98</v>
      </c>
      <c r="D47" s="63" t="s">
        <v>139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2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hidden="1" customHeight="1">
      <c r="A48" s="29"/>
      <c r="B48" s="63" t="s">
        <v>110</v>
      </c>
      <c r="C48" s="64" t="s">
        <v>98</v>
      </c>
      <c r="D48" s="63" t="s">
        <v>41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2"/>
        <v>1.6958488659999997</v>
      </c>
      <c r="I48" s="13">
        <v>0</v>
      </c>
      <c r="J48" s="23"/>
      <c r="L48" s="19"/>
      <c r="M48" s="20"/>
      <c r="N48" s="21"/>
    </row>
    <row r="49" spans="1:22" ht="31.5" hidden="1" customHeight="1">
      <c r="A49" s="44"/>
      <c r="B49" s="63" t="s">
        <v>111</v>
      </c>
      <c r="C49" s="64" t="s">
        <v>37</v>
      </c>
      <c r="D49" s="63" t="s">
        <v>41</v>
      </c>
      <c r="E49" s="65">
        <v>20</v>
      </c>
      <c r="F49" s="66">
        <f>SUM(E49*2/100)</f>
        <v>0.4</v>
      </c>
      <c r="G49" s="13">
        <v>3519.56</v>
      </c>
      <c r="H49" s="67">
        <f t="shared" si="2"/>
        <v>1.407824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6428.82</v>
      </c>
      <c r="H50" s="67">
        <f t="shared" si="2"/>
        <v>0.12857640000000001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10</v>
      </c>
      <c r="B51" s="63" t="s">
        <v>40</v>
      </c>
      <c r="C51" s="64" t="s">
        <v>112</v>
      </c>
      <c r="D51" s="63" t="s">
        <v>68</v>
      </c>
      <c r="E51" s="65">
        <v>170</v>
      </c>
      <c r="F51" s="66">
        <f>SUM(E51)*3</f>
        <v>510</v>
      </c>
      <c r="G51" s="13">
        <v>74.709999999999994</v>
      </c>
      <c r="H51" s="67">
        <f t="shared" si="2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32" t="s">
        <v>145</v>
      </c>
      <c r="B52" s="133"/>
      <c r="C52" s="133"/>
      <c r="D52" s="133"/>
      <c r="E52" s="133"/>
      <c r="F52" s="133"/>
      <c r="G52" s="133"/>
      <c r="H52" s="133"/>
      <c r="I52" s="13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113</v>
      </c>
      <c r="C54" s="64" t="s">
        <v>88</v>
      </c>
      <c r="D54" s="63" t="s">
        <v>114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133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8</v>
      </c>
      <c r="B57" s="74" t="s">
        <v>85</v>
      </c>
      <c r="C57" s="73" t="s">
        <v>25</v>
      </c>
      <c r="D57" s="74" t="s">
        <v>178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hidden="1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131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45</v>
      </c>
      <c r="C59" s="16" t="s">
        <v>112</v>
      </c>
      <c r="D59" s="14" t="s">
        <v>64</v>
      </c>
      <c r="E59" s="18">
        <v>25</v>
      </c>
      <c r="F59" s="66">
        <v>25</v>
      </c>
      <c r="G59" s="13">
        <v>252.96</v>
      </c>
      <c r="H59" s="79">
        <f t="shared" ref="H59:H73" si="3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112</v>
      </c>
      <c r="D60" s="14" t="s">
        <v>64</v>
      </c>
      <c r="E60" s="18">
        <v>2</v>
      </c>
      <c r="F60" s="66">
        <v>2</v>
      </c>
      <c r="G60" s="13">
        <v>86.74</v>
      </c>
      <c r="H60" s="79">
        <f t="shared" si="3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47</v>
      </c>
      <c r="C61" s="16" t="s">
        <v>115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3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38"/>
      <c r="S61" s="138"/>
      <c r="T61" s="138"/>
      <c r="U61" s="138"/>
    </row>
    <row r="62" spans="1:22" ht="15.75" hidden="1" customHeight="1">
      <c r="A62" s="29"/>
      <c r="B62" s="14" t="s">
        <v>48</v>
      </c>
      <c r="C62" s="16" t="s">
        <v>116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3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49</v>
      </c>
      <c r="C63" s="16" t="s">
        <v>74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3"/>
        <v>20.175605999999998</v>
      </c>
      <c r="I63" s="13">
        <v>0</v>
      </c>
    </row>
    <row r="64" spans="1:22" ht="15.75" hidden="1" customHeight="1">
      <c r="A64" s="29"/>
      <c r="B64" s="80" t="s">
        <v>117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3"/>
        <v>0.36696200000000001</v>
      </c>
      <c r="I64" s="13">
        <v>0</v>
      </c>
    </row>
    <row r="65" spans="1:9" ht="15.75" hidden="1" customHeight="1">
      <c r="A65" s="29"/>
      <c r="B65" s="80" t="s">
        <v>118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3"/>
        <v>0.342366</v>
      </c>
      <c r="I65" s="13">
        <v>0</v>
      </c>
    </row>
    <row r="66" spans="1:9" ht="15.75" hidden="1" customHeight="1">
      <c r="A66" s="29"/>
      <c r="B66" s="14" t="s">
        <v>55</v>
      </c>
      <c r="C66" s="16" t="s">
        <v>56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3"/>
        <v>0.28370000000000001</v>
      </c>
      <c r="I66" s="13">
        <v>0</v>
      </c>
    </row>
    <row r="67" spans="1:9" ht="15.75" customHeight="1">
      <c r="A67" s="29"/>
      <c r="B67" s="88" t="s">
        <v>69</v>
      </c>
      <c r="C67" s="16"/>
      <c r="D67" s="14"/>
      <c r="E67" s="18"/>
      <c r="F67" s="13"/>
      <c r="G67" s="13"/>
      <c r="H67" s="79" t="s">
        <v>131</v>
      </c>
      <c r="I67" s="13"/>
    </row>
    <row r="68" spans="1:9" ht="15.75" hidden="1" customHeight="1">
      <c r="A68" s="29"/>
      <c r="B68" s="14" t="s">
        <v>124</v>
      </c>
      <c r="C68" s="16" t="s">
        <v>125</v>
      </c>
      <c r="D68" s="14"/>
      <c r="E68" s="18">
        <v>4</v>
      </c>
      <c r="F68" s="13">
        <f>E68</f>
        <v>4</v>
      </c>
      <c r="G68" s="13">
        <v>113.57</v>
      </c>
      <c r="H68" s="79">
        <f t="shared" si="3"/>
        <v>0.45427999999999996</v>
      </c>
      <c r="I68" s="13">
        <v>0</v>
      </c>
    </row>
    <row r="69" spans="1:9" ht="15.75" customHeight="1">
      <c r="A69" s="29">
        <v>9</v>
      </c>
      <c r="B69" s="14" t="s">
        <v>70</v>
      </c>
      <c r="C69" s="16" t="s">
        <v>72</v>
      </c>
      <c r="D69" s="14" t="s">
        <v>251</v>
      </c>
      <c r="E69" s="18">
        <v>20</v>
      </c>
      <c r="F69" s="13">
        <v>2</v>
      </c>
      <c r="G69" s="13">
        <v>570.54</v>
      </c>
      <c r="H69" s="79">
        <f t="shared" si="3"/>
        <v>1.1410799999999999</v>
      </c>
      <c r="I69" s="13">
        <f>G69*1.8</f>
        <v>1026.972</v>
      </c>
    </row>
    <row r="70" spans="1:9" ht="15.75" hidden="1" customHeight="1">
      <c r="A70" s="29"/>
      <c r="B70" s="14" t="s">
        <v>71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82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73</v>
      </c>
      <c r="C72" s="16"/>
      <c r="D72" s="14"/>
      <c r="E72" s="18"/>
      <c r="F72" s="13"/>
      <c r="G72" s="13" t="s">
        <v>131</v>
      </c>
      <c r="H72" s="79" t="s">
        <v>131</v>
      </c>
      <c r="I72" s="13"/>
    </row>
    <row r="73" spans="1:9" ht="15.75" hidden="1" customHeight="1">
      <c r="A73" s="29"/>
      <c r="B73" s="43" t="s">
        <v>121</v>
      </c>
      <c r="C73" s="16" t="s">
        <v>74</v>
      </c>
      <c r="D73" s="14"/>
      <c r="E73" s="18"/>
      <c r="F73" s="13">
        <v>1</v>
      </c>
      <c r="G73" s="13">
        <v>3138.63</v>
      </c>
      <c r="H73" s="79">
        <f t="shared" si="3"/>
        <v>3.13863</v>
      </c>
      <c r="I73" s="13">
        <v>0</v>
      </c>
    </row>
    <row r="74" spans="1:9" ht="15.75" hidden="1" customHeight="1">
      <c r="A74" s="29"/>
      <c r="B74" s="55" t="s">
        <v>119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120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32" t="s">
        <v>146</v>
      </c>
      <c r="B76" s="133"/>
      <c r="C76" s="133"/>
      <c r="D76" s="133"/>
      <c r="E76" s="133"/>
      <c r="F76" s="133"/>
      <c r="G76" s="133"/>
      <c r="H76" s="133"/>
      <c r="I76" s="134"/>
    </row>
    <row r="77" spans="1:9" ht="15.75" customHeight="1">
      <c r="A77" s="29">
        <v>10</v>
      </c>
      <c r="B77" s="63" t="s">
        <v>122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11</v>
      </c>
      <c r="B78" s="14" t="s">
        <v>75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77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I78+I77+I69+I57+I31+I29+I28+I25+I18+I17+I16</f>
        <v>31777.501359033333</v>
      </c>
    </row>
    <row r="80" spans="1:9" ht="15.75" customHeight="1">
      <c r="A80" s="146" t="s">
        <v>58</v>
      </c>
      <c r="B80" s="147"/>
      <c r="C80" s="147"/>
      <c r="D80" s="147"/>
      <c r="E80" s="147"/>
      <c r="F80" s="147"/>
      <c r="G80" s="147"/>
      <c r="H80" s="147"/>
      <c r="I80" s="148"/>
    </row>
    <row r="81" spans="1:9" ht="17.25" customHeight="1">
      <c r="A81" s="29">
        <v>12</v>
      </c>
      <c r="B81" s="98" t="s">
        <v>157</v>
      </c>
      <c r="C81" s="108" t="s">
        <v>153</v>
      </c>
      <c r="D81" s="48"/>
      <c r="E81" s="34"/>
      <c r="F81" s="34">
        <v>54</v>
      </c>
      <c r="G81" s="34">
        <v>284</v>
      </c>
      <c r="H81" s="79">
        <f>G81*F81/1000</f>
        <v>15.336</v>
      </c>
      <c r="I81" s="85">
        <f>G81*16</f>
        <v>4544</v>
      </c>
    </row>
    <row r="82" spans="1:9" ht="17.25" customHeight="1">
      <c r="A82" s="29">
        <v>13</v>
      </c>
      <c r="B82" s="98" t="s">
        <v>252</v>
      </c>
      <c r="C82" s="108" t="s">
        <v>253</v>
      </c>
      <c r="D82" s="48"/>
      <c r="E82" s="34"/>
      <c r="F82" s="34">
        <v>2</v>
      </c>
      <c r="G82" s="34">
        <v>227</v>
      </c>
      <c r="H82" s="79"/>
      <c r="I82" s="85">
        <f>G82*2</f>
        <v>454</v>
      </c>
    </row>
    <row r="83" spans="1:9" ht="30" customHeight="1">
      <c r="A83" s="29">
        <v>14</v>
      </c>
      <c r="B83" s="106" t="s">
        <v>193</v>
      </c>
      <c r="C83" s="107" t="s">
        <v>194</v>
      </c>
      <c r="D83" s="48"/>
      <c r="E83" s="34"/>
      <c r="F83" s="34">
        <v>2.2999999999999998</v>
      </c>
      <c r="G83" s="34">
        <v>1873.58</v>
      </c>
      <c r="H83" s="79"/>
      <c r="I83" s="85">
        <f>G83*0.4</f>
        <v>749.43200000000002</v>
      </c>
    </row>
    <row r="84" spans="1:9" ht="17.25" customHeight="1">
      <c r="A84" s="29">
        <v>15</v>
      </c>
      <c r="B84" s="98" t="s">
        <v>195</v>
      </c>
      <c r="C84" s="49" t="s">
        <v>196</v>
      </c>
      <c r="D84" s="48"/>
      <c r="E84" s="34"/>
      <c r="F84" s="34">
        <v>5</v>
      </c>
      <c r="G84" s="34">
        <v>923.85</v>
      </c>
      <c r="H84" s="79"/>
      <c r="I84" s="85">
        <f>G84*2</f>
        <v>1847.7</v>
      </c>
    </row>
    <row r="85" spans="1:9" ht="17.25" customHeight="1">
      <c r="A85" s="29">
        <v>16</v>
      </c>
      <c r="B85" s="98" t="s">
        <v>78</v>
      </c>
      <c r="C85" s="49" t="s">
        <v>112</v>
      </c>
      <c r="D85" s="48"/>
      <c r="E85" s="34"/>
      <c r="F85" s="34">
        <v>11</v>
      </c>
      <c r="G85" s="34">
        <v>215.85</v>
      </c>
      <c r="H85" s="79"/>
      <c r="I85" s="85">
        <f>G85*6</f>
        <v>1295.0999999999999</v>
      </c>
    </row>
    <row r="86" spans="1:9" ht="30" customHeight="1">
      <c r="A86" s="29">
        <v>17</v>
      </c>
      <c r="B86" s="98" t="s">
        <v>163</v>
      </c>
      <c r="C86" s="49" t="s">
        <v>37</v>
      </c>
      <c r="D86" s="48"/>
      <c r="E86" s="34"/>
      <c r="F86" s="34">
        <v>0.05</v>
      </c>
      <c r="G86" s="34">
        <v>4070.89</v>
      </c>
      <c r="H86" s="79"/>
      <c r="I86" s="85">
        <f>G86*0.02</f>
        <v>81.4178</v>
      </c>
    </row>
    <row r="87" spans="1:9" ht="17.25" customHeight="1">
      <c r="A87" s="29">
        <v>18</v>
      </c>
      <c r="B87" s="98" t="s">
        <v>185</v>
      </c>
      <c r="C87" s="49" t="s">
        <v>29</v>
      </c>
      <c r="D87" s="48"/>
      <c r="E87" s="34"/>
      <c r="F87" s="34">
        <v>0.06</v>
      </c>
      <c r="G87" s="34">
        <v>1266.5</v>
      </c>
      <c r="H87" s="79"/>
      <c r="I87" s="85">
        <f>G87*0.06</f>
        <v>75.989999999999995</v>
      </c>
    </row>
    <row r="88" spans="1:9" ht="29.25" customHeight="1">
      <c r="A88" s="29">
        <v>19</v>
      </c>
      <c r="B88" s="98" t="s">
        <v>254</v>
      </c>
      <c r="C88" s="49" t="s">
        <v>112</v>
      </c>
      <c r="D88" s="48"/>
      <c r="E88" s="34"/>
      <c r="F88" s="34">
        <v>1</v>
      </c>
      <c r="G88" s="34">
        <v>94.76</v>
      </c>
      <c r="H88" s="79"/>
      <c r="I88" s="85">
        <f>G88*1</f>
        <v>94.76</v>
      </c>
    </row>
    <row r="89" spans="1:9" ht="32.25" customHeight="1">
      <c r="A89" s="29">
        <v>20</v>
      </c>
      <c r="B89" s="98" t="s">
        <v>255</v>
      </c>
      <c r="C89" s="49" t="s">
        <v>112</v>
      </c>
      <c r="D89" s="48" t="s">
        <v>262</v>
      </c>
      <c r="E89" s="34"/>
      <c r="F89" s="34">
        <v>1</v>
      </c>
      <c r="G89" s="34">
        <v>764.83</v>
      </c>
      <c r="H89" s="79"/>
      <c r="I89" s="85">
        <f>G89*1</f>
        <v>764.83</v>
      </c>
    </row>
    <row r="90" spans="1:9" ht="17.25" customHeight="1">
      <c r="A90" s="29">
        <v>21</v>
      </c>
      <c r="B90" s="98" t="s">
        <v>256</v>
      </c>
      <c r="C90" s="49" t="s">
        <v>112</v>
      </c>
      <c r="D90" s="48"/>
      <c r="E90" s="34"/>
      <c r="F90" s="34">
        <v>1</v>
      </c>
      <c r="G90" s="34">
        <v>86</v>
      </c>
      <c r="H90" s="79"/>
      <c r="I90" s="85">
        <f>G90*1</f>
        <v>86</v>
      </c>
    </row>
    <row r="91" spans="1:9" ht="17.25" customHeight="1">
      <c r="A91" s="29">
        <v>22</v>
      </c>
      <c r="B91" s="98" t="s">
        <v>257</v>
      </c>
      <c r="C91" s="49" t="s">
        <v>182</v>
      </c>
      <c r="D91" s="48" t="s">
        <v>258</v>
      </c>
      <c r="E91" s="34"/>
      <c r="F91" s="34">
        <v>3</v>
      </c>
      <c r="G91" s="34">
        <v>3498.52</v>
      </c>
      <c r="H91" s="79"/>
      <c r="I91" s="85">
        <f>G91*3</f>
        <v>10495.56</v>
      </c>
    </row>
    <row r="92" spans="1:9" ht="17.25" customHeight="1">
      <c r="A92" s="29">
        <v>23</v>
      </c>
      <c r="B92" s="98" t="s">
        <v>183</v>
      </c>
      <c r="C92" s="49" t="s">
        <v>112</v>
      </c>
      <c r="D92" s="48" t="s">
        <v>260</v>
      </c>
      <c r="E92" s="34"/>
      <c r="F92" s="34">
        <v>3</v>
      </c>
      <c r="G92" s="34">
        <v>837</v>
      </c>
      <c r="H92" s="79"/>
      <c r="I92" s="85">
        <f>G92*3</f>
        <v>2511</v>
      </c>
    </row>
    <row r="93" spans="1:9" ht="17.25" customHeight="1">
      <c r="A93" s="29">
        <v>24</v>
      </c>
      <c r="B93" s="98" t="s">
        <v>186</v>
      </c>
      <c r="C93" s="49" t="s">
        <v>112</v>
      </c>
      <c r="D93" s="48" t="s">
        <v>261</v>
      </c>
      <c r="E93" s="34"/>
      <c r="F93" s="34">
        <v>2</v>
      </c>
      <c r="G93" s="34">
        <v>1000</v>
      </c>
      <c r="H93" s="79"/>
      <c r="I93" s="85">
        <f>G93*2</f>
        <v>2000</v>
      </c>
    </row>
    <row r="94" spans="1:9" ht="17.25" customHeight="1">
      <c r="A94" s="29">
        <v>25</v>
      </c>
      <c r="B94" s="98" t="s">
        <v>184</v>
      </c>
      <c r="C94" s="49" t="s">
        <v>112</v>
      </c>
      <c r="D94" s="48" t="s">
        <v>125</v>
      </c>
      <c r="E94" s="34"/>
      <c r="F94" s="34">
        <v>1</v>
      </c>
      <c r="G94" s="34">
        <v>890</v>
      </c>
      <c r="H94" s="79"/>
      <c r="I94" s="85">
        <f>G94*1</f>
        <v>890</v>
      </c>
    </row>
    <row r="95" spans="1:9" ht="17.25" customHeight="1">
      <c r="A95" s="29">
        <v>26</v>
      </c>
      <c r="B95" s="98" t="s">
        <v>160</v>
      </c>
      <c r="C95" s="49" t="s">
        <v>32</v>
      </c>
      <c r="D95" s="48" t="s">
        <v>259</v>
      </c>
      <c r="E95" s="34"/>
      <c r="F95" s="34">
        <v>2</v>
      </c>
      <c r="G95" s="34">
        <v>1800</v>
      </c>
      <c r="H95" s="79"/>
      <c r="I95" s="85">
        <f>G95*2</f>
        <v>3600</v>
      </c>
    </row>
    <row r="96" spans="1:9" ht="15.75" customHeight="1">
      <c r="A96" s="29"/>
      <c r="B96" s="41" t="s">
        <v>50</v>
      </c>
      <c r="C96" s="37"/>
      <c r="D96" s="45"/>
      <c r="E96" s="37">
        <v>1</v>
      </c>
      <c r="F96" s="37"/>
      <c r="G96" s="37"/>
      <c r="H96" s="37"/>
      <c r="I96" s="32">
        <f>SUM(I81:I95)</f>
        <v>29489.789799999999</v>
      </c>
    </row>
    <row r="97" spans="1:9" ht="15.75" customHeight="1">
      <c r="A97" s="29"/>
      <c r="B97" s="43" t="s">
        <v>76</v>
      </c>
      <c r="C97" s="15"/>
      <c r="D97" s="15"/>
      <c r="E97" s="38"/>
      <c r="F97" s="38"/>
      <c r="G97" s="39"/>
      <c r="H97" s="39"/>
      <c r="I97" s="17">
        <v>0</v>
      </c>
    </row>
    <row r="98" spans="1:9" ht="15.75" customHeight="1">
      <c r="A98" s="46"/>
      <c r="B98" s="42" t="s">
        <v>151</v>
      </c>
      <c r="C98" s="33"/>
      <c r="D98" s="33"/>
      <c r="E98" s="33"/>
      <c r="F98" s="33"/>
      <c r="G98" s="33"/>
      <c r="H98" s="33"/>
      <c r="I98" s="40">
        <f>I79+I96</f>
        <v>61267.291159033331</v>
      </c>
    </row>
    <row r="99" spans="1:9" ht="15.75">
      <c r="A99" s="145" t="s">
        <v>317</v>
      </c>
      <c r="B99" s="145"/>
      <c r="C99" s="145"/>
      <c r="D99" s="145"/>
      <c r="E99" s="145"/>
      <c r="F99" s="145"/>
      <c r="G99" s="145"/>
      <c r="H99" s="145"/>
      <c r="I99" s="145"/>
    </row>
    <row r="100" spans="1:9" ht="15.75">
      <c r="A100" s="56"/>
      <c r="B100" s="140" t="s">
        <v>318</v>
      </c>
      <c r="C100" s="140"/>
      <c r="D100" s="140"/>
      <c r="E100" s="140"/>
      <c r="F100" s="140"/>
      <c r="G100" s="140"/>
      <c r="H100" s="61"/>
      <c r="I100" s="3"/>
    </row>
    <row r="101" spans="1:9">
      <c r="A101" s="53"/>
      <c r="B101" s="136" t="s">
        <v>6</v>
      </c>
      <c r="C101" s="136"/>
      <c r="D101" s="136"/>
      <c r="E101" s="136"/>
      <c r="F101" s="136"/>
      <c r="G101" s="136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41" t="s">
        <v>7</v>
      </c>
      <c r="B103" s="141"/>
      <c r="C103" s="141"/>
      <c r="D103" s="141"/>
      <c r="E103" s="141"/>
      <c r="F103" s="141"/>
      <c r="G103" s="141"/>
      <c r="H103" s="141"/>
      <c r="I103" s="141"/>
    </row>
    <row r="104" spans="1:9" ht="15.75">
      <c r="A104" s="141" t="s">
        <v>8</v>
      </c>
      <c r="B104" s="141"/>
      <c r="C104" s="141"/>
      <c r="D104" s="141"/>
      <c r="E104" s="141"/>
      <c r="F104" s="141"/>
      <c r="G104" s="141"/>
      <c r="H104" s="141"/>
      <c r="I104" s="141"/>
    </row>
    <row r="105" spans="1:9" ht="15.75">
      <c r="A105" s="142" t="s">
        <v>59</v>
      </c>
      <c r="B105" s="142"/>
      <c r="C105" s="142"/>
      <c r="D105" s="142"/>
      <c r="E105" s="142"/>
      <c r="F105" s="142"/>
      <c r="G105" s="142"/>
      <c r="H105" s="142"/>
      <c r="I105" s="142"/>
    </row>
    <row r="106" spans="1:9" ht="15.75">
      <c r="A106" s="11"/>
    </row>
    <row r="107" spans="1:9" ht="15.75">
      <c r="A107" s="143" t="s">
        <v>9</v>
      </c>
      <c r="B107" s="143"/>
      <c r="C107" s="143"/>
      <c r="D107" s="143"/>
      <c r="E107" s="143"/>
      <c r="F107" s="143"/>
      <c r="G107" s="143"/>
      <c r="H107" s="143"/>
      <c r="I107" s="143"/>
    </row>
    <row r="108" spans="1:9" ht="15.75">
      <c r="A108" s="4"/>
    </row>
    <row r="109" spans="1:9" ht="15.75">
      <c r="B109" s="51" t="s">
        <v>10</v>
      </c>
      <c r="C109" s="135" t="s">
        <v>84</v>
      </c>
      <c r="D109" s="135"/>
      <c r="E109" s="135"/>
      <c r="F109" s="59"/>
      <c r="I109" s="52"/>
    </row>
    <row r="110" spans="1:9">
      <c r="A110" s="53"/>
      <c r="C110" s="136" t="s">
        <v>11</v>
      </c>
      <c r="D110" s="136"/>
      <c r="E110" s="136"/>
      <c r="F110" s="24"/>
      <c r="I110" s="50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51" t="s">
        <v>13</v>
      </c>
      <c r="C112" s="137"/>
      <c r="D112" s="137"/>
      <c r="E112" s="137"/>
      <c r="F112" s="60"/>
      <c r="I112" s="52"/>
    </row>
    <row r="113" spans="1:9">
      <c r="A113" s="53"/>
      <c r="C113" s="138" t="s">
        <v>11</v>
      </c>
      <c r="D113" s="138"/>
      <c r="E113" s="138"/>
      <c r="F113" s="53"/>
      <c r="I113" s="50" t="s">
        <v>12</v>
      </c>
    </row>
    <row r="114" spans="1:9" ht="15.75">
      <c r="A114" s="4" t="s">
        <v>14</v>
      </c>
    </row>
    <row r="115" spans="1:9">
      <c r="A115" s="139" t="s">
        <v>15</v>
      </c>
      <c r="B115" s="139"/>
      <c r="C115" s="139"/>
      <c r="D115" s="139"/>
      <c r="E115" s="139"/>
      <c r="F115" s="139"/>
      <c r="G115" s="139"/>
      <c r="H115" s="139"/>
      <c r="I115" s="139"/>
    </row>
    <row r="116" spans="1:9" ht="45" customHeight="1">
      <c r="A116" s="131" t="s">
        <v>16</v>
      </c>
      <c r="B116" s="131"/>
      <c r="C116" s="131"/>
      <c r="D116" s="131"/>
      <c r="E116" s="131"/>
      <c r="F116" s="131"/>
      <c r="G116" s="131"/>
      <c r="H116" s="131"/>
      <c r="I116" s="131"/>
    </row>
    <row r="117" spans="1:9" ht="30" customHeight="1">
      <c r="A117" s="131" t="s">
        <v>17</v>
      </c>
      <c r="B117" s="131"/>
      <c r="C117" s="131"/>
      <c r="D117" s="131"/>
      <c r="E117" s="131"/>
      <c r="F117" s="131"/>
      <c r="G117" s="131"/>
      <c r="H117" s="131"/>
      <c r="I117" s="131"/>
    </row>
    <row r="118" spans="1:9" ht="30" customHeight="1">
      <c r="A118" s="131" t="s">
        <v>21</v>
      </c>
      <c r="B118" s="131"/>
      <c r="C118" s="131"/>
      <c r="D118" s="131"/>
      <c r="E118" s="131"/>
      <c r="F118" s="131"/>
      <c r="G118" s="131"/>
      <c r="H118" s="131"/>
      <c r="I118" s="131"/>
    </row>
    <row r="119" spans="1:9" ht="15" customHeight="1">
      <c r="A119" s="131" t="s">
        <v>20</v>
      </c>
      <c r="B119" s="131"/>
      <c r="C119" s="131"/>
      <c r="D119" s="131"/>
      <c r="E119" s="131"/>
      <c r="F119" s="131"/>
      <c r="G119" s="131"/>
      <c r="H119" s="131"/>
      <c r="I119" s="13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105:I105"/>
    <mergeCell ref="A15:I15"/>
    <mergeCell ref="A26:I26"/>
    <mergeCell ref="A42:I42"/>
    <mergeCell ref="A52:I52"/>
    <mergeCell ref="A99:I99"/>
    <mergeCell ref="B100:G100"/>
    <mergeCell ref="B101:G101"/>
    <mergeCell ref="A103:I103"/>
    <mergeCell ref="A104:I104"/>
    <mergeCell ref="A80:I80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3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158</v>
      </c>
      <c r="I1" s="26"/>
      <c r="J1" s="1"/>
      <c r="K1" s="1"/>
      <c r="L1" s="1"/>
      <c r="M1" s="1"/>
    </row>
    <row r="2" spans="1:13" ht="15.75">
      <c r="A2" s="28" t="s">
        <v>60</v>
      </c>
      <c r="J2" s="2"/>
      <c r="K2" s="2"/>
      <c r="L2" s="2"/>
      <c r="M2" s="2"/>
    </row>
    <row r="3" spans="1:13" ht="15.75" customHeight="1">
      <c r="A3" s="150" t="s">
        <v>149</v>
      </c>
      <c r="B3" s="150"/>
      <c r="C3" s="150"/>
      <c r="D3" s="150"/>
      <c r="E3" s="150"/>
      <c r="F3" s="150"/>
      <c r="G3" s="150"/>
      <c r="H3" s="150"/>
      <c r="I3" s="150"/>
      <c r="J3" s="3"/>
      <c r="K3" s="3"/>
      <c r="L3" s="3"/>
    </row>
    <row r="4" spans="1:13" ht="31.5" customHeight="1">
      <c r="A4" s="151" t="s">
        <v>123</v>
      </c>
      <c r="B4" s="151"/>
      <c r="C4" s="151"/>
      <c r="D4" s="151"/>
      <c r="E4" s="151"/>
      <c r="F4" s="151"/>
      <c r="G4" s="151"/>
      <c r="H4" s="151"/>
      <c r="I4" s="151"/>
    </row>
    <row r="5" spans="1:13" ht="15.75">
      <c r="A5" s="150" t="s">
        <v>263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44104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159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155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9" t="s">
        <v>57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>
      <c r="A15" s="144" t="s">
        <v>4</v>
      </c>
      <c r="B15" s="144"/>
      <c r="C15" s="144"/>
      <c r="D15" s="144"/>
      <c r="E15" s="144"/>
      <c r="F15" s="144"/>
      <c r="G15" s="144"/>
      <c r="H15" s="144"/>
      <c r="I15" s="144"/>
      <c r="J15" s="8"/>
      <c r="K15" s="8"/>
      <c r="L15" s="8"/>
      <c r="M15" s="8"/>
    </row>
    <row r="16" spans="1:13" ht="15.75" customHeight="1">
      <c r="A16" s="29">
        <v>1</v>
      </c>
      <c r="B16" s="63" t="s">
        <v>81</v>
      </c>
      <c r="C16" s="64" t="s">
        <v>88</v>
      </c>
      <c r="D16" s="63" t="s">
        <v>169</v>
      </c>
      <c r="E16" s="65">
        <v>90.18</v>
      </c>
      <c r="F16" s="66">
        <f>SUM(E16*156/100)</f>
        <v>140.6808</v>
      </c>
      <c r="G16" s="66">
        <v>199.46</v>
      </c>
      <c r="H16" s="67">
        <f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87</v>
      </c>
      <c r="C17" s="64" t="s">
        <v>88</v>
      </c>
      <c r="D17" s="63" t="s">
        <v>170</v>
      </c>
      <c r="E17" s="65">
        <v>360.72</v>
      </c>
      <c r="F17" s="66">
        <f>SUM(E17*104/100)</f>
        <v>375.14880000000005</v>
      </c>
      <c r="G17" s="66">
        <v>199.46</v>
      </c>
      <c r="H17" s="67">
        <f>SUM(F17*G17/1000)</f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134</v>
      </c>
      <c r="C18" s="64" t="s">
        <v>88</v>
      </c>
      <c r="D18" s="63" t="s">
        <v>171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>SUM(F18*G18/1000)</f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89</v>
      </c>
      <c r="C19" s="64" t="s">
        <v>90</v>
      </c>
      <c r="D19" s="63" t="s">
        <v>91</v>
      </c>
      <c r="E19" s="65">
        <v>14.4</v>
      </c>
      <c r="F19" s="66">
        <f>SUM(E19/10)</f>
        <v>1.44</v>
      </c>
      <c r="G19" s="66">
        <v>193.55</v>
      </c>
      <c r="H19" s="67">
        <f t="shared" ref="H19:H24" si="0">SUM(F19*G19/1000)</f>
        <v>0.27871200000000002</v>
      </c>
      <c r="I19" s="13">
        <f>F19/12*G19</f>
        <v>23.225999999999999</v>
      </c>
      <c r="J19" s="22"/>
      <c r="K19" s="8"/>
      <c r="L19" s="8"/>
      <c r="M19" s="8"/>
    </row>
    <row r="20" spans="1:13" ht="15.75" customHeight="1">
      <c r="A20" s="29">
        <v>4</v>
      </c>
      <c r="B20" s="63" t="s">
        <v>92</v>
      </c>
      <c r="C20" s="64" t="s">
        <v>88</v>
      </c>
      <c r="D20" s="63" t="s">
        <v>177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f>F20/2*G20</f>
        <v>36.280847999999999</v>
      </c>
      <c r="J20" s="22"/>
      <c r="K20" s="8"/>
      <c r="L20" s="8"/>
      <c r="M20" s="8"/>
    </row>
    <row r="21" spans="1:13" ht="15.75" customHeight="1">
      <c r="A21" s="29">
        <v>5</v>
      </c>
      <c r="B21" s="63" t="s">
        <v>93</v>
      </c>
      <c r="C21" s="64" t="s">
        <v>88</v>
      </c>
      <c r="D21" s="63" t="s">
        <v>177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f>F21/2*G21</f>
        <v>24.777647999999999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94</v>
      </c>
      <c r="C22" s="64" t="s">
        <v>51</v>
      </c>
      <c r="D22" s="63" t="s">
        <v>91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95</v>
      </c>
      <c r="C23" s="64" t="s">
        <v>51</v>
      </c>
      <c r="D23" s="63" t="s">
        <v>91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96</v>
      </c>
      <c r="C24" s="64" t="s">
        <v>51</v>
      </c>
      <c r="D24" s="63" t="s">
        <v>91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6</v>
      </c>
      <c r="B25" s="109" t="s">
        <v>168</v>
      </c>
      <c r="C25" s="110" t="s">
        <v>25</v>
      </c>
      <c r="D25" s="109" t="s">
        <v>172</v>
      </c>
      <c r="E25" s="111">
        <v>2.71</v>
      </c>
      <c r="F25" s="112">
        <f>E25*258</f>
        <v>699.18</v>
      </c>
      <c r="G25" s="112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32" t="s">
        <v>80</v>
      </c>
      <c r="B26" s="133"/>
      <c r="C26" s="133"/>
      <c r="D26" s="133"/>
      <c r="E26" s="133"/>
      <c r="F26" s="133"/>
      <c r="G26" s="133"/>
      <c r="H26" s="133"/>
      <c r="I26" s="13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7</v>
      </c>
      <c r="B28" s="63" t="s">
        <v>97</v>
      </c>
      <c r="C28" s="64" t="s">
        <v>127</v>
      </c>
      <c r="D28" s="63" t="s">
        <v>170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8</v>
      </c>
      <c r="B29" s="63" t="s">
        <v>138</v>
      </c>
      <c r="C29" s="64" t="s">
        <v>98</v>
      </c>
      <c r="D29" s="63" t="s">
        <v>169</v>
      </c>
      <c r="E29" s="66">
        <v>266.37</v>
      </c>
      <c r="F29" s="66">
        <f>SUM(E29*78/1000)</f>
        <v>20.776859999999999</v>
      </c>
      <c r="G29" s="66">
        <v>297.17</v>
      </c>
      <c r="H29" s="67">
        <f>SUM(F29*G29/1000)</f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98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>SUM(F30*G30/1000)</f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9</v>
      </c>
      <c r="B31" s="63" t="s">
        <v>101</v>
      </c>
      <c r="C31" s="64" t="s">
        <v>39</v>
      </c>
      <c r="D31" s="63" t="s">
        <v>174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62</v>
      </c>
      <c r="C32" s="64" t="s">
        <v>33</v>
      </c>
      <c r="D32" s="63" t="s">
        <v>130</v>
      </c>
      <c r="E32" s="65"/>
      <c r="F32" s="66">
        <v>2</v>
      </c>
      <c r="G32" s="66">
        <v>217.61</v>
      </c>
      <c r="H32" s="67">
        <f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63</v>
      </c>
      <c r="C33" s="64" t="s">
        <v>32</v>
      </c>
      <c r="D33" s="63" t="s">
        <v>130</v>
      </c>
      <c r="E33" s="65"/>
      <c r="F33" s="66">
        <v>1</v>
      </c>
      <c r="G33" s="66">
        <v>1292.47</v>
      </c>
      <c r="H33" s="67">
        <f>SUM(F33*G33/1000)</f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131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1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103</v>
      </c>
      <c r="C36" s="64" t="s">
        <v>29</v>
      </c>
      <c r="D36" s="63" t="s">
        <v>132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104</v>
      </c>
      <c r="C37" s="64" t="s">
        <v>105</v>
      </c>
      <c r="D37" s="63" t="s">
        <v>64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65</v>
      </c>
      <c r="C38" s="64" t="s">
        <v>29</v>
      </c>
      <c r="D38" s="63" t="s">
        <v>106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1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79</v>
      </c>
      <c r="C39" s="64" t="s">
        <v>98</v>
      </c>
      <c r="D39" s="63" t="s">
        <v>107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1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108</v>
      </c>
      <c r="C40" s="64" t="s">
        <v>98</v>
      </c>
      <c r="D40" s="63" t="s">
        <v>66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1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67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1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customHeight="1">
      <c r="A42" s="132" t="s">
        <v>135</v>
      </c>
      <c r="B42" s="133"/>
      <c r="C42" s="133"/>
      <c r="D42" s="133"/>
      <c r="E42" s="133"/>
      <c r="F42" s="133"/>
      <c r="G42" s="133"/>
      <c r="H42" s="133"/>
      <c r="I42" s="134"/>
      <c r="J42" s="23"/>
      <c r="L42" s="19"/>
      <c r="M42" s="20"/>
      <c r="N42" s="21"/>
    </row>
    <row r="43" spans="1:14" ht="17.25" customHeight="1">
      <c r="A43" s="29">
        <v>10</v>
      </c>
      <c r="B43" s="63" t="s">
        <v>109</v>
      </c>
      <c r="C43" s="64" t="s">
        <v>98</v>
      </c>
      <c r="D43" s="63" t="s">
        <v>177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2">SUM(F43*G43/1000)</f>
        <v>1.345267856</v>
      </c>
      <c r="I43" s="13">
        <f>F43/2*G43</f>
        <v>672.63392799999997</v>
      </c>
      <c r="J43" s="23"/>
      <c r="L43" s="19"/>
      <c r="M43" s="20"/>
      <c r="N43" s="21"/>
    </row>
    <row r="44" spans="1:14" ht="16.5" customHeight="1">
      <c r="A44" s="29">
        <v>11</v>
      </c>
      <c r="B44" s="63" t="s">
        <v>34</v>
      </c>
      <c r="C44" s="64" t="s">
        <v>98</v>
      </c>
      <c r="D44" s="63" t="s">
        <v>177</v>
      </c>
      <c r="E44" s="65">
        <v>61</v>
      </c>
      <c r="F44" s="66">
        <f>E44*2/1000</f>
        <v>0.122</v>
      </c>
      <c r="G44" s="13">
        <v>3832.4</v>
      </c>
      <c r="H44" s="67">
        <f t="shared" si="2"/>
        <v>0.46755279999999999</v>
      </c>
      <c r="I44" s="13">
        <f>F44/2*G44</f>
        <v>233.7764</v>
      </c>
      <c r="J44" s="23"/>
      <c r="L44" s="19"/>
      <c r="M44" s="20"/>
      <c r="N44" s="21"/>
    </row>
    <row r="45" spans="1:14" ht="18" customHeight="1">
      <c r="A45" s="29">
        <v>12</v>
      </c>
      <c r="B45" s="63" t="s">
        <v>35</v>
      </c>
      <c r="C45" s="64" t="s">
        <v>98</v>
      </c>
      <c r="D45" s="63" t="s">
        <v>177</v>
      </c>
      <c r="E45" s="65">
        <v>3135.64</v>
      </c>
      <c r="F45" s="66">
        <f>SUM(E45*2/1000)</f>
        <v>6.27128</v>
      </c>
      <c r="G45" s="13">
        <v>1564.24</v>
      </c>
      <c r="H45" s="67">
        <f t="shared" si="2"/>
        <v>9.8097870272000005</v>
      </c>
      <c r="I45" s="13">
        <f>F45/2*G45</f>
        <v>4904.8935136</v>
      </c>
      <c r="J45" s="23"/>
      <c r="L45" s="19"/>
      <c r="M45" s="20"/>
      <c r="N45" s="21"/>
    </row>
    <row r="46" spans="1:14" ht="18" customHeight="1">
      <c r="A46" s="29">
        <v>13</v>
      </c>
      <c r="B46" s="63" t="s">
        <v>36</v>
      </c>
      <c r="C46" s="64" t="s">
        <v>98</v>
      </c>
      <c r="D46" s="63" t="s">
        <v>177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2"/>
        <v>3.6199898183999997</v>
      </c>
      <c r="I46" s="13">
        <f>F46/2*G46</f>
        <v>1809.9949091999999</v>
      </c>
      <c r="J46" s="23"/>
      <c r="L46" s="19"/>
      <c r="M46" s="20"/>
      <c r="N46" s="21"/>
    </row>
    <row r="47" spans="1:14" ht="30" customHeight="1">
      <c r="A47" s="29">
        <v>14</v>
      </c>
      <c r="B47" s="63" t="s">
        <v>54</v>
      </c>
      <c r="C47" s="64" t="s">
        <v>98</v>
      </c>
      <c r="D47" s="63" t="s">
        <v>177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2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customHeight="1">
      <c r="A48" s="29">
        <v>15</v>
      </c>
      <c r="B48" s="63" t="s">
        <v>110</v>
      </c>
      <c r="C48" s="64" t="s">
        <v>98</v>
      </c>
      <c r="D48" s="63" t="s">
        <v>177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2"/>
        <v>1.6958488659999997</v>
      </c>
      <c r="I48" s="13">
        <f>F48/2*G48</f>
        <v>847.92443299999991</v>
      </c>
      <c r="J48" s="23"/>
      <c r="L48" s="19"/>
      <c r="M48" s="20"/>
      <c r="N48" s="21"/>
    </row>
    <row r="49" spans="1:22" ht="31.5" customHeight="1">
      <c r="A49" s="29">
        <v>16</v>
      </c>
      <c r="B49" s="63" t="s">
        <v>111</v>
      </c>
      <c r="C49" s="64" t="s">
        <v>37</v>
      </c>
      <c r="D49" s="63" t="s">
        <v>177</v>
      </c>
      <c r="E49" s="65">
        <v>20</v>
      </c>
      <c r="F49" s="66">
        <f>SUM(E49*2/100)</f>
        <v>0.4</v>
      </c>
      <c r="G49" s="13">
        <v>3519.56</v>
      </c>
      <c r="H49" s="67">
        <f t="shared" si="2"/>
        <v>1.407824</v>
      </c>
      <c r="I49" s="13">
        <f>F49/2*G49</f>
        <v>703.91200000000003</v>
      </c>
      <c r="J49" s="23"/>
      <c r="L49" s="19"/>
      <c r="M49" s="20"/>
      <c r="N49" s="21"/>
    </row>
    <row r="50" spans="1:22" ht="15.75" customHeight="1">
      <c r="A50" s="29">
        <v>17</v>
      </c>
      <c r="B50" s="63" t="s">
        <v>38</v>
      </c>
      <c r="C50" s="64" t="s">
        <v>39</v>
      </c>
      <c r="D50" s="63" t="s">
        <v>177</v>
      </c>
      <c r="E50" s="65">
        <v>1</v>
      </c>
      <c r="F50" s="66">
        <v>0.02</v>
      </c>
      <c r="G50" s="13">
        <v>6428.82</v>
      </c>
      <c r="H50" s="67">
        <f t="shared" si="2"/>
        <v>0.12857640000000001</v>
      </c>
      <c r="I50" s="13">
        <f>F50/2*G50</f>
        <v>64.288200000000003</v>
      </c>
      <c r="J50" s="23"/>
      <c r="L50" s="19"/>
      <c r="M50" s="20"/>
      <c r="N50" s="21"/>
    </row>
    <row r="51" spans="1:22" ht="15.75" customHeight="1">
      <c r="A51" s="29">
        <v>18</v>
      </c>
      <c r="B51" s="63" t="s">
        <v>40</v>
      </c>
      <c r="C51" s="64" t="s">
        <v>112</v>
      </c>
      <c r="D51" s="113">
        <v>44092</v>
      </c>
      <c r="E51" s="65">
        <v>170</v>
      </c>
      <c r="F51" s="66">
        <f>SUM(E51)*3</f>
        <v>510</v>
      </c>
      <c r="G51" s="13">
        <v>74.709999999999994</v>
      </c>
      <c r="H51" s="67">
        <f t="shared" si="2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32" t="s">
        <v>136</v>
      </c>
      <c r="B52" s="133"/>
      <c r="C52" s="133"/>
      <c r="D52" s="133"/>
      <c r="E52" s="133"/>
      <c r="F52" s="133"/>
      <c r="G52" s="133"/>
      <c r="H52" s="133"/>
      <c r="I52" s="13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113</v>
      </c>
      <c r="C54" s="64" t="s">
        <v>88</v>
      </c>
      <c r="D54" s="63" t="s">
        <v>114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133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19</v>
      </c>
      <c r="B57" s="74" t="s">
        <v>85</v>
      </c>
      <c r="C57" s="73" t="s">
        <v>25</v>
      </c>
      <c r="D57" s="74" t="s">
        <v>177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131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29">
        <v>20</v>
      </c>
      <c r="B59" s="14" t="s">
        <v>45</v>
      </c>
      <c r="C59" s="16" t="s">
        <v>112</v>
      </c>
      <c r="D59" s="14" t="s">
        <v>171</v>
      </c>
      <c r="E59" s="18">
        <v>25</v>
      </c>
      <c r="F59" s="66">
        <v>25</v>
      </c>
      <c r="G59" s="13">
        <v>252.96</v>
      </c>
      <c r="H59" s="79">
        <f t="shared" ref="H59:H73" si="3">SUM(F59*G59/1000)</f>
        <v>6.3239999999999998</v>
      </c>
      <c r="I59" s="13">
        <f>G59*2</f>
        <v>505.92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112</v>
      </c>
      <c r="D60" s="14" t="s">
        <v>64</v>
      </c>
      <c r="E60" s="18">
        <v>2</v>
      </c>
      <c r="F60" s="66">
        <v>2</v>
      </c>
      <c r="G60" s="13">
        <v>86.74</v>
      </c>
      <c r="H60" s="79">
        <f t="shared" si="3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47</v>
      </c>
      <c r="C61" s="16" t="s">
        <v>115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3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38"/>
      <c r="S61" s="138"/>
      <c r="T61" s="138"/>
      <c r="U61" s="138"/>
    </row>
    <row r="62" spans="1:22" ht="15.75" hidden="1" customHeight="1">
      <c r="A62" s="29"/>
      <c r="B62" s="14" t="s">
        <v>48</v>
      </c>
      <c r="C62" s="16" t="s">
        <v>116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3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49</v>
      </c>
      <c r="C63" s="16" t="s">
        <v>74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3"/>
        <v>20.175605999999998</v>
      </c>
      <c r="I63" s="13">
        <v>0</v>
      </c>
    </row>
    <row r="64" spans="1:22" ht="15.75" hidden="1" customHeight="1">
      <c r="A64" s="29"/>
      <c r="B64" s="80" t="s">
        <v>117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3"/>
        <v>0.36696200000000001</v>
      </c>
      <c r="I64" s="13">
        <v>0</v>
      </c>
    </row>
    <row r="65" spans="1:9" ht="15.75" hidden="1" customHeight="1">
      <c r="A65" s="29"/>
      <c r="B65" s="80" t="s">
        <v>118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3"/>
        <v>0.342366</v>
      </c>
      <c r="I65" s="13">
        <v>0</v>
      </c>
    </row>
    <row r="66" spans="1:9" ht="15.75" customHeight="1">
      <c r="A66" s="29">
        <v>21</v>
      </c>
      <c r="B66" s="14" t="s">
        <v>55</v>
      </c>
      <c r="C66" s="16" t="s">
        <v>56</v>
      </c>
      <c r="D66" s="14" t="s">
        <v>177</v>
      </c>
      <c r="E66" s="18">
        <v>5</v>
      </c>
      <c r="F66" s="66">
        <v>5</v>
      </c>
      <c r="G66" s="13">
        <v>56.74</v>
      </c>
      <c r="H66" s="79">
        <f t="shared" si="3"/>
        <v>0.28370000000000001</v>
      </c>
      <c r="I66" s="13">
        <f>F66*G66</f>
        <v>283.7</v>
      </c>
    </row>
    <row r="67" spans="1:9" ht="15.75" customHeight="1">
      <c r="A67" s="29"/>
      <c r="B67" s="88" t="s">
        <v>69</v>
      </c>
      <c r="C67" s="16"/>
      <c r="D67" s="14"/>
      <c r="E67" s="18"/>
      <c r="F67" s="13"/>
      <c r="G67" s="13"/>
      <c r="H67" s="79" t="s">
        <v>131</v>
      </c>
      <c r="I67" s="13"/>
    </row>
    <row r="68" spans="1:9" ht="15.75" hidden="1" customHeight="1">
      <c r="A68" s="29"/>
      <c r="B68" s="14" t="s">
        <v>124</v>
      </c>
      <c r="C68" s="16" t="s">
        <v>125</v>
      </c>
      <c r="D68" s="14"/>
      <c r="E68" s="18">
        <v>4</v>
      </c>
      <c r="F68" s="13">
        <f>E68</f>
        <v>4</v>
      </c>
      <c r="G68" s="13">
        <v>113.57</v>
      </c>
      <c r="H68" s="79">
        <f t="shared" si="3"/>
        <v>0.45427999999999996</v>
      </c>
      <c r="I68" s="13">
        <v>0</v>
      </c>
    </row>
    <row r="69" spans="1:9" ht="15.75" customHeight="1">
      <c r="A69" s="29">
        <v>22</v>
      </c>
      <c r="B69" s="14" t="s">
        <v>70</v>
      </c>
      <c r="C69" s="16" t="s">
        <v>72</v>
      </c>
      <c r="D69" s="14"/>
      <c r="E69" s="18">
        <v>20</v>
      </c>
      <c r="F69" s="13">
        <v>2</v>
      </c>
      <c r="G69" s="13">
        <v>570.54</v>
      </c>
      <c r="H69" s="79">
        <f t="shared" si="3"/>
        <v>1.1410799999999999</v>
      </c>
      <c r="I69" s="13">
        <f>G69*0.2</f>
        <v>114.108</v>
      </c>
    </row>
    <row r="70" spans="1:9" ht="15.75" hidden="1" customHeight="1">
      <c r="A70" s="29"/>
      <c r="B70" s="14" t="s">
        <v>71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82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73</v>
      </c>
      <c r="C72" s="16"/>
      <c r="D72" s="14"/>
      <c r="E72" s="18"/>
      <c r="F72" s="13"/>
      <c r="G72" s="13" t="s">
        <v>131</v>
      </c>
      <c r="H72" s="79" t="s">
        <v>131</v>
      </c>
      <c r="I72" s="13"/>
    </row>
    <row r="73" spans="1:9" ht="15.75" hidden="1" customHeight="1">
      <c r="A73" s="29"/>
      <c r="B73" s="43" t="s">
        <v>121</v>
      </c>
      <c r="C73" s="16" t="s">
        <v>74</v>
      </c>
      <c r="D73" s="14"/>
      <c r="E73" s="18"/>
      <c r="F73" s="13">
        <v>1</v>
      </c>
      <c r="G73" s="13">
        <v>3138.63</v>
      </c>
      <c r="H73" s="79">
        <f t="shared" si="3"/>
        <v>3.13863</v>
      </c>
      <c r="I73" s="13">
        <v>0</v>
      </c>
    </row>
    <row r="74" spans="1:9" ht="15.75" hidden="1" customHeight="1">
      <c r="A74" s="29"/>
      <c r="B74" s="55" t="s">
        <v>119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120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32" t="s">
        <v>137</v>
      </c>
      <c r="B76" s="133"/>
      <c r="C76" s="133"/>
      <c r="D76" s="133"/>
      <c r="E76" s="133"/>
      <c r="F76" s="133"/>
      <c r="G76" s="133"/>
      <c r="H76" s="133"/>
      <c r="I76" s="134"/>
    </row>
    <row r="77" spans="1:9" ht="15.75" customHeight="1">
      <c r="A77" s="29">
        <v>23</v>
      </c>
      <c r="B77" s="63" t="s">
        <v>122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24</v>
      </c>
      <c r="B78" s="14" t="s">
        <v>75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77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I78+I77+I69+I66+I57+I51+I50+I49+I48+I47+I46+I45+I44+I43+I31+I29+I28+I25+I21+I20+I18+I17+I16+I59</f>
        <v>54782.823645833341</v>
      </c>
    </row>
    <row r="80" spans="1:9" ht="15.75" customHeight="1">
      <c r="A80" s="146" t="s">
        <v>58</v>
      </c>
      <c r="B80" s="147"/>
      <c r="C80" s="147"/>
      <c r="D80" s="147"/>
      <c r="E80" s="147"/>
      <c r="F80" s="147"/>
      <c r="G80" s="147"/>
      <c r="H80" s="147"/>
      <c r="I80" s="148"/>
    </row>
    <row r="81" spans="1:9" ht="15.75" customHeight="1">
      <c r="A81" s="29">
        <v>25</v>
      </c>
      <c r="B81" s="98" t="s">
        <v>157</v>
      </c>
      <c r="C81" s="108" t="s">
        <v>153</v>
      </c>
      <c r="D81" s="48"/>
      <c r="E81" s="34"/>
      <c r="F81" s="34">
        <v>66</v>
      </c>
      <c r="G81" s="34">
        <v>284</v>
      </c>
      <c r="H81" s="90">
        <f>G81*F81/1000</f>
        <v>18.744</v>
      </c>
      <c r="I81" s="85">
        <f>G81*12</f>
        <v>3408</v>
      </c>
    </row>
    <row r="82" spans="1:9" ht="30.75" customHeight="1">
      <c r="A82" s="29">
        <v>26</v>
      </c>
      <c r="B82" s="106" t="s">
        <v>193</v>
      </c>
      <c r="C82" s="107" t="s">
        <v>194</v>
      </c>
      <c r="D82" s="48"/>
      <c r="E82" s="34"/>
      <c r="F82" s="34">
        <v>2.5</v>
      </c>
      <c r="G82" s="34">
        <v>1873.58</v>
      </c>
      <c r="H82" s="90"/>
      <c r="I82" s="85">
        <f>G82*0.2</f>
        <v>374.71600000000001</v>
      </c>
    </row>
    <row r="83" spans="1:9" ht="15.75" customHeight="1">
      <c r="A83" s="29">
        <v>27</v>
      </c>
      <c r="B83" s="98" t="s">
        <v>195</v>
      </c>
      <c r="C83" s="49" t="s">
        <v>196</v>
      </c>
      <c r="D83" s="48"/>
      <c r="E83" s="34"/>
      <c r="F83" s="34">
        <v>6</v>
      </c>
      <c r="G83" s="34">
        <v>923.85</v>
      </c>
      <c r="H83" s="90"/>
      <c r="I83" s="85">
        <f>G83*1</f>
        <v>923.85</v>
      </c>
    </row>
    <row r="84" spans="1:9" ht="15.75" customHeight="1">
      <c r="A84" s="29">
        <v>28</v>
      </c>
      <c r="B84" s="98" t="s">
        <v>78</v>
      </c>
      <c r="C84" s="49" t="s">
        <v>112</v>
      </c>
      <c r="D84" s="48"/>
      <c r="E84" s="34"/>
      <c r="F84" s="34">
        <v>13</v>
      </c>
      <c r="G84" s="34">
        <v>215.85</v>
      </c>
      <c r="H84" s="90"/>
      <c r="I84" s="85">
        <f>G84*2</f>
        <v>431.7</v>
      </c>
    </row>
    <row r="85" spans="1:9" ht="15.75" customHeight="1">
      <c r="A85" s="29">
        <v>29</v>
      </c>
      <c r="B85" s="98" t="s">
        <v>162</v>
      </c>
      <c r="C85" s="49" t="s">
        <v>39</v>
      </c>
      <c r="D85" s="48"/>
      <c r="E85" s="34"/>
      <c r="F85" s="34">
        <v>0.01</v>
      </c>
      <c r="G85" s="34">
        <v>27139.18</v>
      </c>
      <c r="H85" s="90"/>
      <c r="I85" s="85">
        <f>G85*0.01</f>
        <v>271.39179999999999</v>
      </c>
    </row>
    <row r="86" spans="1:9" ht="15.75" customHeight="1">
      <c r="A86" s="29">
        <v>30</v>
      </c>
      <c r="B86" s="98" t="s">
        <v>206</v>
      </c>
      <c r="C86" s="49" t="s">
        <v>207</v>
      </c>
      <c r="D86" s="48" t="s">
        <v>267</v>
      </c>
      <c r="E86" s="34"/>
      <c r="F86" s="34">
        <v>4</v>
      </c>
      <c r="G86" s="34">
        <v>222.63</v>
      </c>
      <c r="H86" s="90"/>
      <c r="I86" s="85">
        <f>G86*1</f>
        <v>222.63</v>
      </c>
    </row>
    <row r="87" spans="1:9" ht="30.75" customHeight="1">
      <c r="A87" s="29">
        <v>31</v>
      </c>
      <c r="B87" s="98" t="s">
        <v>239</v>
      </c>
      <c r="C87" s="49" t="s">
        <v>112</v>
      </c>
      <c r="D87" s="48" t="s">
        <v>266</v>
      </c>
      <c r="E87" s="34"/>
      <c r="F87" s="34">
        <v>2</v>
      </c>
      <c r="G87" s="34">
        <v>945.36</v>
      </c>
      <c r="H87" s="90"/>
      <c r="I87" s="85">
        <f>G87*1</f>
        <v>945.36</v>
      </c>
    </row>
    <row r="88" spans="1:9" ht="15.75" customHeight="1">
      <c r="A88" s="29">
        <v>32</v>
      </c>
      <c r="B88" s="98" t="s">
        <v>264</v>
      </c>
      <c r="C88" s="49" t="s">
        <v>112</v>
      </c>
      <c r="D88" s="48"/>
      <c r="E88" s="34"/>
      <c r="F88" s="34">
        <v>1</v>
      </c>
      <c r="G88" s="34">
        <v>70</v>
      </c>
      <c r="H88" s="90"/>
      <c r="I88" s="85">
        <f>G88*1</f>
        <v>70</v>
      </c>
    </row>
    <row r="89" spans="1:9" ht="15.75" customHeight="1">
      <c r="A89" s="29">
        <v>33</v>
      </c>
      <c r="B89" s="98" t="s">
        <v>240</v>
      </c>
      <c r="C89" s="49" t="s">
        <v>112</v>
      </c>
      <c r="D89" s="48"/>
      <c r="E89" s="34"/>
      <c r="F89" s="34">
        <v>3</v>
      </c>
      <c r="G89" s="34">
        <v>110</v>
      </c>
      <c r="H89" s="90"/>
      <c r="I89" s="85">
        <f>G89*1</f>
        <v>110</v>
      </c>
    </row>
    <row r="90" spans="1:9" ht="15.75" customHeight="1">
      <c r="A90" s="29">
        <v>34</v>
      </c>
      <c r="B90" s="98" t="s">
        <v>265</v>
      </c>
      <c r="C90" s="49" t="s">
        <v>112</v>
      </c>
      <c r="D90" s="48"/>
      <c r="E90" s="34"/>
      <c r="F90" s="34">
        <v>1</v>
      </c>
      <c r="G90" s="34">
        <v>342.52</v>
      </c>
      <c r="H90" s="90"/>
      <c r="I90" s="85">
        <f>G90*1</f>
        <v>342.52</v>
      </c>
    </row>
    <row r="91" spans="1:9" ht="35.25" customHeight="1">
      <c r="A91" s="29">
        <v>35</v>
      </c>
      <c r="B91" s="98" t="s">
        <v>268</v>
      </c>
      <c r="C91" s="49" t="s">
        <v>153</v>
      </c>
      <c r="D91" s="35" t="s">
        <v>269</v>
      </c>
      <c r="E91" s="34"/>
      <c r="F91" s="34">
        <v>4</v>
      </c>
      <c r="G91" s="34">
        <v>1446.64</v>
      </c>
      <c r="H91" s="79"/>
      <c r="I91" s="85">
        <f>G91*4</f>
        <v>5786.56</v>
      </c>
    </row>
    <row r="92" spans="1:9" ht="15.75" customHeight="1">
      <c r="A92" s="29"/>
      <c r="B92" s="41" t="s">
        <v>50</v>
      </c>
      <c r="C92" s="37"/>
      <c r="D92" s="45"/>
      <c r="E92" s="37">
        <v>1</v>
      </c>
      <c r="F92" s="37"/>
      <c r="G92" s="37"/>
      <c r="H92" s="37"/>
      <c r="I92" s="32">
        <f>SUM(I81:I91)</f>
        <v>12886.727800000001</v>
      </c>
    </row>
    <row r="93" spans="1:9" ht="15.75" customHeight="1">
      <c r="A93" s="29"/>
      <c r="B93" s="43" t="s">
        <v>76</v>
      </c>
      <c r="C93" s="15"/>
      <c r="D93" s="15"/>
      <c r="E93" s="38"/>
      <c r="F93" s="38"/>
      <c r="G93" s="39"/>
      <c r="H93" s="39"/>
      <c r="I93" s="17">
        <v>0</v>
      </c>
    </row>
    <row r="94" spans="1:9" ht="15.75" customHeight="1">
      <c r="A94" s="46"/>
      <c r="B94" s="42" t="s">
        <v>151</v>
      </c>
      <c r="C94" s="33"/>
      <c r="D94" s="33"/>
      <c r="E94" s="33"/>
      <c r="F94" s="33"/>
      <c r="G94" s="33"/>
      <c r="H94" s="33"/>
      <c r="I94" s="40">
        <f>I79+I92</f>
        <v>67669.551445833349</v>
      </c>
    </row>
    <row r="95" spans="1:9" ht="15.75">
      <c r="A95" s="145" t="s">
        <v>319</v>
      </c>
      <c r="B95" s="145"/>
      <c r="C95" s="145"/>
      <c r="D95" s="145"/>
      <c r="E95" s="145"/>
      <c r="F95" s="145"/>
      <c r="G95" s="145"/>
      <c r="H95" s="145"/>
      <c r="I95" s="145"/>
    </row>
    <row r="96" spans="1:9" ht="15.75">
      <c r="A96" s="56"/>
      <c r="B96" s="140" t="s">
        <v>320</v>
      </c>
      <c r="C96" s="140"/>
      <c r="D96" s="140"/>
      <c r="E96" s="140"/>
      <c r="F96" s="140"/>
      <c r="G96" s="140"/>
      <c r="H96" s="61"/>
      <c r="I96" s="3"/>
    </row>
    <row r="97" spans="1:9">
      <c r="A97" s="53"/>
      <c r="B97" s="136" t="s">
        <v>6</v>
      </c>
      <c r="C97" s="136"/>
      <c r="D97" s="136"/>
      <c r="E97" s="136"/>
      <c r="F97" s="136"/>
      <c r="G97" s="136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41" t="s">
        <v>7</v>
      </c>
      <c r="B99" s="141"/>
      <c r="C99" s="141"/>
      <c r="D99" s="141"/>
      <c r="E99" s="141"/>
      <c r="F99" s="141"/>
      <c r="G99" s="141"/>
      <c r="H99" s="141"/>
      <c r="I99" s="141"/>
    </row>
    <row r="100" spans="1:9" ht="15.75">
      <c r="A100" s="141" t="s">
        <v>8</v>
      </c>
      <c r="B100" s="141"/>
      <c r="C100" s="141"/>
      <c r="D100" s="141"/>
      <c r="E100" s="141"/>
      <c r="F100" s="141"/>
      <c r="G100" s="141"/>
      <c r="H100" s="141"/>
      <c r="I100" s="141"/>
    </row>
    <row r="101" spans="1:9" ht="15.75">
      <c r="A101" s="142" t="s">
        <v>59</v>
      </c>
      <c r="B101" s="142"/>
      <c r="C101" s="142"/>
      <c r="D101" s="142"/>
      <c r="E101" s="142"/>
      <c r="F101" s="142"/>
      <c r="G101" s="142"/>
      <c r="H101" s="142"/>
      <c r="I101" s="142"/>
    </row>
    <row r="102" spans="1:9" ht="15.75">
      <c r="A102" s="11"/>
    </row>
    <row r="103" spans="1:9" ht="15.75">
      <c r="A103" s="143" t="s">
        <v>9</v>
      </c>
      <c r="B103" s="143"/>
      <c r="C103" s="143"/>
      <c r="D103" s="143"/>
      <c r="E103" s="143"/>
      <c r="F103" s="143"/>
      <c r="G103" s="143"/>
      <c r="H103" s="143"/>
      <c r="I103" s="143"/>
    </row>
    <row r="104" spans="1:9" ht="15.75">
      <c r="A104" s="4"/>
    </row>
    <row r="105" spans="1:9" ht="15.75">
      <c r="B105" s="51" t="s">
        <v>10</v>
      </c>
      <c r="C105" s="135" t="s">
        <v>84</v>
      </c>
      <c r="D105" s="135"/>
      <c r="E105" s="135"/>
      <c r="F105" s="59"/>
      <c r="I105" s="52"/>
    </row>
    <row r="106" spans="1:9">
      <c r="A106" s="53"/>
      <c r="C106" s="136" t="s">
        <v>11</v>
      </c>
      <c r="D106" s="136"/>
      <c r="E106" s="136"/>
      <c r="F106" s="24"/>
      <c r="I106" s="50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1" t="s">
        <v>13</v>
      </c>
      <c r="C108" s="137"/>
      <c r="D108" s="137"/>
      <c r="E108" s="137"/>
      <c r="F108" s="60"/>
      <c r="I108" s="52"/>
    </row>
    <row r="109" spans="1:9">
      <c r="A109" s="53"/>
      <c r="C109" s="138" t="s">
        <v>11</v>
      </c>
      <c r="D109" s="138"/>
      <c r="E109" s="138"/>
      <c r="F109" s="53"/>
      <c r="I109" s="50" t="s">
        <v>12</v>
      </c>
    </row>
    <row r="110" spans="1:9" ht="15.75">
      <c r="A110" s="4" t="s">
        <v>14</v>
      </c>
    </row>
    <row r="111" spans="1:9">
      <c r="A111" s="139" t="s">
        <v>15</v>
      </c>
      <c r="B111" s="139"/>
      <c r="C111" s="139"/>
      <c r="D111" s="139"/>
      <c r="E111" s="139"/>
      <c r="F111" s="139"/>
      <c r="G111" s="139"/>
      <c r="H111" s="139"/>
      <c r="I111" s="139"/>
    </row>
    <row r="112" spans="1:9" ht="45" customHeight="1">
      <c r="A112" s="131" t="s">
        <v>16</v>
      </c>
      <c r="B112" s="131"/>
      <c r="C112" s="131"/>
      <c r="D112" s="131"/>
      <c r="E112" s="131"/>
      <c r="F112" s="131"/>
      <c r="G112" s="131"/>
      <c r="H112" s="131"/>
      <c r="I112" s="131"/>
    </row>
    <row r="113" spans="1:9" ht="30" customHeight="1">
      <c r="A113" s="131" t="s">
        <v>17</v>
      </c>
      <c r="B113" s="131"/>
      <c r="C113" s="131"/>
      <c r="D113" s="131"/>
      <c r="E113" s="131"/>
      <c r="F113" s="131"/>
      <c r="G113" s="131"/>
      <c r="H113" s="131"/>
      <c r="I113" s="131"/>
    </row>
    <row r="114" spans="1:9" ht="30" customHeight="1">
      <c r="A114" s="131" t="s">
        <v>21</v>
      </c>
      <c r="B114" s="131"/>
      <c r="C114" s="131"/>
      <c r="D114" s="131"/>
      <c r="E114" s="131"/>
      <c r="F114" s="131"/>
      <c r="G114" s="131"/>
      <c r="H114" s="131"/>
      <c r="I114" s="131"/>
    </row>
    <row r="115" spans="1:9" ht="15" customHeight="1">
      <c r="A115" s="131" t="s">
        <v>20</v>
      </c>
      <c r="B115" s="131"/>
      <c r="C115" s="131"/>
      <c r="D115" s="131"/>
      <c r="E115" s="131"/>
      <c r="F115" s="131"/>
      <c r="G115" s="131"/>
      <c r="H115" s="131"/>
      <c r="I115" s="13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101:I101"/>
    <mergeCell ref="A15:I15"/>
    <mergeCell ref="A26:I26"/>
    <mergeCell ref="A42:I42"/>
    <mergeCell ref="A52:I52"/>
    <mergeCell ref="A95:I95"/>
    <mergeCell ref="B96:G96"/>
    <mergeCell ref="B97:G97"/>
    <mergeCell ref="A99:I99"/>
    <mergeCell ref="A100:I100"/>
    <mergeCell ref="A80:I8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2021-01-21T13:23:42Z</cp:lastPrinted>
  <dcterms:created xsi:type="dcterms:W3CDTF">2016-03-25T08:33:47Z</dcterms:created>
  <dcterms:modified xsi:type="dcterms:W3CDTF">2021-01-21T13:23:56Z</dcterms:modified>
</cp:coreProperties>
</file>