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540" windowWidth="15480" windowHeight="11280" activeTab="11"/>
  </bookViews>
  <sheets>
    <sheet name="01.21" sheetId="8" r:id="rId1"/>
    <sheet name="02.21" sheetId="9" r:id="rId2"/>
    <sheet name="03.21" sheetId="10" r:id="rId3"/>
    <sheet name="04.21" sheetId="11" r:id="rId4"/>
    <sheet name="05.21" sheetId="12" r:id="rId5"/>
    <sheet name="06.21" sheetId="13" r:id="rId6"/>
    <sheet name="07.21" sheetId="14" r:id="rId7"/>
    <sheet name="08.21" sheetId="15" r:id="rId8"/>
    <sheet name="09.21" sheetId="16" r:id="rId9"/>
    <sheet name="10.21" sheetId="17" r:id="rId10"/>
    <sheet name="11.21" sheetId="18" r:id="rId11"/>
    <sheet name="12.21" sheetId="19" r:id="rId12"/>
  </sheets>
  <definedNames>
    <definedName name="_xlnm._FilterDatabase" localSheetId="0" hidden="1">'01.21'!$I$12:$I$66</definedName>
    <definedName name="_xlnm._FilterDatabase" localSheetId="1" hidden="1">'02.21'!$I$12:$I$65</definedName>
    <definedName name="_xlnm._FilterDatabase" localSheetId="2" hidden="1">'03.21'!$I$12:$I$64</definedName>
    <definedName name="_xlnm._FilterDatabase" localSheetId="3" hidden="1">'04.21'!$I$12:$I$61</definedName>
    <definedName name="_xlnm._FilterDatabase" localSheetId="4" hidden="1">'05.21'!$I$12:$I$64</definedName>
    <definedName name="_xlnm._FilterDatabase" localSheetId="5" hidden="1">'06.21'!$I$12:$I$65</definedName>
    <definedName name="_xlnm._FilterDatabase" localSheetId="6" hidden="1">'07.21'!$I$12:$I$65</definedName>
    <definedName name="_xlnm._FilterDatabase" localSheetId="7" hidden="1">'08.21'!$I$12:$I$64</definedName>
    <definedName name="_xlnm._FilterDatabase" localSheetId="8" hidden="1">'09.21'!$I$12:$I$64</definedName>
    <definedName name="_xlnm._FilterDatabase" localSheetId="9" hidden="1">'10.21'!$I$12:$I$65</definedName>
    <definedName name="_xlnm._FilterDatabase" localSheetId="10" hidden="1">'11.21'!$I$12:$I$65</definedName>
    <definedName name="_xlnm._FilterDatabase" localSheetId="11" hidden="1">'12.21'!$I$12:$I$66</definedName>
    <definedName name="_xlnm.Print_Area" localSheetId="0">'01.21'!$A$1:$I$123</definedName>
    <definedName name="_xlnm.Print_Area" localSheetId="1">'02.21'!$A$1:$I$122</definedName>
    <definedName name="_xlnm.Print_Area" localSheetId="2">'03.21'!$A$1:$I$119</definedName>
    <definedName name="_xlnm.Print_Area" localSheetId="3">'04.21'!$A$1:$I$120</definedName>
    <definedName name="_xlnm.Print_Area" localSheetId="4">'05.21'!$A$1:$I$118</definedName>
    <definedName name="_xlnm.Print_Area" localSheetId="5">'06.21'!$A$1:$I$120</definedName>
    <definedName name="_xlnm.Print_Area" localSheetId="6">'07.21'!$A$1:$I$140</definedName>
    <definedName name="_xlnm.Print_Area" localSheetId="7">'08.21'!$A$1:$I$120</definedName>
    <definedName name="_xlnm.Print_Area" localSheetId="8">'09.21'!$A$1:$I$119</definedName>
    <definedName name="_xlnm.Print_Area" localSheetId="9">'10.21'!$A$1:$I$124</definedName>
    <definedName name="_xlnm.Print_Area" localSheetId="10">'11.21'!$A$1:$I$128</definedName>
    <definedName name="_xlnm.Print_Area" localSheetId="11">'12.21'!$A$1:$I$121</definedName>
  </definedNames>
  <calcPr calcId="125725"/>
</workbook>
</file>

<file path=xl/calcChain.xml><?xml version="1.0" encoding="utf-8"?>
<calcChain xmlns="http://schemas.openxmlformats.org/spreadsheetml/2006/main">
  <c r="I90" i="19"/>
  <c r="I98"/>
  <c r="I97"/>
  <c r="I96"/>
  <c r="I95"/>
  <c r="I94"/>
  <c r="I65"/>
  <c r="I58"/>
  <c r="I38"/>
  <c r="I89" i="18"/>
  <c r="I64"/>
  <c r="I38"/>
  <c r="I105"/>
  <c r="I104"/>
  <c r="I103"/>
  <c r="I102"/>
  <c r="I101"/>
  <c r="I100"/>
  <c r="I99"/>
  <c r="I98"/>
  <c r="I97"/>
  <c r="I96"/>
  <c r="I95"/>
  <c r="I94"/>
  <c r="I93"/>
  <c r="I92"/>
  <c r="I79"/>
  <c r="I78"/>
  <c r="I89" i="16"/>
  <c r="I85"/>
  <c r="I91" i="17" l="1"/>
  <c r="I101"/>
  <c r="I100"/>
  <c r="I99"/>
  <c r="I97"/>
  <c r="I96"/>
  <c r="I95"/>
  <c r="I94"/>
  <c r="I96" i="16"/>
  <c r="I95"/>
  <c r="I63"/>
  <c r="I64" i="14"/>
  <c r="I88" s="1"/>
  <c r="I117"/>
  <c r="I97"/>
  <c r="I116"/>
  <c r="I115"/>
  <c r="I114"/>
  <c r="I113"/>
  <c r="I112"/>
  <c r="I111"/>
  <c r="I110"/>
  <c r="I109"/>
  <c r="I108"/>
  <c r="I107"/>
  <c r="I105"/>
  <c r="I101"/>
  <c r="I104"/>
  <c r="I103"/>
  <c r="I102"/>
  <c r="I92"/>
  <c r="I93" i="16"/>
  <c r="I92"/>
  <c r="I91"/>
  <c r="I64"/>
  <c r="I63" i="15" l="1"/>
  <c r="I87" s="1"/>
  <c r="I95"/>
  <c r="I94"/>
  <c r="I93"/>
  <c r="I92"/>
  <c r="I91"/>
  <c r="F91"/>
  <c r="I90"/>
  <c r="I89"/>
  <c r="I97" i="11" l="1"/>
  <c r="I86"/>
  <c r="I96"/>
  <c r="I55"/>
  <c r="I100" i="14" l="1"/>
  <c r="F100"/>
  <c r="I99"/>
  <c r="F26"/>
  <c r="F24"/>
  <c r="F23"/>
  <c r="F22"/>
  <c r="I59"/>
  <c r="I98"/>
  <c r="I96"/>
  <c r="I95"/>
  <c r="I94"/>
  <c r="I93"/>
  <c r="I91"/>
  <c r="I60" i="11" l="1"/>
  <c r="I95"/>
  <c r="F70" i="13"/>
  <c r="F69"/>
  <c r="F68"/>
  <c r="F67"/>
  <c r="F66"/>
  <c r="I94"/>
  <c r="I93"/>
  <c r="I92"/>
  <c r="F92"/>
  <c r="I94" i="12"/>
  <c r="I93"/>
  <c r="I92"/>
  <c r="I89"/>
  <c r="I95" s="1"/>
  <c r="F60" i="11" l="1"/>
  <c r="I94"/>
  <c r="I93"/>
  <c r="I92"/>
  <c r="I91"/>
  <c r="I90" l="1"/>
  <c r="I89"/>
  <c r="I37"/>
  <c r="I63" i="10" l="1"/>
  <c r="I94"/>
  <c r="I93"/>
  <c r="I92"/>
  <c r="I91"/>
  <c r="I90"/>
  <c r="I89"/>
  <c r="I88"/>
  <c r="I87"/>
  <c r="I96" s="1"/>
  <c r="I60"/>
  <c r="I57"/>
  <c r="I37"/>
  <c r="I97" i="9"/>
  <c r="I95"/>
  <c r="I94"/>
  <c r="I93"/>
  <c r="F93"/>
  <c r="I91"/>
  <c r="I57"/>
  <c r="I37"/>
  <c r="I99" i="8"/>
  <c r="I98"/>
  <c r="I97"/>
  <c r="I96"/>
  <c r="I95"/>
  <c r="I60"/>
  <c r="I93" l="1"/>
  <c r="I100" s="1"/>
  <c r="I57"/>
  <c r="I37"/>
  <c r="I44" i="19" l="1"/>
  <c r="I77" i="18" l="1"/>
  <c r="F77"/>
  <c r="I43"/>
  <c r="I77" i="17" l="1"/>
  <c r="F77"/>
  <c r="I97" i="15" l="1"/>
  <c r="I97" i="13" l="1"/>
  <c r="F26"/>
  <c r="F24"/>
  <c r="F23"/>
  <c r="F22"/>
  <c r="F19"/>
  <c r="I19" s="1"/>
  <c r="I59"/>
  <c r="I64"/>
  <c r="H64"/>
  <c r="I63" i="12" l="1"/>
  <c r="I18"/>
  <c r="I76"/>
  <c r="F27"/>
  <c r="H27" s="1"/>
  <c r="F26"/>
  <c r="H26" s="1"/>
  <c r="H25"/>
  <c r="F24"/>
  <c r="H24" s="1"/>
  <c r="F23"/>
  <c r="H23" s="1"/>
  <c r="H22"/>
  <c r="F22"/>
  <c r="F21"/>
  <c r="H21" s="1"/>
  <c r="F20"/>
  <c r="I20" s="1"/>
  <c r="F19"/>
  <c r="H19" s="1"/>
  <c r="E18"/>
  <c r="F18" s="1"/>
  <c r="H18" s="1"/>
  <c r="F17"/>
  <c r="H17" s="1"/>
  <c r="F16"/>
  <c r="I16" s="1"/>
  <c r="H16" l="1"/>
  <c r="H20"/>
  <c r="I17"/>
  <c r="I21"/>
  <c r="I27"/>
  <c r="I77" i="9" l="1"/>
  <c r="F77"/>
  <c r="I78"/>
  <c r="I42"/>
  <c r="I78" i="8"/>
  <c r="I60" i="19" l="1"/>
  <c r="I78"/>
  <c r="F78"/>
  <c r="I79"/>
  <c r="F27"/>
  <c r="H27" s="1"/>
  <c r="F26"/>
  <c r="I26" s="1"/>
  <c r="I25"/>
  <c r="H25"/>
  <c r="F24"/>
  <c r="H24" s="1"/>
  <c r="F23"/>
  <c r="I23" s="1"/>
  <c r="F22"/>
  <c r="H22" s="1"/>
  <c r="F21"/>
  <c r="I21" s="1"/>
  <c r="F20"/>
  <c r="H20" s="1"/>
  <c r="F19"/>
  <c r="I19" s="1"/>
  <c r="E18"/>
  <c r="F18" s="1"/>
  <c r="F17"/>
  <c r="H17" s="1"/>
  <c r="F16"/>
  <c r="I16" s="1"/>
  <c r="I83" i="18"/>
  <c r="F83"/>
  <c r="F73"/>
  <c r="I73" s="1"/>
  <c r="F88"/>
  <c r="H88" s="1"/>
  <c r="F87"/>
  <c r="I87" s="1"/>
  <c r="F64"/>
  <c r="F58"/>
  <c r="I44"/>
  <c r="F42"/>
  <c r="I42" s="1"/>
  <c r="F41"/>
  <c r="I41" s="1"/>
  <c r="F40"/>
  <c r="F39"/>
  <c r="F27"/>
  <c r="H27" s="1"/>
  <c r="F26"/>
  <c r="I26" s="1"/>
  <c r="I25"/>
  <c r="H25"/>
  <c r="F24"/>
  <c r="H24" s="1"/>
  <c r="F23"/>
  <c r="I23" s="1"/>
  <c r="F22"/>
  <c r="H22" s="1"/>
  <c r="F21"/>
  <c r="I21" s="1"/>
  <c r="F20"/>
  <c r="H20" s="1"/>
  <c r="F19"/>
  <c r="I19" s="1"/>
  <c r="E18"/>
  <c r="F18" s="1"/>
  <c r="F17"/>
  <c r="H17" s="1"/>
  <c r="F16"/>
  <c r="I16" s="1"/>
  <c r="H18" i="19" l="1"/>
  <c r="I18"/>
  <c r="H18" i="18"/>
  <c r="I18"/>
  <c r="H19" i="19"/>
  <c r="H23"/>
  <c r="H16"/>
  <c r="H21"/>
  <c r="H26"/>
  <c r="I17"/>
  <c r="I20"/>
  <c r="I22"/>
  <c r="I24"/>
  <c r="I27"/>
  <c r="H87" i="18"/>
  <c r="I88"/>
  <c r="H19"/>
  <c r="H23"/>
  <c r="H16"/>
  <c r="H21"/>
  <c r="H26"/>
  <c r="I17"/>
  <c r="I20"/>
  <c r="I22"/>
  <c r="I24"/>
  <c r="I27"/>
  <c r="I44" i="17" l="1"/>
  <c r="I64" l="1"/>
  <c r="I33"/>
  <c r="I78"/>
  <c r="F78"/>
  <c r="F90"/>
  <c r="H90" s="1"/>
  <c r="F89"/>
  <c r="I89" s="1"/>
  <c r="I83"/>
  <c r="F83"/>
  <c r="F75"/>
  <c r="I75" s="1"/>
  <c r="F64"/>
  <c r="F31"/>
  <c r="H31" s="1"/>
  <c r="F30"/>
  <c r="I30" s="1"/>
  <c r="F27"/>
  <c r="H27" s="1"/>
  <c r="F26"/>
  <c r="I26" s="1"/>
  <c r="I25"/>
  <c r="H25"/>
  <c r="F24"/>
  <c r="I24" s="1"/>
  <c r="F23"/>
  <c r="I23" s="1"/>
  <c r="F22"/>
  <c r="I22" s="1"/>
  <c r="F21"/>
  <c r="I21" s="1"/>
  <c r="F20"/>
  <c r="I20" s="1"/>
  <c r="F19"/>
  <c r="I19" s="1"/>
  <c r="E18"/>
  <c r="F18" s="1"/>
  <c r="I18" s="1"/>
  <c r="F17"/>
  <c r="I17" s="1"/>
  <c r="F16"/>
  <c r="I16" s="1"/>
  <c r="H22" l="1"/>
  <c r="H89"/>
  <c r="I90"/>
  <c r="H17"/>
  <c r="H20"/>
  <c r="H24"/>
  <c r="H30"/>
  <c r="I31"/>
  <c r="H18"/>
  <c r="H16"/>
  <c r="H19"/>
  <c r="H21"/>
  <c r="H23"/>
  <c r="H26"/>
  <c r="I27"/>
  <c r="F53" i="16"/>
  <c r="F88"/>
  <c r="H88" s="1"/>
  <c r="F87"/>
  <c r="I87" s="1"/>
  <c r="F81"/>
  <c r="I81" s="1"/>
  <c r="I79"/>
  <c r="F79"/>
  <c r="F70"/>
  <c r="F63"/>
  <c r="F51"/>
  <c r="F50"/>
  <c r="F49"/>
  <c r="F48"/>
  <c r="F47"/>
  <c r="F46"/>
  <c r="F45"/>
  <c r="F31"/>
  <c r="H31" s="1"/>
  <c r="F30"/>
  <c r="I30" s="1"/>
  <c r="F27"/>
  <c r="H27" s="1"/>
  <c r="F26"/>
  <c r="I26" s="1"/>
  <c r="I25"/>
  <c r="H25"/>
  <c r="F24"/>
  <c r="I24" s="1"/>
  <c r="F23"/>
  <c r="I23" s="1"/>
  <c r="F22"/>
  <c r="H22" s="1"/>
  <c r="F21"/>
  <c r="I21" s="1"/>
  <c r="F20"/>
  <c r="H20" s="1"/>
  <c r="F19"/>
  <c r="I19" s="1"/>
  <c r="E18"/>
  <c r="F18" s="1"/>
  <c r="I18" s="1"/>
  <c r="F17"/>
  <c r="I17" s="1"/>
  <c r="F16"/>
  <c r="I16" s="1"/>
  <c r="F81" i="15"/>
  <c r="I81" s="1"/>
  <c r="F86"/>
  <c r="H86" s="1"/>
  <c r="F85"/>
  <c r="I85" s="1"/>
  <c r="F74"/>
  <c r="I74" s="1"/>
  <c r="F63"/>
  <c r="F31"/>
  <c r="H31" s="1"/>
  <c r="F30"/>
  <c r="I30" s="1"/>
  <c r="F27"/>
  <c r="H27" s="1"/>
  <c r="F26"/>
  <c r="I26" s="1"/>
  <c r="I25"/>
  <c r="H25"/>
  <c r="F24"/>
  <c r="H24" s="1"/>
  <c r="F23"/>
  <c r="I23" s="1"/>
  <c r="F22"/>
  <c r="H22" s="1"/>
  <c r="F21"/>
  <c r="I21" s="1"/>
  <c r="F20"/>
  <c r="H20" s="1"/>
  <c r="F19"/>
  <c r="I19" s="1"/>
  <c r="E18"/>
  <c r="F18" s="1"/>
  <c r="I18" s="1"/>
  <c r="F17"/>
  <c r="H17" s="1"/>
  <c r="F16"/>
  <c r="I16" s="1"/>
  <c r="H64" i="14"/>
  <c r="H87" i="16" l="1"/>
  <c r="I88"/>
  <c r="H17"/>
  <c r="H24"/>
  <c r="H30"/>
  <c r="I31"/>
  <c r="H18"/>
  <c r="H16"/>
  <c r="H19"/>
  <c r="I20"/>
  <c r="H21"/>
  <c r="I22"/>
  <c r="H23"/>
  <c r="H26"/>
  <c r="I27"/>
  <c r="H85" i="15"/>
  <c r="I86"/>
  <c r="H30"/>
  <c r="I31"/>
  <c r="H18"/>
  <c r="H16"/>
  <c r="I17"/>
  <c r="H19"/>
  <c r="I20"/>
  <c r="H21"/>
  <c r="I22"/>
  <c r="H23"/>
  <c r="I24"/>
  <c r="H26"/>
  <c r="I27"/>
  <c r="I34" i="13"/>
  <c r="F70" i="14" l="1"/>
  <c r="F69"/>
  <c r="F68"/>
  <c r="F67"/>
  <c r="F66"/>
  <c r="F87"/>
  <c r="I87" s="1"/>
  <c r="F86"/>
  <c r="I86" s="1"/>
  <c r="F82"/>
  <c r="I82" s="1"/>
  <c r="I77"/>
  <c r="F77"/>
  <c r="F73"/>
  <c r="I73" s="1"/>
  <c r="F31"/>
  <c r="H31" s="1"/>
  <c r="F30"/>
  <c r="I30" s="1"/>
  <c r="F27"/>
  <c r="H27" s="1"/>
  <c r="I26"/>
  <c r="I25"/>
  <c r="H25"/>
  <c r="H24"/>
  <c r="I23"/>
  <c r="H22"/>
  <c r="F21"/>
  <c r="I21" s="1"/>
  <c r="F20"/>
  <c r="H20" s="1"/>
  <c r="F19"/>
  <c r="I19" s="1"/>
  <c r="E18"/>
  <c r="F18" s="1"/>
  <c r="F17"/>
  <c r="H17" s="1"/>
  <c r="F16"/>
  <c r="I16" s="1"/>
  <c r="F21" i="13"/>
  <c r="H21" s="1"/>
  <c r="F20"/>
  <c r="I20" s="1"/>
  <c r="F27"/>
  <c r="H27" s="1"/>
  <c r="F27" i="11"/>
  <c r="H27" s="1"/>
  <c r="F27" i="10"/>
  <c r="H27" s="1"/>
  <c r="F27" i="9"/>
  <c r="H27" s="1"/>
  <c r="F27" i="8"/>
  <c r="H18" i="14" l="1"/>
  <c r="I18"/>
  <c r="H87"/>
  <c r="H86"/>
  <c r="H21"/>
  <c r="H30"/>
  <c r="I31"/>
  <c r="H19"/>
  <c r="H16"/>
  <c r="I17"/>
  <c r="I20"/>
  <c r="I22"/>
  <c r="H23"/>
  <c r="I24"/>
  <c r="H26"/>
  <c r="I27"/>
  <c r="H20" i="13"/>
  <c r="I21"/>
  <c r="I27"/>
  <c r="I27" i="11"/>
  <c r="I27" i="10"/>
  <c r="I27" i="9"/>
  <c r="I77" i="13" l="1"/>
  <c r="F88"/>
  <c r="F87"/>
  <c r="F83"/>
  <c r="I83" s="1"/>
  <c r="I78"/>
  <c r="F78"/>
  <c r="F77"/>
  <c r="F73"/>
  <c r="I73" s="1"/>
  <c r="F62"/>
  <c r="F32"/>
  <c r="F31"/>
  <c r="F30"/>
  <c r="E18"/>
  <c r="F18" s="1"/>
  <c r="I18" s="1"/>
  <c r="F17"/>
  <c r="F16"/>
  <c r="F86" i="12" l="1"/>
  <c r="H86" s="1"/>
  <c r="F85"/>
  <c r="I85" s="1"/>
  <c r="I81"/>
  <c r="F81"/>
  <c r="F72"/>
  <c r="I72" s="1"/>
  <c r="F69"/>
  <c r="F68"/>
  <c r="F67"/>
  <c r="F66"/>
  <c r="F65"/>
  <c r="F53"/>
  <c r="F51"/>
  <c r="F50"/>
  <c r="F49"/>
  <c r="F48"/>
  <c r="F47"/>
  <c r="F46"/>
  <c r="F45"/>
  <c r="F32"/>
  <c r="F31"/>
  <c r="F30"/>
  <c r="H85" l="1"/>
  <c r="I86"/>
  <c r="F85" i="11" l="1"/>
  <c r="H85" s="1"/>
  <c r="F84"/>
  <c r="I84" s="1"/>
  <c r="I82"/>
  <c r="F82"/>
  <c r="F69"/>
  <c r="I69" s="1"/>
  <c r="I52"/>
  <c r="F53"/>
  <c r="H53" s="1"/>
  <c r="F52"/>
  <c r="I44"/>
  <c r="H44"/>
  <c r="F42"/>
  <c r="I42" s="1"/>
  <c r="F41"/>
  <c r="F39"/>
  <c r="F38"/>
  <c r="F26"/>
  <c r="H26" s="1"/>
  <c r="H25"/>
  <c r="F24"/>
  <c r="H24" s="1"/>
  <c r="F23"/>
  <c r="H23" s="1"/>
  <c r="F22"/>
  <c r="H22" s="1"/>
  <c r="F21"/>
  <c r="H21" s="1"/>
  <c r="F20"/>
  <c r="I20" s="1"/>
  <c r="F19"/>
  <c r="H19" s="1"/>
  <c r="E18"/>
  <c r="F18" s="1"/>
  <c r="I18" s="1"/>
  <c r="F17"/>
  <c r="I17" s="1"/>
  <c r="F16"/>
  <c r="I16" s="1"/>
  <c r="F83" i="10"/>
  <c r="H83" s="1"/>
  <c r="F82"/>
  <c r="I82" s="1"/>
  <c r="F71"/>
  <c r="I71" s="1"/>
  <c r="I78"/>
  <c r="F78"/>
  <c r="I75"/>
  <c r="F75"/>
  <c r="F58"/>
  <c r="F57"/>
  <c r="I54"/>
  <c r="H54"/>
  <c r="F42"/>
  <c r="F41"/>
  <c r="F39"/>
  <c r="F38"/>
  <c r="F26"/>
  <c r="F24"/>
  <c r="F23"/>
  <c r="F22"/>
  <c r="F21"/>
  <c r="I21" s="1"/>
  <c r="F20"/>
  <c r="I20" s="1"/>
  <c r="F19"/>
  <c r="E18"/>
  <c r="F18" s="1"/>
  <c r="I18" s="1"/>
  <c r="F17"/>
  <c r="F16"/>
  <c r="H17" i="11" l="1"/>
  <c r="H84"/>
  <c r="I85"/>
  <c r="I53"/>
  <c r="H18"/>
  <c r="H16"/>
  <c r="H20"/>
  <c r="I21"/>
  <c r="H82" i="10"/>
  <c r="I83"/>
  <c r="I43" i="9" l="1"/>
  <c r="F41"/>
  <c r="I41" s="1"/>
  <c r="F40"/>
  <c r="I40" s="1"/>
  <c r="F39"/>
  <c r="H39" s="1"/>
  <c r="F38"/>
  <c r="F88"/>
  <c r="H88" s="1"/>
  <c r="F87"/>
  <c r="I87" s="1"/>
  <c r="H85"/>
  <c r="I83"/>
  <c r="F83"/>
  <c r="F82"/>
  <c r="H82" s="1"/>
  <c r="I81"/>
  <c r="H81"/>
  <c r="H80"/>
  <c r="H79"/>
  <c r="H78"/>
  <c r="H75"/>
  <c r="F73"/>
  <c r="I73" s="1"/>
  <c r="H71"/>
  <c r="F70"/>
  <c r="H70" s="1"/>
  <c r="F69"/>
  <c r="H69" s="1"/>
  <c r="F68"/>
  <c r="H68" s="1"/>
  <c r="F67"/>
  <c r="H67" s="1"/>
  <c r="F66"/>
  <c r="H66" s="1"/>
  <c r="H65"/>
  <c r="I64"/>
  <c r="F64"/>
  <c r="H64" s="1"/>
  <c r="F62"/>
  <c r="H62" s="1"/>
  <c r="H61"/>
  <c r="H59"/>
  <c r="F58"/>
  <c r="I58" s="1"/>
  <c r="F57"/>
  <c r="H57" s="1"/>
  <c r="I54"/>
  <c r="F54"/>
  <c r="H54" s="1"/>
  <c r="H53"/>
  <c r="F52"/>
  <c r="H52" s="1"/>
  <c r="F51"/>
  <c r="H51" s="1"/>
  <c r="F50"/>
  <c r="I50" s="1"/>
  <c r="F49"/>
  <c r="H49" s="1"/>
  <c r="F48"/>
  <c r="H48" s="1"/>
  <c r="F47"/>
  <c r="H47" s="1"/>
  <c r="F46"/>
  <c r="H46" s="1"/>
  <c r="H43"/>
  <c r="H42"/>
  <c r="H40"/>
  <c r="I38"/>
  <c r="H37"/>
  <c r="H35"/>
  <c r="H34"/>
  <c r="F33"/>
  <c r="H33" s="1"/>
  <c r="F32"/>
  <c r="I32" s="1"/>
  <c r="F31"/>
  <c r="H31" s="1"/>
  <c r="F30"/>
  <c r="I30" s="1"/>
  <c r="F26"/>
  <c r="I26" s="1"/>
  <c r="I25"/>
  <c r="H25"/>
  <c r="F24"/>
  <c r="H24" s="1"/>
  <c r="F23"/>
  <c r="I23" s="1"/>
  <c r="F22"/>
  <c r="H22" s="1"/>
  <c r="F21"/>
  <c r="I21" s="1"/>
  <c r="F20"/>
  <c r="H20" s="1"/>
  <c r="F19"/>
  <c r="I19" s="1"/>
  <c r="E18"/>
  <c r="F18" s="1"/>
  <c r="I18" s="1"/>
  <c r="F17"/>
  <c r="I17" s="1"/>
  <c r="F16"/>
  <c r="I16" s="1"/>
  <c r="H17" l="1"/>
  <c r="H87"/>
  <c r="H18"/>
  <c r="H16"/>
  <c r="H19"/>
  <c r="I20"/>
  <c r="H21"/>
  <c r="I22"/>
  <c r="H23"/>
  <c r="I24"/>
  <c r="H26"/>
  <c r="H30"/>
  <c r="I31"/>
  <c r="H32"/>
  <c r="I33"/>
  <c r="H38"/>
  <c r="I39"/>
  <c r="H41"/>
  <c r="H50"/>
  <c r="H58"/>
  <c r="I62"/>
  <c r="I88"/>
  <c r="I89" l="1"/>
  <c r="I99" s="1"/>
  <c r="F50" i="8" l="1"/>
  <c r="I43"/>
  <c r="F42"/>
  <c r="I42" s="1"/>
  <c r="F88"/>
  <c r="F87"/>
  <c r="I83"/>
  <c r="F83"/>
  <c r="I81"/>
  <c r="F74"/>
  <c r="I74" s="1"/>
  <c r="I65"/>
  <c r="F65"/>
  <c r="F58"/>
  <c r="F57"/>
  <c r="I44"/>
  <c r="H44"/>
  <c r="H43"/>
  <c r="F41"/>
  <c r="I41" s="1"/>
  <c r="F40"/>
  <c r="H40" s="1"/>
  <c r="F39"/>
  <c r="H39" s="1"/>
  <c r="F38"/>
  <c r="I38" s="1"/>
  <c r="H37"/>
  <c r="H27"/>
  <c r="F26"/>
  <c r="I26" s="1"/>
  <c r="I25"/>
  <c r="H25"/>
  <c r="F24"/>
  <c r="H24" s="1"/>
  <c r="F23"/>
  <c r="I23" s="1"/>
  <c r="F22"/>
  <c r="H22" s="1"/>
  <c r="F21"/>
  <c r="I21" s="1"/>
  <c r="F20"/>
  <c r="H20" s="1"/>
  <c r="F19"/>
  <c r="I19" s="1"/>
  <c r="E18"/>
  <c r="F18" s="1"/>
  <c r="I18" s="1"/>
  <c r="F17"/>
  <c r="H17" s="1"/>
  <c r="F16"/>
  <c r="I16" s="1"/>
  <c r="F30"/>
  <c r="H30" s="1"/>
  <c r="F31"/>
  <c r="H31" s="1"/>
  <c r="F32"/>
  <c r="H32" s="1"/>
  <c r="F33"/>
  <c r="H33" s="1"/>
  <c r="H34"/>
  <c r="H35"/>
  <c r="I74" i="19"/>
  <c r="I84"/>
  <c r="F89"/>
  <c r="F88"/>
  <c r="F84"/>
  <c r="F79"/>
  <c r="F74"/>
  <c r="F65"/>
  <c r="F63"/>
  <c r="F59"/>
  <c r="F58"/>
  <c r="F51"/>
  <c r="F43"/>
  <c r="I43" s="1"/>
  <c r="F42"/>
  <c r="F41"/>
  <c r="F40"/>
  <c r="F39"/>
  <c r="H42" i="8" l="1"/>
  <c r="H41"/>
  <c r="H38"/>
  <c r="I39"/>
  <c r="I33"/>
  <c r="I32"/>
  <c r="I31"/>
  <c r="I30"/>
  <c r="H26"/>
  <c r="H18"/>
  <c r="H16"/>
  <c r="I17"/>
  <c r="H19"/>
  <c r="I20"/>
  <c r="H21"/>
  <c r="I22"/>
  <c r="H23"/>
  <c r="I24"/>
  <c r="I27"/>
  <c r="F34" i="19"/>
  <c r="F33"/>
  <c r="F32"/>
  <c r="F31"/>
  <c r="F30"/>
  <c r="I57" i="18" l="1"/>
  <c r="I57" i="17"/>
  <c r="I74" i="16" l="1"/>
  <c r="I76" i="15" l="1"/>
  <c r="I71" i="13" l="1"/>
  <c r="I61" i="12"/>
  <c r="I49" i="11"/>
  <c r="I48"/>
  <c r="I47"/>
  <c r="I58" l="1"/>
  <c r="I81"/>
  <c r="F61" i="10" l="1"/>
  <c r="H61" s="1"/>
  <c r="I43"/>
  <c r="I61" l="1"/>
  <c r="H91" i="8" l="1"/>
  <c r="F63"/>
  <c r="H63" s="1"/>
  <c r="I89" i="19" l="1"/>
  <c r="I88"/>
  <c r="H86"/>
  <c r="I83"/>
  <c r="F83"/>
  <c r="H83" s="1"/>
  <c r="I82"/>
  <c r="H82"/>
  <c r="H81"/>
  <c r="H80"/>
  <c r="H79"/>
  <c r="I76"/>
  <c r="H76"/>
  <c r="I72"/>
  <c r="H72"/>
  <c r="F71"/>
  <c r="H71" s="1"/>
  <c r="F70"/>
  <c r="I70" s="1"/>
  <c r="F69"/>
  <c r="H69" s="1"/>
  <c r="F68"/>
  <c r="I68" s="1"/>
  <c r="F67"/>
  <c r="H67" s="1"/>
  <c r="H66"/>
  <c r="H65"/>
  <c r="H63"/>
  <c r="H62"/>
  <c r="I59"/>
  <c r="H59"/>
  <c r="I55"/>
  <c r="F55"/>
  <c r="H55" s="1"/>
  <c r="I54"/>
  <c r="H54"/>
  <c r="F53"/>
  <c r="I53" s="1"/>
  <c r="F52"/>
  <c r="H52" s="1"/>
  <c r="I51"/>
  <c r="F50"/>
  <c r="H50" s="1"/>
  <c r="F49"/>
  <c r="I49" s="1"/>
  <c r="F48"/>
  <c r="H48" s="1"/>
  <c r="F47"/>
  <c r="I47" s="1"/>
  <c r="I45"/>
  <c r="H45"/>
  <c r="H44"/>
  <c r="H42"/>
  <c r="H41"/>
  <c r="I40"/>
  <c r="H40"/>
  <c r="H39"/>
  <c r="H38"/>
  <c r="H35"/>
  <c r="H34"/>
  <c r="I33"/>
  <c r="H32"/>
  <c r="I31"/>
  <c r="H30"/>
  <c r="H85" i="18"/>
  <c r="I82"/>
  <c r="F82"/>
  <c r="H82" s="1"/>
  <c r="I81"/>
  <c r="H81"/>
  <c r="H80"/>
  <c r="H79"/>
  <c r="H78"/>
  <c r="I75"/>
  <c r="H75"/>
  <c r="I71"/>
  <c r="H71"/>
  <c r="F70"/>
  <c r="H70" s="1"/>
  <c r="F69"/>
  <c r="I69" s="1"/>
  <c r="F68"/>
  <c r="H68" s="1"/>
  <c r="F67"/>
  <c r="I67" s="1"/>
  <c r="F66"/>
  <c r="H66" s="1"/>
  <c r="H65"/>
  <c r="H64"/>
  <c r="H62"/>
  <c r="H61"/>
  <c r="H59"/>
  <c r="I58"/>
  <c r="H58"/>
  <c r="F57"/>
  <c r="I54"/>
  <c r="F54"/>
  <c r="H54" s="1"/>
  <c r="I53"/>
  <c r="H53"/>
  <c r="F52"/>
  <c r="I52" s="1"/>
  <c r="F51"/>
  <c r="H51" s="1"/>
  <c r="F50"/>
  <c r="I50" s="1"/>
  <c r="F49"/>
  <c r="H49" s="1"/>
  <c r="F48"/>
  <c r="I48" s="1"/>
  <c r="F47"/>
  <c r="H47" s="1"/>
  <c r="F46"/>
  <c r="I46" s="1"/>
  <c r="H42"/>
  <c r="H41"/>
  <c r="I40"/>
  <c r="H40"/>
  <c r="H39"/>
  <c r="H38"/>
  <c r="H36"/>
  <c r="H35"/>
  <c r="F34"/>
  <c r="I34" s="1"/>
  <c r="F33"/>
  <c r="H33" s="1"/>
  <c r="F32"/>
  <c r="I32" s="1"/>
  <c r="F31"/>
  <c r="H31" s="1"/>
  <c r="F28"/>
  <c r="I28" s="1"/>
  <c r="H89" i="19" l="1"/>
  <c r="H44" i="18"/>
  <c r="I30" i="19"/>
  <c r="H31"/>
  <c r="I32"/>
  <c r="H33"/>
  <c r="I39"/>
  <c r="I42"/>
  <c r="H43"/>
  <c r="H47"/>
  <c r="I48"/>
  <c r="H49"/>
  <c r="I50"/>
  <c r="H51"/>
  <c r="I52"/>
  <c r="H53"/>
  <c r="H58"/>
  <c r="I63"/>
  <c r="I67"/>
  <c r="H68"/>
  <c r="I69"/>
  <c r="H70"/>
  <c r="I71"/>
  <c r="H88"/>
  <c r="H28" i="18"/>
  <c r="I31"/>
  <c r="H32"/>
  <c r="I33"/>
  <c r="H34"/>
  <c r="I39"/>
  <c r="H43"/>
  <c r="H46"/>
  <c r="I47"/>
  <c r="H48"/>
  <c r="I49"/>
  <c r="H50"/>
  <c r="I51"/>
  <c r="H52"/>
  <c r="H57"/>
  <c r="I62"/>
  <c r="I66"/>
  <c r="H67"/>
  <c r="I68"/>
  <c r="H69"/>
  <c r="I70"/>
  <c r="I100" i="19" l="1"/>
  <c r="I107" i="18"/>
  <c r="H86" i="17" l="1"/>
  <c r="I82"/>
  <c r="F82"/>
  <c r="H82" s="1"/>
  <c r="I81"/>
  <c r="H81"/>
  <c r="H80"/>
  <c r="H79"/>
  <c r="H78"/>
  <c r="I73"/>
  <c r="H73"/>
  <c r="I71"/>
  <c r="H71"/>
  <c r="F70"/>
  <c r="H70" s="1"/>
  <c r="F69"/>
  <c r="I69" s="1"/>
  <c r="F68"/>
  <c r="H68" s="1"/>
  <c r="F67"/>
  <c r="I67" s="1"/>
  <c r="F66"/>
  <c r="H66" s="1"/>
  <c r="H65"/>
  <c r="H64"/>
  <c r="I62"/>
  <c r="H61"/>
  <c r="H59"/>
  <c r="I58"/>
  <c r="H58"/>
  <c r="F57"/>
  <c r="I54"/>
  <c r="F54"/>
  <c r="H54" s="1"/>
  <c r="I53"/>
  <c r="H53"/>
  <c r="F52"/>
  <c r="I52" s="1"/>
  <c r="F51"/>
  <c r="H51" s="1"/>
  <c r="F50"/>
  <c r="I50" s="1"/>
  <c r="F49"/>
  <c r="H49" s="1"/>
  <c r="F48"/>
  <c r="I48" s="1"/>
  <c r="F47"/>
  <c r="H47" s="1"/>
  <c r="F46"/>
  <c r="I46" s="1"/>
  <c r="I43"/>
  <c r="H43"/>
  <c r="F42"/>
  <c r="H42" s="1"/>
  <c r="F41"/>
  <c r="I41" s="1"/>
  <c r="F40"/>
  <c r="H40" s="1"/>
  <c r="H39"/>
  <c r="I38"/>
  <c r="H38"/>
  <c r="F37"/>
  <c r="H37" s="1"/>
  <c r="I36"/>
  <c r="H36"/>
  <c r="H34"/>
  <c r="H33"/>
  <c r="F32"/>
  <c r="H32" s="1"/>
  <c r="I70" i="16"/>
  <c r="H83"/>
  <c r="I78"/>
  <c r="F78"/>
  <c r="H78" s="1"/>
  <c r="I77"/>
  <c r="H77"/>
  <c r="H76"/>
  <c r="H75"/>
  <c r="H74"/>
  <c r="I72"/>
  <c r="H72"/>
  <c r="H70"/>
  <c r="F69"/>
  <c r="I69" s="1"/>
  <c r="F68"/>
  <c r="H68" s="1"/>
  <c r="F67"/>
  <c r="I67" s="1"/>
  <c r="F66"/>
  <c r="H66" s="1"/>
  <c r="F65"/>
  <c r="I65" s="1"/>
  <c r="H64"/>
  <c r="H63"/>
  <c r="I61"/>
  <c r="H60"/>
  <c r="H58"/>
  <c r="I57"/>
  <c r="H57"/>
  <c r="F56"/>
  <c r="H56" s="1"/>
  <c r="I53"/>
  <c r="H53"/>
  <c r="I52"/>
  <c r="H52"/>
  <c r="H51"/>
  <c r="I50"/>
  <c r="H49"/>
  <c r="I48"/>
  <c r="H47"/>
  <c r="I46"/>
  <c r="H45"/>
  <c r="I43"/>
  <c r="H43"/>
  <c r="F42"/>
  <c r="I42" s="1"/>
  <c r="F41"/>
  <c r="H41" s="1"/>
  <c r="F40"/>
  <c r="I40" s="1"/>
  <c r="H39"/>
  <c r="I38"/>
  <c r="H38"/>
  <c r="F37"/>
  <c r="I37" s="1"/>
  <c r="I36"/>
  <c r="H36"/>
  <c r="H34"/>
  <c r="H33"/>
  <c r="F32"/>
  <c r="I32" s="1"/>
  <c r="H62" i="17" l="1"/>
  <c r="I32"/>
  <c r="I37"/>
  <c r="I40"/>
  <c r="H41"/>
  <c r="I42"/>
  <c r="H46"/>
  <c r="I47"/>
  <c r="H48"/>
  <c r="I49"/>
  <c r="H50"/>
  <c r="I51"/>
  <c r="H52"/>
  <c r="H57"/>
  <c r="I66"/>
  <c r="H67"/>
  <c r="I68"/>
  <c r="H69"/>
  <c r="I70"/>
  <c r="H61" i="16"/>
  <c r="H32"/>
  <c r="H37"/>
  <c r="H40"/>
  <c r="I41"/>
  <c r="H42"/>
  <c r="I45"/>
  <c r="H46"/>
  <c r="I47"/>
  <c r="H48"/>
  <c r="I49"/>
  <c r="H50"/>
  <c r="I51"/>
  <c r="I56"/>
  <c r="H65"/>
  <c r="I66"/>
  <c r="H67"/>
  <c r="I68"/>
  <c r="H69"/>
  <c r="I98" l="1"/>
  <c r="I103" i="17"/>
  <c r="I80" i="15" l="1"/>
  <c r="H83"/>
  <c r="F80"/>
  <c r="H80" s="1"/>
  <c r="I79"/>
  <c r="H79"/>
  <c r="H78"/>
  <c r="H77"/>
  <c r="H76"/>
  <c r="I72"/>
  <c r="H72"/>
  <c r="H70"/>
  <c r="F69"/>
  <c r="H69" s="1"/>
  <c r="F68"/>
  <c r="I68" s="1"/>
  <c r="F67"/>
  <c r="H67" s="1"/>
  <c r="F66"/>
  <c r="I66" s="1"/>
  <c r="F65"/>
  <c r="H65" s="1"/>
  <c r="H64"/>
  <c r="H63"/>
  <c r="H61"/>
  <c r="H60"/>
  <c r="H58"/>
  <c r="I57"/>
  <c r="H57"/>
  <c r="F56"/>
  <c r="I56" s="1"/>
  <c r="I53"/>
  <c r="F53"/>
  <c r="H53" s="1"/>
  <c r="I52"/>
  <c r="H52"/>
  <c r="F51"/>
  <c r="I51" s="1"/>
  <c r="F50"/>
  <c r="H50" s="1"/>
  <c r="F49"/>
  <c r="I49" s="1"/>
  <c r="F48"/>
  <c r="H48" s="1"/>
  <c r="F47"/>
  <c r="I47" s="1"/>
  <c r="F46"/>
  <c r="H46" s="1"/>
  <c r="F45"/>
  <c r="I45" s="1"/>
  <c r="I43"/>
  <c r="H43"/>
  <c r="F42"/>
  <c r="H42" s="1"/>
  <c r="F41"/>
  <c r="I41" s="1"/>
  <c r="F40"/>
  <c r="H40" s="1"/>
  <c r="H39"/>
  <c r="I38"/>
  <c r="H38"/>
  <c r="F37"/>
  <c r="H37" s="1"/>
  <c r="I36"/>
  <c r="H36"/>
  <c r="H34"/>
  <c r="H33"/>
  <c r="F32"/>
  <c r="H32" s="1"/>
  <c r="I32" l="1"/>
  <c r="I37"/>
  <c r="I40"/>
  <c r="H41"/>
  <c r="I42"/>
  <c r="H45"/>
  <c r="I46"/>
  <c r="H47"/>
  <c r="I48"/>
  <c r="H49"/>
  <c r="I50"/>
  <c r="H51"/>
  <c r="H56"/>
  <c r="I61"/>
  <c r="I65"/>
  <c r="H66"/>
  <c r="I67"/>
  <c r="H68"/>
  <c r="I69"/>
  <c r="I99" l="1"/>
  <c r="I75" i="14" l="1"/>
  <c r="H84"/>
  <c r="F81"/>
  <c r="H81" s="1"/>
  <c r="I80"/>
  <c r="H80"/>
  <c r="H79"/>
  <c r="H78"/>
  <c r="H77"/>
  <c r="H75"/>
  <c r="H71"/>
  <c r="H70"/>
  <c r="I69"/>
  <c r="H68"/>
  <c r="I67"/>
  <c r="H66"/>
  <c r="H65"/>
  <c r="H62"/>
  <c r="H61"/>
  <c r="H58"/>
  <c r="I57"/>
  <c r="H57"/>
  <c r="F56"/>
  <c r="I56" s="1"/>
  <c r="I53"/>
  <c r="F53"/>
  <c r="H53" s="1"/>
  <c r="I52"/>
  <c r="H52"/>
  <c r="F51"/>
  <c r="I51" s="1"/>
  <c r="F50"/>
  <c r="H50" s="1"/>
  <c r="F49"/>
  <c r="I49" s="1"/>
  <c r="F48"/>
  <c r="H48" s="1"/>
  <c r="F47"/>
  <c r="I47" s="1"/>
  <c r="F46"/>
  <c r="H46" s="1"/>
  <c r="F45"/>
  <c r="I45" s="1"/>
  <c r="I43"/>
  <c r="H43"/>
  <c r="F42"/>
  <c r="H42" s="1"/>
  <c r="F41"/>
  <c r="I41" s="1"/>
  <c r="F40"/>
  <c r="H40" s="1"/>
  <c r="H39"/>
  <c r="I38"/>
  <c r="H38"/>
  <c r="F37"/>
  <c r="H37" s="1"/>
  <c r="I36"/>
  <c r="H36"/>
  <c r="H34"/>
  <c r="H33"/>
  <c r="F32"/>
  <c r="H32" s="1"/>
  <c r="H88" i="13"/>
  <c r="I87"/>
  <c r="H85"/>
  <c r="F82"/>
  <c r="H82" s="1"/>
  <c r="I81"/>
  <c r="H81"/>
  <c r="H80"/>
  <c r="H79"/>
  <c r="H78"/>
  <c r="H75"/>
  <c r="H71"/>
  <c r="I70"/>
  <c r="H69"/>
  <c r="I68"/>
  <c r="H67"/>
  <c r="I66"/>
  <c r="H65"/>
  <c r="I62"/>
  <c r="H61"/>
  <c r="H58"/>
  <c r="I57"/>
  <c r="H57"/>
  <c r="F56"/>
  <c r="H56" s="1"/>
  <c r="I53"/>
  <c r="F53"/>
  <c r="H53" s="1"/>
  <c r="I52"/>
  <c r="H52"/>
  <c r="F51"/>
  <c r="H51" s="1"/>
  <c r="F50"/>
  <c r="I50" s="1"/>
  <c r="F49"/>
  <c r="H49" s="1"/>
  <c r="F48"/>
  <c r="I48" s="1"/>
  <c r="F47"/>
  <c r="H47" s="1"/>
  <c r="F46"/>
  <c r="I46" s="1"/>
  <c r="F45"/>
  <c r="H45" s="1"/>
  <c r="I43"/>
  <c r="H43"/>
  <c r="F42"/>
  <c r="I42" s="1"/>
  <c r="F41"/>
  <c r="H41" s="1"/>
  <c r="F40"/>
  <c r="I40" s="1"/>
  <c r="H39"/>
  <c r="I38"/>
  <c r="H38"/>
  <c r="F37"/>
  <c r="I37" s="1"/>
  <c r="I36"/>
  <c r="H36"/>
  <c r="H34"/>
  <c r="H33"/>
  <c r="I32"/>
  <c r="H31"/>
  <c r="I30"/>
  <c r="H26"/>
  <c r="I25"/>
  <c r="H25"/>
  <c r="I24"/>
  <c r="H23"/>
  <c r="I22"/>
  <c r="H19"/>
  <c r="I17"/>
  <c r="H16"/>
  <c r="H83" i="12"/>
  <c r="F80"/>
  <c r="H80" s="1"/>
  <c r="I79"/>
  <c r="H79"/>
  <c r="H78"/>
  <c r="H77"/>
  <c r="H76"/>
  <c r="H74"/>
  <c r="H70"/>
  <c r="H69"/>
  <c r="H68"/>
  <c r="H67"/>
  <c r="H66"/>
  <c r="H65"/>
  <c r="H64"/>
  <c r="H63"/>
  <c r="F61"/>
  <c r="H60"/>
  <c r="H58"/>
  <c r="I57"/>
  <c r="H57"/>
  <c r="F56"/>
  <c r="H56" s="1"/>
  <c r="I53"/>
  <c r="H53"/>
  <c r="I52"/>
  <c r="H52"/>
  <c r="H51"/>
  <c r="I50"/>
  <c r="H49"/>
  <c r="H48"/>
  <c r="H47"/>
  <c r="H46"/>
  <c r="H45"/>
  <c r="I43"/>
  <c r="H43"/>
  <c r="F42"/>
  <c r="I42" s="1"/>
  <c r="F41"/>
  <c r="H41" s="1"/>
  <c r="F40"/>
  <c r="I40" s="1"/>
  <c r="H39"/>
  <c r="I38"/>
  <c r="H38"/>
  <c r="F37"/>
  <c r="I37" s="1"/>
  <c r="I36"/>
  <c r="H36"/>
  <c r="H34"/>
  <c r="H33"/>
  <c r="I32"/>
  <c r="H31"/>
  <c r="I30"/>
  <c r="H79" i="11"/>
  <c r="F77"/>
  <c r="H77" s="1"/>
  <c r="I76"/>
  <c r="H76"/>
  <c r="H75"/>
  <c r="H74"/>
  <c r="I73"/>
  <c r="H73"/>
  <c r="H71"/>
  <c r="H67"/>
  <c r="F66"/>
  <c r="H66" s="1"/>
  <c r="F65"/>
  <c r="H65" s="1"/>
  <c r="F64"/>
  <c r="H64" s="1"/>
  <c r="F63"/>
  <c r="H63" s="1"/>
  <c r="F62"/>
  <c r="H62" s="1"/>
  <c r="H61"/>
  <c r="F58"/>
  <c r="H58" s="1"/>
  <c r="H57"/>
  <c r="H54"/>
  <c r="I45"/>
  <c r="F45"/>
  <c r="H45" s="1"/>
  <c r="I43"/>
  <c r="H42"/>
  <c r="I41"/>
  <c r="H40"/>
  <c r="I39"/>
  <c r="H39"/>
  <c r="I38"/>
  <c r="H37"/>
  <c r="H35"/>
  <c r="H34"/>
  <c r="F33"/>
  <c r="H33" s="1"/>
  <c r="F32"/>
  <c r="I32" s="1"/>
  <c r="F31"/>
  <c r="H31" s="1"/>
  <c r="F30"/>
  <c r="I30" s="1"/>
  <c r="H80" i="10"/>
  <c r="H77"/>
  <c r="H76"/>
  <c r="H75"/>
  <c r="H73"/>
  <c r="F69"/>
  <c r="H69" s="1"/>
  <c r="F68"/>
  <c r="H68" s="1"/>
  <c r="F67"/>
  <c r="H67" s="1"/>
  <c r="F66"/>
  <c r="H66" s="1"/>
  <c r="F65"/>
  <c r="H65" s="1"/>
  <c r="H64"/>
  <c r="H63"/>
  <c r="H60"/>
  <c r="I58"/>
  <c r="H58"/>
  <c r="H57"/>
  <c r="I53"/>
  <c r="F53"/>
  <c r="H53" s="1"/>
  <c r="H52"/>
  <c r="F51"/>
  <c r="H51" s="1"/>
  <c r="F50"/>
  <c r="H50" s="1"/>
  <c r="F49"/>
  <c r="I49" s="1"/>
  <c r="F48"/>
  <c r="H48" s="1"/>
  <c r="F47"/>
  <c r="H47" s="1"/>
  <c r="F46"/>
  <c r="H46" s="1"/>
  <c r="F45"/>
  <c r="H45" s="1"/>
  <c r="H43"/>
  <c r="I41"/>
  <c r="H40"/>
  <c r="I39"/>
  <c r="H39"/>
  <c r="H38"/>
  <c r="H37"/>
  <c r="H35"/>
  <c r="H34"/>
  <c r="F33"/>
  <c r="I33" s="1"/>
  <c r="F32"/>
  <c r="H32" s="1"/>
  <c r="F31"/>
  <c r="I31" s="1"/>
  <c r="F30"/>
  <c r="H30" s="1"/>
  <c r="H26"/>
  <c r="H25"/>
  <c r="H24"/>
  <c r="H23"/>
  <c r="H22"/>
  <c r="H21"/>
  <c r="H20"/>
  <c r="H19"/>
  <c r="H17"/>
  <c r="I16"/>
  <c r="H88" i="8"/>
  <c r="H87"/>
  <c r="H85"/>
  <c r="F82"/>
  <c r="H82" s="1"/>
  <c r="H81"/>
  <c r="H80"/>
  <c r="H79"/>
  <c r="H78"/>
  <c r="H76"/>
  <c r="H72"/>
  <c r="F71"/>
  <c r="H71" s="1"/>
  <c r="F70"/>
  <c r="H70" s="1"/>
  <c r="F69"/>
  <c r="H69" s="1"/>
  <c r="F68"/>
  <c r="H68" s="1"/>
  <c r="F67"/>
  <c r="H67" s="1"/>
  <c r="H66"/>
  <c r="H65"/>
  <c r="H62"/>
  <c r="H42" i="10" l="1"/>
  <c r="I42"/>
  <c r="I32" i="14"/>
  <c r="I37"/>
  <c r="I40"/>
  <c r="H41"/>
  <c r="I42"/>
  <c r="H45"/>
  <c r="I46"/>
  <c r="H47"/>
  <c r="I48"/>
  <c r="H49"/>
  <c r="I50"/>
  <c r="H51"/>
  <c r="H56"/>
  <c r="I62"/>
  <c r="I66"/>
  <c r="H67"/>
  <c r="I68"/>
  <c r="H69"/>
  <c r="I70"/>
  <c r="H18" i="13"/>
  <c r="I16"/>
  <c r="H17"/>
  <c r="H22"/>
  <c r="I23"/>
  <c r="H24"/>
  <c r="I26"/>
  <c r="H30"/>
  <c r="I31"/>
  <c r="H32"/>
  <c r="H37"/>
  <c r="H40"/>
  <c r="I41"/>
  <c r="H42"/>
  <c r="I45"/>
  <c r="H46"/>
  <c r="I47"/>
  <c r="H48"/>
  <c r="I49"/>
  <c r="H50"/>
  <c r="I51"/>
  <c r="I56"/>
  <c r="H62"/>
  <c r="H66"/>
  <c r="I67"/>
  <c r="H68"/>
  <c r="I69"/>
  <c r="H70"/>
  <c r="H87"/>
  <c r="I88"/>
  <c r="I48" i="12"/>
  <c r="I46"/>
  <c r="I69"/>
  <c r="I67"/>
  <c r="I47"/>
  <c r="I87" s="1"/>
  <c r="I45"/>
  <c r="I65"/>
  <c r="I68"/>
  <c r="I66"/>
  <c r="H30"/>
  <c r="I31"/>
  <c r="H32"/>
  <c r="H37"/>
  <c r="H40"/>
  <c r="I41"/>
  <c r="H42"/>
  <c r="I49"/>
  <c r="H50"/>
  <c r="I51"/>
  <c r="I56"/>
  <c r="H61"/>
  <c r="H30" i="11"/>
  <c r="I31"/>
  <c r="H32"/>
  <c r="I33"/>
  <c r="H38"/>
  <c r="H41"/>
  <c r="H43"/>
  <c r="H52"/>
  <c r="H18" i="10"/>
  <c r="H16"/>
  <c r="I17"/>
  <c r="I30"/>
  <c r="H31"/>
  <c r="I32"/>
  <c r="H33"/>
  <c r="I38"/>
  <c r="I84" s="1"/>
  <c r="H41"/>
  <c r="H49"/>
  <c r="I88" i="8"/>
  <c r="I87"/>
  <c r="I63"/>
  <c r="I89" i="13" l="1"/>
  <c r="I99" s="1"/>
  <c r="I97" i="12"/>
  <c r="I98" i="10"/>
  <c r="I119" i="14"/>
  <c r="H59" i="8" l="1"/>
  <c r="I58"/>
  <c r="H58"/>
  <c r="I54"/>
  <c r="F54"/>
  <c r="H54" s="1"/>
  <c r="H53"/>
  <c r="F52"/>
  <c r="H52" s="1"/>
  <c r="F51"/>
  <c r="H51" s="1"/>
  <c r="H50"/>
  <c r="F49"/>
  <c r="H49" s="1"/>
  <c r="F48"/>
  <c r="H48" s="1"/>
  <c r="F47"/>
  <c r="H47" s="1"/>
  <c r="F46"/>
  <c r="H46" s="1"/>
  <c r="H57" l="1"/>
  <c r="I50"/>
  <c r="I89" s="1"/>
  <c r="I102" l="1"/>
  <c r="I99" i="11"/>
</calcChain>
</file>

<file path=xl/sharedStrings.xml><?xml version="1.0" encoding="utf-8"?>
<sst xmlns="http://schemas.openxmlformats.org/spreadsheetml/2006/main" count="2850" uniqueCount="401">
  <si>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</si>
  <si>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</si>
  <si>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</si>
  <si>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</si>
  <si>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</si>
  <si>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</si>
  <si>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</si>
  <si>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</si>
  <si>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</si>
  <si>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</si>
  <si>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</si>
  <si>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</si>
  <si>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</si>
  <si>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</si>
  <si>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</si>
  <si>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</si>
  <si>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</si>
  <si>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</si>
  <si>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</si>
  <si>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</si>
  <si>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</si>
  <si>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</si>
  <si>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</si>
  <si>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</si>
  <si>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</si>
  <si>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ежедневно</t>
  </si>
  <si>
    <t>м2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</si>
  <si>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</si>
  <si>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</si>
  <si>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</si>
  <si>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</si>
  <si>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шт.</t>
  </si>
  <si>
    <t>м/час</t>
  </si>
  <si>
    <t>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</si>
  <si>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</si>
  <si>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</si>
  <si>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</si>
  <si>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</si>
  <si>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</si>
  <si>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</si>
  <si>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</si>
  <si>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</si>
  <si>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</si>
  <si>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</si>
  <si>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</si>
  <si>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</si>
  <si>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</si>
  <si>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</si>
  <si>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</si>
  <si>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</si>
  <si>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</si>
  <si>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</si>
  <si>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</si>
  <si>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</si>
  <si>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</si>
  <si>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</si>
  <si>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</si>
  <si>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</si>
  <si>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</si>
  <si>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</si>
  <si>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</si>
  <si>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</si>
  <si>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>Подборка мусора на контейнерной площадке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</si>
  <si>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</si>
  <si>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</si>
  <si>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</si>
  <si>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</si>
  <si>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</si>
  <si>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</si>
  <si>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3 раза в год</t>
  </si>
  <si>
    <t>Электроснабжение</t>
  </si>
  <si>
    <t>Смена ламп накаливания</t>
  </si>
  <si>
    <t>Смена плавкой вставки в электрощите</t>
  </si>
  <si>
    <t>10 шт</t>
  </si>
  <si>
    <t>Вентканалы, дымоходы</t>
  </si>
  <si>
    <t>100м</t>
  </si>
  <si>
    <t xml:space="preserve">Непредвиденные расходы </t>
  </si>
  <si>
    <t>Итого: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</si>
  <si>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</si>
  <si>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место</t>
  </si>
  <si>
    <t>II. Уборка земельного участка</t>
  </si>
  <si>
    <t>Влажное подметание лестничных клеток 1 этажа</t>
  </si>
  <si>
    <t>Замена ламп ДРЛ</t>
  </si>
  <si>
    <t>Влажное подметание лестничных клеток 2-5 этажа</t>
  </si>
  <si>
    <t>Мытье лестничных  площадок и маршей 1-5 этаж.</t>
  </si>
  <si>
    <t>Вывоз снега с придомовой территории</t>
  </si>
  <si>
    <t>Дератизация</t>
  </si>
  <si>
    <t>100м2</t>
  </si>
  <si>
    <t>Мытье окон</t>
  </si>
  <si>
    <t>10м2</t>
  </si>
  <si>
    <t xml:space="preserve">1 раз в год     </t>
  </si>
  <si>
    <t>Влажная протирка подоконников</t>
  </si>
  <si>
    <t xml:space="preserve">1 раз в год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</si>
  <si>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</si>
  <si>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</si>
  <si>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</si>
  <si>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</si>
  <si>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отопительных приборов</t>
  </si>
  <si>
    <t>Влажная протирка шкафов для щитов и слаботочн. устройств</t>
  </si>
  <si>
    <t>Уборка газонов</t>
  </si>
  <si>
    <t>1000м2</t>
  </si>
  <si>
    <t>52 раза в сезон</t>
  </si>
  <si>
    <t>78 раз за сезон</t>
  </si>
  <si>
    <t>Уборка контейнерной площадки (16 кв.м.)</t>
  </si>
  <si>
    <t>30 раз за сезон</t>
  </si>
  <si>
    <t>155 раз за сезон</t>
  </si>
  <si>
    <t xml:space="preserve">Пескопосыпка территории: крыльца и тротуары 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</si>
  <si>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</si>
  <si>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</si>
  <si>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шт</t>
  </si>
  <si>
    <t>Очистка края кровли от слежавшегося снега со сбрасыванием сосулек (10% от S кровли и козырьки)</t>
  </si>
  <si>
    <t xml:space="preserve">6 раз за сезон </t>
  </si>
  <si>
    <t>100м3</t>
  </si>
  <si>
    <t>1000м3</t>
  </si>
  <si>
    <t>Вода для промывки СО</t>
  </si>
  <si>
    <t>Сброс воды после промывки СО в канализацию</t>
  </si>
  <si>
    <t>Техническое обслуживание наружных газопроводов</t>
  </si>
  <si>
    <t>ТО внутридомового газ.оборудования</t>
  </si>
  <si>
    <t>Прочистка каналов</t>
  </si>
  <si>
    <t>Аварийно-диспетчерское обслуживание</t>
  </si>
  <si>
    <t xml:space="preserve">приемки оказанных услуг и выполненных работ по содержанию и текущему ремонту
общего имущества в многоквартирном доме №2 по ул.Нефтяников пгт.Ярега
</t>
  </si>
  <si>
    <t>Сдвигание снега в дни снегопада (проезды)</t>
  </si>
  <si>
    <t>12 раз за сезон</t>
  </si>
  <si>
    <t>Сдвигание снега в дни снегопада (крыльца, тротуары)</t>
  </si>
  <si>
    <t>1м3</t>
  </si>
  <si>
    <t>24 раза за сезон</t>
  </si>
  <si>
    <t>Осмотр рулонной кровли</t>
  </si>
  <si>
    <t xml:space="preserve">Очистка водостоков от наледи </t>
  </si>
  <si>
    <t>Очистка внутреннего водостока</t>
  </si>
  <si>
    <t>водосток</t>
  </si>
  <si>
    <t>Смена выключателей</t>
  </si>
  <si>
    <t>Смена патронов</t>
  </si>
  <si>
    <t>АКТ №1</t>
  </si>
  <si>
    <r>
      <t>1.  Исполнителем   предъявлены   к   приемке   следующие   оказанные   на   основании   Договора   на   содержание   и   ремонт   многоквартирного   дома   №</t>
    </r>
    <r>
      <rPr>
        <u/>
        <sz val="12"/>
        <rFont val="Times New Roman"/>
        <family val="1"/>
        <charset val="204"/>
      </rPr>
      <t xml:space="preserve">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ул.Нефтяников, д.2</t>
    </r>
  </si>
  <si>
    <t>III. Проведение технических осмотров</t>
  </si>
  <si>
    <t>IV. Содержание общего имущества МКД</t>
  </si>
  <si>
    <t>V. Прочие услуги</t>
  </si>
  <si>
    <t>Подметание территории с усовершенствованным покрытием асф.: крыльца, контейнерн пл., проезд, тротуар</t>
  </si>
  <si>
    <t>5 раз в год</t>
  </si>
  <si>
    <t>Очистка чердака, подвала от мусора</t>
  </si>
  <si>
    <t>Установка хомута диаметром до 50 мм</t>
  </si>
  <si>
    <t>Итого затраты за месяц</t>
  </si>
  <si>
    <t>АКТ №2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</si>
  <si>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</si>
  <si>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</si>
  <si>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АКТ №3</t>
  </si>
  <si>
    <t>III. Содержание общего имущества МКД</t>
  </si>
  <si>
    <t>IV. Прочие услуги</t>
  </si>
  <si>
    <t>АКТ №4</t>
  </si>
  <si>
    <t>1 шт</t>
  </si>
  <si>
    <t>АКТ №5</t>
  </si>
  <si>
    <t>АКТ №6</t>
  </si>
  <si>
    <t>АКТ №7</t>
  </si>
  <si>
    <t>АКТ №8</t>
  </si>
  <si>
    <t>АКТ №9</t>
  </si>
  <si>
    <t>АКТ №10</t>
  </si>
  <si>
    <t>АКТ №11</t>
  </si>
  <si>
    <t>АКТ №12</t>
  </si>
  <si>
    <t>ООО «Движение»</t>
  </si>
  <si>
    <t>м</t>
  </si>
  <si>
    <t>Работа автовышки</t>
  </si>
  <si>
    <t>маш-час</t>
  </si>
  <si>
    <t>2 раза в неделю 52 раза в сезон</t>
  </si>
  <si>
    <t>52 раза за сезон</t>
  </si>
  <si>
    <t>по мере необходимости</t>
  </si>
  <si>
    <t>Подметание снега с тротуара, крылец, конт. площадок, входных площадок</t>
  </si>
  <si>
    <t>Очистка вручную от снега и наледи люков канализационных и водопроводных колодцев</t>
  </si>
  <si>
    <t>Очистка карниза кровли от наледи, снега и сосулек</t>
  </si>
  <si>
    <t>Водоснабжение, канализация</t>
  </si>
  <si>
    <t>Техническое обслуживание внутренних сетей водопровода и канализации</t>
  </si>
  <si>
    <t>руб/м2 в мес</t>
  </si>
  <si>
    <t>Снятие показаний  с общедомовых приборов учета холодной воды</t>
  </si>
  <si>
    <t>Работы по управлению, начислению, сбору платы за содержание и ремонт, и взысканию задолжностей</t>
  </si>
  <si>
    <t>1м2</t>
  </si>
  <si>
    <t>4 шт</t>
  </si>
  <si>
    <t>Осмотр пластиковых заполнений проемов</t>
  </si>
  <si>
    <t>Смена светодиодного светильника внутреннего освещения ( со стоимостью светильника)</t>
  </si>
  <si>
    <t>Организация и содержание мест накопления ТКО</t>
  </si>
  <si>
    <t>13 раз</t>
  </si>
  <si>
    <t>8 раз</t>
  </si>
  <si>
    <t>2 раза</t>
  </si>
  <si>
    <t xml:space="preserve">1 раз </t>
  </si>
  <si>
    <t>21 раз</t>
  </si>
  <si>
    <t>5 раз</t>
  </si>
  <si>
    <t>25 раз</t>
  </si>
  <si>
    <t>7 раз</t>
  </si>
  <si>
    <t xml:space="preserve">2 раза </t>
  </si>
  <si>
    <t>1 раз</t>
  </si>
  <si>
    <t>1 м-час</t>
  </si>
  <si>
    <t>3 шт</t>
  </si>
  <si>
    <t>10 м2</t>
  </si>
  <si>
    <t>Пропан</t>
  </si>
  <si>
    <t>Манжета 110</t>
  </si>
  <si>
    <t>9 раз</t>
  </si>
  <si>
    <t>6 раз</t>
  </si>
  <si>
    <t>3 раза</t>
  </si>
  <si>
    <t>10 м</t>
  </si>
  <si>
    <t>под.№8</t>
  </si>
  <si>
    <t xml:space="preserve">Осмотр водопроводов, канализации, отопления </t>
  </si>
  <si>
    <t>19 февр.</t>
  </si>
  <si>
    <t>1 шт, под.№4 , 4 этаж</t>
  </si>
  <si>
    <t>Смена внутренних трубопроводов на полипропиленовые трубы PN 25 Dу 25</t>
  </si>
  <si>
    <t>Осмотр электросетей, армазуры и электрооборудования на лестничных клетках</t>
  </si>
  <si>
    <t>Смена внутренних трубопроводов на полипропиленовые трубы PN 25 Dу 20</t>
  </si>
  <si>
    <t>4 шт. подвал</t>
  </si>
  <si>
    <t>4 раза</t>
  </si>
  <si>
    <t xml:space="preserve">1 раз      </t>
  </si>
  <si>
    <t>2 маш/час</t>
  </si>
  <si>
    <t>Герметизация межпанельных швов</t>
  </si>
  <si>
    <t>руб</t>
  </si>
  <si>
    <t xml:space="preserve">1 раз    </t>
  </si>
  <si>
    <t xml:space="preserve">1 раз   </t>
  </si>
  <si>
    <t>3 шт.</t>
  </si>
  <si>
    <t>Ремонт и регулировка доводчика (без стоимости доводчика)</t>
  </si>
  <si>
    <t>1шт.</t>
  </si>
  <si>
    <r>
      <t xml:space="preserve">    Собственники помещений в многоквартирном доме, расположенном по адресу: пгт.Ярега, ул.Нефтяников, д.2,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06.08.2018г. стороны, и ООО «Движение», именуемое в дальнейшем "Исполнитель", в лице генерального директора Кочановой  Ирины Леонидовны, действующего на основании Устава, с другой стороны, совместно именуемые "Стороны", составили настоящий Акт о нижеследующем:</t>
    </r>
  </si>
  <si>
    <t>Смена внутренних трубопроводов на полипропиленовые трубы PN 20 Dу 25</t>
  </si>
  <si>
    <t>10 ступ.</t>
  </si>
  <si>
    <t>1 шт под.№7</t>
  </si>
  <si>
    <t>генеральный директор Кочанова И.Л.</t>
  </si>
  <si>
    <t>1 шт.под.№7</t>
  </si>
  <si>
    <r>
      <t xml:space="preserve">    Собственники помещений в многоквартирном доме, расположенном по адресу: пгт.Ярега, ул.Нефтяников, д.2,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06.11.2018г. № 29 стороны, и ООО «Движение», именуемое в дальнейшем "Исполнитель", в лице генерального директора Кочановой  Ирины Леонидовны, действующего на основании Устава, с другой стороны, совместно именуемые "Стороны", составили настоящий Акт о нижеследующем:</t>
    </r>
  </si>
  <si>
    <t>Смена арматуры - вентилей и клапанов обратных муфтовых диаметром до 20 мм ( без материалов)</t>
  </si>
  <si>
    <t>за период с 01.01.2021 г. по 31.01.2021 г.</t>
  </si>
  <si>
    <r>
      <t xml:space="preserve">    Собственники помещений в многоквартирном доме, расположенном по адресу: пгт.Ярега, ул.Нефтяников, д.2,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06.11.2018г. стороны, и ООО «Движение», именуемое в дальнейшем "Исполнитель", в лице генерального директора Кочановой  Ирины Леонидовны, действующего на основании Устава, с другой стороны, совместно именуемые "Стороны", составили настоящий Акт о нижеследующем:</t>
    </r>
  </si>
  <si>
    <t>25 и 28 янв ( 1 час)</t>
  </si>
  <si>
    <t>очистка канализационной сети внутренней</t>
  </si>
  <si>
    <t>Прочистка  фановой трубы</t>
  </si>
  <si>
    <t>Осмотр водопроводов, канализации, отопления</t>
  </si>
  <si>
    <t>3 м</t>
  </si>
  <si>
    <t>1 м/час</t>
  </si>
  <si>
    <t>Ремонт рулонной кровли над кв.72 ( 09.06.2020г.)</t>
  </si>
  <si>
    <t>Изол</t>
  </si>
  <si>
    <t>Смена обделок из листовой стали -  отливов кв.72</t>
  </si>
  <si>
    <t>2,5 м</t>
  </si>
  <si>
    <t>п/с кв.118</t>
  </si>
  <si>
    <t>2. Всего за период с 01.01.2021 по 31.01.2021 выполнено работ (оказано услуг) на общую сумму: 105276,75 руб.</t>
  </si>
  <si>
    <t>(сто пять тысяч двести семьдесят шесть рублей 75 копеек)</t>
  </si>
  <si>
    <t>за период с 01.02.2021 г. по 28.02.2021 г.</t>
  </si>
  <si>
    <t>1 ч ( 2,5 февр.)</t>
  </si>
  <si>
    <t>Прочистка аэратора</t>
  </si>
  <si>
    <t>3м</t>
  </si>
  <si>
    <t>1 шт.ХВС кв.6</t>
  </si>
  <si>
    <t>под.№1</t>
  </si>
  <si>
    <t>кв.58  ГВС</t>
  </si>
  <si>
    <t>кв.39</t>
  </si>
  <si>
    <t>2. Всего за период с 01.02.2021 по 28.02.2021 выполнено работ (оказано услуг) на общую сумму: 118208,32 руб.</t>
  </si>
  <si>
    <t>(сто восемнадцать тысяч двести восемь рублей 32 копейки)</t>
  </si>
  <si>
    <t>за период с 01.03.2021 г. по 31.03.2021 г.</t>
  </si>
  <si>
    <t>2,5,16,31 марта</t>
  </si>
  <si>
    <t>22 марта</t>
  </si>
  <si>
    <t>смена полипропиленовых канализационных труб ПП 100*1000</t>
  </si>
  <si>
    <t>Переход чугун-пластик 100</t>
  </si>
  <si>
    <t>Муфта соединительная 100</t>
  </si>
  <si>
    <t>Тройник 100</t>
  </si>
  <si>
    <t>Патрубок компенчационный</t>
  </si>
  <si>
    <t>Ремонт двери в тамбуре</t>
  </si>
  <si>
    <t>смена полипропиленовых канализационных труб ПП 100*2000</t>
  </si>
  <si>
    <t>2. Всего за период с 01.03.2021 по 31.03.2021 выполнено работ (оказано услуг) на общую сумму: 102206,45 руб.</t>
  </si>
  <si>
    <t>(сто две тысячи двести шесть рублей 45 копеек)</t>
  </si>
  <si>
    <t>кв.25-2 м</t>
  </si>
  <si>
    <t>Дезинсекция от муравьев</t>
  </si>
  <si>
    <t>Циперметрин и фас дубль</t>
  </si>
  <si>
    <t>3 м ГВС кв.19</t>
  </si>
  <si>
    <t>3 м ХВС кв.19</t>
  </si>
  <si>
    <t>тех. подполье</t>
  </si>
  <si>
    <r>
      <t xml:space="preserve">    Собственники помещений в многоквартирном доме, расположенном по адресу: пгт.Ярега, ул.Нефтяников, д.2,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06.11.2018г. стороны, и ООО «Движение», именуемое в дальнейшем "Исполнитель", в лице генерального директора Кочановой Ирины Леонидовны, действующего на основании Устава, с другой стороны, совместно именуемые "Стороны", составили настоящий Акт о нижеследующем:</t>
    </r>
  </si>
  <si>
    <t>за период с 01.04.2021 г. по 30.04.2021 г.</t>
  </si>
  <si>
    <t>Очистка чердака от снега</t>
  </si>
  <si>
    <t>Смена внутренних трубопроводов из стальных труб диаметром до 40 мм (без материалов)</t>
  </si>
  <si>
    <t>1 м</t>
  </si>
  <si>
    <t>4 м ХВС подвал</t>
  </si>
  <si>
    <t>Сварочные работы</t>
  </si>
  <si>
    <t>час</t>
  </si>
  <si>
    <t>ХВС подвал</t>
  </si>
  <si>
    <t>за период с 01.05.2021 г. по 31.05.2021 г.</t>
  </si>
  <si>
    <t>Поборка мусора, налетевшего с контейнерной площадки</t>
  </si>
  <si>
    <t>Внеплановая проверка вентканалов</t>
  </si>
  <si>
    <t>Заделка отверстия в кв.22 после работ ВДИС</t>
  </si>
  <si>
    <t>1 м3</t>
  </si>
  <si>
    <t>кв. 51 1 шт. ГВС, 1 шт. ХВС</t>
  </si>
  <si>
    <t>кв.80 с/о</t>
  </si>
  <si>
    <t>кв.81</t>
  </si>
  <si>
    <t>кв.22</t>
  </si>
  <si>
    <t>2. Всего за период с 01.05.2021 по 31.05.2021 выполнено работ (оказано услуг) на общую сумму: 130863,62 руб.</t>
  </si>
  <si>
    <t>(сто тридцать тысяч восемьсот шестьдесят три рубля 62 копейки)</t>
  </si>
  <si>
    <t>за период с 01.06.2021 г. по 30.06.2021 г.</t>
  </si>
  <si>
    <t>Установка скамейки у под. № 5</t>
  </si>
  <si>
    <t xml:space="preserve">Ремонт ступеней </t>
  </si>
  <si>
    <t>под. № 7 р/у</t>
  </si>
  <si>
    <t>2. Всего за период с 01.06.2021 по 30.06.2021 выполнено работ (оказано услуг) на общую сумму: 234490,03 руб.</t>
  </si>
  <si>
    <t>(двести тридцать четыре тысячи четыреста девяносто рублей 03 копейки)</t>
  </si>
  <si>
    <t>1 шт.. ГВС  подвал</t>
  </si>
  <si>
    <t>за период с 01.07.2021 г. по 31.07.2021 г.</t>
  </si>
  <si>
    <t>Работа ротенбергера</t>
  </si>
  <si>
    <t>Смена внутренних трубопроводов на полипропиленовые трубы 32*5,4</t>
  </si>
  <si>
    <t>Валка сухостойных и больных деревьев в городских условиях</t>
  </si>
  <si>
    <t>1 мЗ</t>
  </si>
  <si>
    <t>Работа автопогрузчика</t>
  </si>
  <si>
    <t>Ремонт рулонной кровли</t>
  </si>
  <si>
    <t>Заделка дыры в полу кв.92 после работ ВДИС</t>
  </si>
  <si>
    <t>I место</t>
  </si>
  <si>
    <t>1маш-час</t>
  </si>
  <si>
    <t xml:space="preserve">1 раз  </t>
  </si>
  <si>
    <t xml:space="preserve">1 раз     </t>
  </si>
  <si>
    <t>1 шт. п/с кв.23</t>
  </si>
  <si>
    <t>20 м2 над кв.72;40 м2 над кв.58</t>
  </si>
  <si>
    <t>1 шт под.3; 3 шт. под.1</t>
  </si>
  <si>
    <t>3,5 часа</t>
  </si>
  <si>
    <t>6 м</t>
  </si>
  <si>
    <t>0,5 м ГВС подвал</t>
  </si>
  <si>
    <t>Очистка отмостки, цоколя от растительности</t>
  </si>
  <si>
    <t>12 раз</t>
  </si>
  <si>
    <t>м.п.</t>
  </si>
  <si>
    <t>3 маш/час</t>
  </si>
  <si>
    <t>16 м.п. у кв.10,15,72</t>
  </si>
  <si>
    <t>2. Всего за период с 01.04.2021 по 30.04.2021 выполнено работ (оказано услуг) на общую сумму: 126634,25 руб.</t>
  </si>
  <si>
    <t>(сто двадцать шесть тысяч шестьсот тридцать четыре рубля 25 копеек)</t>
  </si>
  <si>
    <t>за период с 01.08.2021 г. по 31.08.2021 г.</t>
  </si>
  <si>
    <t>Нумерация подъездов и квартир</t>
  </si>
  <si>
    <t>Ямочный ремонт отдельных участков отмосток</t>
  </si>
  <si>
    <t>Патрубок компенсационный100</t>
  </si>
  <si>
    <t>2 м2</t>
  </si>
  <si>
    <t>0,5 м кв.24</t>
  </si>
  <si>
    <t>2. Всего за период с 01.08.2021 по 31.08.2021 выполнено работ (оказано услуг) на общую сумму: 105921,99 руб.</t>
  </si>
  <si>
    <t>(сто пять тысяч девятьсот двадцать один рубль 99 копеек)</t>
  </si>
  <si>
    <t>за период с 01.09.2021 г. по 30.09.2021 г.</t>
  </si>
  <si>
    <t>Ремонт входных площадок под. № 1,3,4,7,8</t>
  </si>
  <si>
    <t>Уборка смета с тротуара и входных площадок</t>
  </si>
  <si>
    <t>кв.14 - 1 шт</t>
  </si>
  <si>
    <t>2 м ГВС  кв.83; 4 м ГВС кв.74</t>
  </si>
  <si>
    <t>Смена радиаторов отопительных (без стоимости радиаторов)</t>
  </si>
  <si>
    <t>Радиатор 7 секции</t>
  </si>
  <si>
    <t>кв.19</t>
  </si>
  <si>
    <t>Смена арматуры - вентилей и клапанов обратных муфтовых диаметром до 20 мм</t>
  </si>
  <si>
    <t>с/о 3 шт. подвал</t>
  </si>
  <si>
    <t>0,2 м ГВС кв.74; 1 м с/о кв.19</t>
  </si>
  <si>
    <t>Смена внутренних трубопроводов на полипропиленовые трубы PN 20 Dу 20</t>
  </si>
  <si>
    <t>12 м ХВС с кв.21 до подвала</t>
  </si>
  <si>
    <t>кв.92-6м</t>
  </si>
  <si>
    <t>кв.92-1м</t>
  </si>
  <si>
    <t>Ревизия 110</t>
  </si>
  <si>
    <t>Подключение и отключение сварочного аппарата/электрооборудования</t>
  </si>
  <si>
    <t>Ремонт групповых щитков на лестничной клетке со сменой автоматов</t>
  </si>
  <si>
    <t>кв.28</t>
  </si>
  <si>
    <t>Смена автомата на ток до 25А</t>
  </si>
  <si>
    <t>2. Всего за период с 01.07.2021 по 31.07.2021 выполнено работ (оказано услуг) на общую сумму: 184630,83 руб.</t>
  </si>
  <si>
    <t>(сто восемьдесят четыре тысячи шестьсот тридцать рублей 83 копейки)</t>
  </si>
  <si>
    <t>Обрезка ветвей деревьев</t>
  </si>
  <si>
    <t>за период с 01.10.2021 г. по 31.10.2021 г.</t>
  </si>
  <si>
    <t>Выравнивание дверной коробки</t>
  </si>
  <si>
    <t>Смена оконных приборов - ручки</t>
  </si>
  <si>
    <t>100шт</t>
  </si>
  <si>
    <t>Ремонт штукатурки внутренних стен по камню и бетону цементно-известковым раствором площадью до 1 м2 толщиной слоя до 20 мм</t>
  </si>
  <si>
    <t>под.№ 4 и7</t>
  </si>
  <si>
    <t>1 шт п/с кв.37</t>
  </si>
  <si>
    <t>1 м2 кв.92</t>
  </si>
  <si>
    <t>4 м ГВС с кв.77 до подвала</t>
  </si>
  <si>
    <t>2 шт. под.№8</t>
  </si>
  <si>
    <t>2. Всего за период с 01.10.2021 по 31.10.2021 выполнено работ (оказано услуг) на общую сумму:83797,74 руб.</t>
  </si>
  <si>
    <t>(восемьдесят три тысячи семьсот девяносто семь рублей 74 копейки)</t>
  </si>
  <si>
    <t>2. Всего за период с 01.09.2021 по 30.09.2021 выполнено работ (оказано услуг) на общую сумму: 191280,48 руб.</t>
  </si>
  <si>
    <t>(сто девяносто одна тысяча двести восемьдесят рублей 48 копеек)</t>
  </si>
  <si>
    <t>за период с 01.11.2021 г. по 30.11.2021 г.</t>
  </si>
  <si>
    <t>Заделка окон фанерой</t>
  </si>
  <si>
    <t xml:space="preserve">Вывертывание и ввертывание радиаторной пробки.   </t>
  </si>
  <si>
    <t>1 пробка</t>
  </si>
  <si>
    <t>Смена дверных приборов /замки навесные)</t>
  </si>
  <si>
    <t>Герметизация стыков трубопроводов</t>
  </si>
  <si>
    <t>1 место</t>
  </si>
  <si>
    <t>Герметик</t>
  </si>
  <si>
    <t>Утепление трубопроводов минеральной ватой</t>
  </si>
  <si>
    <t>I МЗ</t>
  </si>
  <si>
    <t>Восстановление обшивки тамбура под. №4</t>
  </si>
  <si>
    <t>Герметизация дверной коробки монтажной пеной</t>
  </si>
  <si>
    <t xml:space="preserve">Покраска панелей </t>
  </si>
  <si>
    <t>22,30 ноября</t>
  </si>
  <si>
    <t>с/о под.№4 тамбур</t>
  </si>
  <si>
    <t>под.№4</t>
  </si>
  <si>
    <t>ГВС 1 шт. кв.46</t>
  </si>
  <si>
    <t>под. №1 крыльцо</t>
  </si>
  <si>
    <t>под.№4, хоз.помещение гл. фасад</t>
  </si>
  <si>
    <t>кв.79</t>
  </si>
  <si>
    <t>1 шт.</t>
  </si>
  <si>
    <t>1 шт. хоз.помещ.</t>
  </si>
  <si>
    <t>2 м2 под.№7; 8м2 под.№1</t>
  </si>
  <si>
    <t>5 м2 под.№1</t>
  </si>
  <si>
    <t>кв.1</t>
  </si>
  <si>
    <t>2 шт</t>
  </si>
  <si>
    <t>2. Всего за период с 01.11.21 по 30.11.2021 выполнено работ (оказано услуг) на общую сумму: 101310,56 руб.</t>
  </si>
  <si>
    <t xml:space="preserve">(сто одна тысяча триста десять рублей 56 копеек)  </t>
  </si>
  <si>
    <t>за период с 01.12.2021 г. по 31.12.2021 г.</t>
  </si>
  <si>
    <t>1,15,30 декабря</t>
  </si>
  <si>
    <t>Смена дверных приборов - пружины</t>
  </si>
  <si>
    <t>Смена дверных приборов - петли</t>
  </si>
  <si>
    <t>1 м/час (кв.108 закрыли балкон)</t>
  </si>
  <si>
    <t>1 шт. под.№7 подвал</t>
  </si>
  <si>
    <t>1 шт. под.№3</t>
  </si>
  <si>
    <t>2 шт. под.№3</t>
  </si>
  <si>
    <t>2. Всего за период с 01.12.2021 по 31.12.2021 выполнено работ (оказано услуг) на общую сумму: 101349,04 руб.</t>
  </si>
  <si>
    <t>(сто одна тысяча триста сорок девять рублей 04 копейки)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</si>
</sst>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.5"/>
      <name val="Times New Roman"/>
      <family val="1"/>
      <charset val="204"/>
    </font>
    <font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b/>
      <u/>
      <sz val="10"/>
      <name val="Arial"/>
      <family val="2"/>
      <charset val="204"/>
    </font>
    <font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51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242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/>
    <xf numFmtId="0" fontId="14" fillId="0" borderId="3" xfId="0" applyFont="1" applyFill="1" applyBorder="1"/>
    <xf numFmtId="4" fontId="11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3" fillId="0" borderId="3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13" fillId="0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4" fontId="11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/>
    </xf>
    <xf numFmtId="4" fontId="11" fillId="0" borderId="7" xfId="0" applyNumberFormat="1" applyFont="1" applyFill="1" applyBorder="1" applyAlignment="1">
      <alignment horizontal="center" vertical="center" wrapText="1"/>
    </xf>
    <xf numFmtId="4" fontId="11" fillId="0" borderId="7" xfId="0" applyNumberFormat="1" applyFont="1" applyFill="1" applyBorder="1" applyAlignment="1">
      <alignment horizontal="center" vertical="center"/>
    </xf>
    <xf numFmtId="4" fontId="11" fillId="0" borderId="12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/>
    </xf>
    <xf numFmtId="4" fontId="17" fillId="0" borderId="7" xfId="0" applyNumberFormat="1" applyFont="1" applyFill="1" applyBorder="1" applyAlignment="1">
      <alignment horizontal="center" vertical="center" wrapText="1"/>
    </xf>
    <xf numFmtId="4" fontId="11" fillId="0" borderId="14" xfId="0" applyNumberFormat="1" applyFont="1" applyFill="1" applyBorder="1" applyAlignment="1">
      <alignment horizontal="center" vertical="center"/>
    </xf>
    <xf numFmtId="4" fontId="17" fillId="0" borderId="3" xfId="0" applyNumberFormat="1" applyFont="1" applyFill="1" applyBorder="1" applyAlignment="1">
      <alignment horizontal="center" vertical="center" wrapText="1"/>
    </xf>
    <xf numFmtId="4" fontId="11" fillId="0" borderId="15" xfId="0" applyNumberFormat="1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center" vertical="center"/>
    </xf>
    <xf numFmtId="4" fontId="11" fillId="0" borderId="10" xfId="0" applyNumberFormat="1" applyFont="1" applyFill="1" applyBorder="1" applyAlignment="1">
      <alignment horizontal="center" vertical="center" wrapText="1"/>
    </xf>
    <xf numFmtId="4" fontId="11" fillId="0" borderId="1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16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4" fontId="11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4" fontId="11" fillId="2" borderId="5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center" vertical="center"/>
    </xf>
    <xf numFmtId="4" fontId="11" fillId="2" borderId="10" xfId="0" applyNumberFormat="1" applyFont="1" applyFill="1" applyBorder="1" applyAlignment="1">
      <alignment horizontal="center" vertical="center" wrapText="1"/>
    </xf>
    <xf numFmtId="4" fontId="11" fillId="2" borderId="10" xfId="0" applyNumberFormat="1" applyFont="1" applyFill="1" applyBorder="1" applyAlignment="1">
      <alignment horizontal="center" vertical="center"/>
    </xf>
    <xf numFmtId="4" fontId="11" fillId="2" borderId="0" xfId="0" applyNumberFormat="1" applyFont="1" applyFill="1" applyBorder="1" applyAlignment="1">
      <alignment horizontal="center" vertical="center"/>
    </xf>
    <xf numFmtId="4" fontId="11" fillId="2" borderId="16" xfId="0" applyNumberFormat="1" applyFont="1" applyFill="1" applyBorder="1" applyAlignment="1">
      <alignment horizontal="center" vertical="center"/>
    </xf>
    <xf numFmtId="4" fontId="11" fillId="0" borderId="11" xfId="0" applyNumberFormat="1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4" fontId="11" fillId="0" borderId="6" xfId="0" applyNumberFormat="1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center" vertical="center" wrapText="1"/>
    </xf>
    <xf numFmtId="4" fontId="13" fillId="2" borderId="6" xfId="0" applyNumberFormat="1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4" fontId="19" fillId="2" borderId="3" xfId="0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4" fontId="19" fillId="2" borderId="0" xfId="0" applyNumberFormat="1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left" vertical="center" wrapText="1"/>
    </xf>
    <xf numFmtId="4" fontId="11" fillId="0" borderId="18" xfId="0" applyNumberFormat="1" applyFont="1" applyFill="1" applyBorder="1" applyAlignment="1">
      <alignment horizontal="center" vertical="center" wrapText="1"/>
    </xf>
    <xf numFmtId="4" fontId="11" fillId="0" borderId="18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left" vertical="center" wrapText="1"/>
    </xf>
    <xf numFmtId="0" fontId="11" fillId="2" borderId="17" xfId="0" applyFont="1" applyFill="1" applyBorder="1" applyAlignment="1">
      <alignment horizontal="center" vertical="center"/>
    </xf>
    <xf numFmtId="4" fontId="11" fillId="2" borderId="17" xfId="0" applyNumberFormat="1" applyFont="1" applyFill="1" applyBorder="1" applyAlignment="1">
      <alignment horizontal="center" vertical="center"/>
    </xf>
    <xf numFmtId="4" fontId="11" fillId="2" borderId="18" xfId="0" applyNumberFormat="1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4" fontId="11" fillId="2" borderId="7" xfId="0" applyNumberFormat="1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left" vertical="center" wrapText="1"/>
    </xf>
    <xf numFmtId="0" fontId="19" fillId="2" borderId="7" xfId="0" applyFont="1" applyFill="1" applyBorder="1" applyAlignment="1">
      <alignment horizontal="center" vertical="center"/>
    </xf>
    <xf numFmtId="4" fontId="19" fillId="2" borderId="7" xfId="0" applyNumberFormat="1" applyFont="1" applyFill="1" applyBorder="1" applyAlignment="1">
      <alignment horizontal="center" vertical="center" wrapText="1"/>
    </xf>
    <xf numFmtId="4" fontId="19" fillId="2" borderId="7" xfId="0" applyNumberFormat="1" applyFont="1" applyFill="1" applyBorder="1" applyAlignment="1">
      <alignment horizontal="center" vertical="center"/>
    </xf>
    <xf numFmtId="4" fontId="19" fillId="3" borderId="7" xfId="0" applyNumberFormat="1" applyFont="1" applyFill="1" applyBorder="1" applyAlignment="1">
      <alignment horizontal="center" vertical="center" wrapText="1"/>
    </xf>
    <xf numFmtId="4" fontId="20" fillId="2" borderId="7" xfId="0" applyNumberFormat="1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9" fillId="2" borderId="3" xfId="0" applyFont="1" applyFill="1" applyBorder="1" applyAlignment="1">
      <alignment horizontal="left" vertical="center" wrapText="1"/>
    </xf>
    <xf numFmtId="4" fontId="19" fillId="2" borderId="3" xfId="0" applyNumberFormat="1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4" fontId="11" fillId="2" borderId="7" xfId="0" applyNumberFormat="1" applyFont="1" applyFill="1" applyBorder="1" applyAlignment="1">
      <alignment horizontal="center" vertical="center" wrapText="1"/>
    </xf>
    <xf numFmtId="4" fontId="11" fillId="2" borderId="0" xfId="0" applyNumberFormat="1" applyFont="1" applyFill="1" applyBorder="1" applyAlignment="1">
      <alignment horizontal="center" vertical="center" wrapText="1"/>
    </xf>
    <xf numFmtId="4" fontId="11" fillId="2" borderId="14" xfId="0" applyNumberFormat="1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left" vertical="center" wrapText="1"/>
    </xf>
    <xf numFmtId="0" fontId="11" fillId="3" borderId="7" xfId="0" applyFont="1" applyFill="1" applyBorder="1" applyAlignment="1">
      <alignment horizontal="center" vertical="center"/>
    </xf>
    <xf numFmtId="4" fontId="11" fillId="3" borderId="7" xfId="0" applyNumberFormat="1" applyFont="1" applyFill="1" applyBorder="1" applyAlignment="1">
      <alignment horizontal="center" vertical="center"/>
    </xf>
    <xf numFmtId="4" fontId="11" fillId="3" borderId="7" xfId="0" applyNumberFormat="1" applyFont="1" applyFill="1" applyBorder="1" applyAlignment="1">
      <alignment horizontal="center" vertical="center" wrapText="1"/>
    </xf>
    <xf numFmtId="4" fontId="11" fillId="2" borderId="13" xfId="0" applyNumberFormat="1" applyFont="1" applyFill="1" applyBorder="1" applyAlignment="1">
      <alignment horizontal="center" vertical="center" wrapText="1"/>
    </xf>
    <xf numFmtId="4" fontId="19" fillId="3" borderId="3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12" fillId="2" borderId="3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4" fontId="11" fillId="3" borderId="3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4" fontId="17" fillId="2" borderId="7" xfId="0" applyNumberFormat="1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2" fontId="11" fillId="0" borderId="4" xfId="0" applyNumberFormat="1" applyFont="1" applyFill="1" applyBorder="1" applyAlignment="1">
      <alignment horizontal="center" vertical="center" wrapText="1"/>
    </xf>
    <xf numFmtId="14" fontId="11" fillId="2" borderId="7" xfId="0" applyNumberFormat="1" applyFont="1" applyFill="1" applyBorder="1" applyAlignment="1">
      <alignment horizontal="left" vertical="center" wrapText="1"/>
    </xf>
    <xf numFmtId="14" fontId="11" fillId="0" borderId="7" xfId="0" applyNumberFormat="1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4" fontId="17" fillId="2" borderId="3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4" fontId="11" fillId="0" borderId="4" xfId="0" applyNumberFormat="1" applyFont="1" applyFill="1" applyBorder="1" applyAlignment="1">
      <alignment horizontal="center" vertical="center"/>
    </xf>
    <xf numFmtId="2" fontId="11" fillId="0" borderId="3" xfId="0" applyNumberFormat="1" applyFont="1" applyFill="1" applyBorder="1" applyAlignment="1">
      <alignment horizontal="center" wrapText="1"/>
    </xf>
    <xf numFmtId="2" fontId="11" fillId="0" borderId="3" xfId="0" applyNumberFormat="1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left" vertical="center" wrapText="1"/>
    </xf>
    <xf numFmtId="2" fontId="14" fillId="0" borderId="3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vertical="center"/>
    </xf>
    <xf numFmtId="0" fontId="13" fillId="0" borderId="6" xfId="0" applyFont="1" applyFill="1" applyBorder="1" applyAlignment="1">
      <alignment horizontal="center" wrapText="1"/>
    </xf>
    <xf numFmtId="0" fontId="11" fillId="2" borderId="11" xfId="0" applyNumberFormat="1" applyFont="1" applyFill="1" applyBorder="1" applyAlignment="1" applyProtection="1">
      <alignment horizontal="left" vertical="center" wrapText="1"/>
    </xf>
    <xf numFmtId="0" fontId="11" fillId="2" borderId="11" xfId="0" applyNumberFormat="1" applyFont="1" applyFill="1" applyBorder="1" applyAlignment="1" applyProtection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/>
    </xf>
    <xf numFmtId="4" fontId="11" fillId="0" borderId="17" xfId="0" applyNumberFormat="1" applyFont="1" applyFill="1" applyBorder="1" applyAlignment="1">
      <alignment horizontal="center" vertical="center"/>
    </xf>
    <xf numFmtId="4" fontId="11" fillId="0" borderId="19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wrapText="1"/>
    </xf>
    <xf numFmtId="0" fontId="14" fillId="0" borderId="3" xfId="0" applyFont="1" applyBorder="1" applyAlignment="1">
      <alignment wrapText="1"/>
    </xf>
    <xf numFmtId="0" fontId="14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vertical="center" wrapText="1"/>
    </xf>
    <xf numFmtId="0" fontId="14" fillId="0" borderId="3" xfId="0" applyFont="1" applyBorder="1" applyAlignment="1">
      <alignment horizontal="left" vertical="center" wrapText="1"/>
    </xf>
    <xf numFmtId="0" fontId="11" fillId="4" borderId="3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left" vertical="center" wrapText="1"/>
    </xf>
    <xf numFmtId="4" fontId="11" fillId="4" borderId="3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left" vertical="center"/>
    </xf>
    <xf numFmtId="0" fontId="13" fillId="2" borderId="3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12" fillId="0" borderId="8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/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23"/>
  <sheetViews>
    <sheetView topLeftCell="A83" workbookViewId="0">
      <selection activeCell="A100" sqref="A100:XFD101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0.85546875" hidden="1" customWidth="1"/>
    <col min="6" max="6" width="16.5703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158</v>
      </c>
      <c r="I1" s="26"/>
      <c r="J1" s="1"/>
      <c r="K1" s="1"/>
      <c r="L1" s="1"/>
      <c r="M1" s="1"/>
    </row>
    <row r="2" spans="1:13" ht="15.75" customHeight="1">
      <c r="A2" s="28" t="s">
        <v>60</v>
      </c>
      <c r="J2" s="2"/>
      <c r="K2" s="2"/>
      <c r="L2" s="2"/>
      <c r="M2" s="2"/>
    </row>
    <row r="3" spans="1:13" ht="15.75" customHeight="1">
      <c r="A3" s="228" t="s">
        <v>132</v>
      </c>
      <c r="B3" s="228"/>
      <c r="C3" s="228"/>
      <c r="D3" s="228"/>
      <c r="E3" s="228"/>
      <c r="F3" s="228"/>
      <c r="G3" s="228"/>
      <c r="H3" s="228"/>
      <c r="I3" s="228"/>
      <c r="J3" s="3"/>
      <c r="K3" s="3"/>
      <c r="L3" s="3"/>
    </row>
    <row r="4" spans="1:13" ht="31.5" customHeight="1">
      <c r="A4" s="229" t="s">
        <v>120</v>
      </c>
      <c r="B4" s="229"/>
      <c r="C4" s="229"/>
      <c r="D4" s="229"/>
      <c r="E4" s="229"/>
      <c r="F4" s="229"/>
      <c r="G4" s="229"/>
      <c r="H4" s="229"/>
      <c r="I4" s="229"/>
    </row>
    <row r="5" spans="1:13" ht="15.75" customHeight="1">
      <c r="A5" s="228" t="s">
        <v>223</v>
      </c>
      <c r="B5" s="232"/>
      <c r="C5" s="232"/>
      <c r="D5" s="232"/>
      <c r="E5" s="232"/>
      <c r="F5" s="232"/>
      <c r="G5" s="232"/>
      <c r="H5" s="232"/>
      <c r="I5" s="232"/>
      <c r="J5" s="2"/>
      <c r="K5" s="2"/>
      <c r="L5" s="2"/>
      <c r="M5" s="2"/>
    </row>
    <row r="6" spans="1:13" ht="15.75" customHeight="1">
      <c r="A6" s="2"/>
      <c r="B6" s="56"/>
      <c r="C6" s="56"/>
      <c r="D6" s="56"/>
      <c r="E6" s="56"/>
      <c r="F6" s="65"/>
      <c r="G6" s="56"/>
      <c r="H6" s="65"/>
      <c r="I6" s="30">
        <v>44227</v>
      </c>
      <c r="J6" s="2"/>
      <c r="K6" s="2"/>
      <c r="L6" s="2"/>
      <c r="M6" s="2"/>
    </row>
    <row r="7" spans="1:13" ht="15.75" customHeight="1">
      <c r="B7" s="58"/>
      <c r="C7" s="58"/>
      <c r="D7" s="58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30" t="s">
        <v>224</v>
      </c>
      <c r="B8" s="230"/>
      <c r="C8" s="230"/>
      <c r="D8" s="230"/>
      <c r="E8" s="230"/>
      <c r="F8" s="230"/>
      <c r="G8" s="230"/>
      <c r="H8" s="230"/>
      <c r="I8" s="230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31" t="s">
        <v>133</v>
      </c>
      <c r="B10" s="231"/>
      <c r="C10" s="231"/>
      <c r="D10" s="231"/>
      <c r="E10" s="231"/>
      <c r="F10" s="231"/>
      <c r="G10" s="231"/>
      <c r="H10" s="231"/>
      <c r="I10" s="231"/>
      <c r="J10" s="2"/>
      <c r="K10" s="2"/>
      <c r="L10" s="2"/>
      <c r="M10" s="2"/>
    </row>
    <row r="11" spans="1:13" ht="15.75">
      <c r="A11" s="4"/>
    </row>
    <row r="12" spans="1:13" ht="89.25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33" t="s">
        <v>57</v>
      </c>
      <c r="B14" s="233"/>
      <c r="C14" s="233"/>
      <c r="D14" s="233"/>
      <c r="E14" s="233"/>
      <c r="F14" s="233"/>
      <c r="G14" s="233"/>
      <c r="H14" s="233"/>
      <c r="I14" s="233"/>
      <c r="J14" s="8"/>
      <c r="K14" s="8"/>
      <c r="L14" s="8"/>
      <c r="M14" s="8"/>
    </row>
    <row r="15" spans="1:13" ht="15.75" customHeight="1">
      <c r="A15" s="234" t="s">
        <v>4</v>
      </c>
      <c r="B15" s="234"/>
      <c r="C15" s="234"/>
      <c r="D15" s="234"/>
      <c r="E15" s="234"/>
      <c r="F15" s="234"/>
      <c r="G15" s="234"/>
      <c r="H15" s="234"/>
      <c r="I15" s="234"/>
      <c r="J15" s="8"/>
      <c r="K15" s="8"/>
      <c r="L15" s="8"/>
      <c r="M15" s="8"/>
    </row>
    <row r="16" spans="1:13" ht="15.75" customHeight="1">
      <c r="A16" s="29">
        <v>1</v>
      </c>
      <c r="B16" s="32" t="s">
        <v>81</v>
      </c>
      <c r="C16" s="133" t="s">
        <v>87</v>
      </c>
      <c r="D16" s="32" t="s">
        <v>178</v>
      </c>
      <c r="E16" s="146">
        <v>129.88</v>
      </c>
      <c r="F16" s="134">
        <f>SUM(E16*156/100)</f>
        <v>202.61279999999999</v>
      </c>
      <c r="G16" s="134">
        <v>239.2</v>
      </c>
      <c r="H16" s="83">
        <f t="shared" ref="H16:H27" si="0">SUM(F16*G16/1000)</f>
        <v>48.464981759999993</v>
      </c>
      <c r="I16" s="13">
        <f>F16/12*G16</f>
        <v>4038.7484799999997</v>
      </c>
      <c r="J16" s="8"/>
      <c r="K16" s="8"/>
      <c r="L16" s="8"/>
      <c r="M16" s="8"/>
    </row>
    <row r="17" spans="1:13" ht="15.75" customHeight="1">
      <c r="A17" s="29">
        <v>2</v>
      </c>
      <c r="B17" s="32" t="s">
        <v>83</v>
      </c>
      <c r="C17" s="133" t="s">
        <v>87</v>
      </c>
      <c r="D17" s="32" t="s">
        <v>179</v>
      </c>
      <c r="E17" s="146">
        <v>519.52</v>
      </c>
      <c r="F17" s="134">
        <f>SUM(E17*104/100)</f>
        <v>540.30079999999998</v>
      </c>
      <c r="G17" s="134">
        <v>239.2</v>
      </c>
      <c r="H17" s="83">
        <f t="shared" si="0"/>
        <v>129.23995135999999</v>
      </c>
      <c r="I17" s="13">
        <f>F17/12*G17</f>
        <v>10769.995946666666</v>
      </c>
      <c r="J17" s="22"/>
      <c r="K17" s="8"/>
      <c r="L17" s="8"/>
      <c r="M17" s="8"/>
    </row>
    <row r="18" spans="1:13" ht="15.75" customHeight="1">
      <c r="A18" s="29">
        <v>3</v>
      </c>
      <c r="B18" s="32" t="s">
        <v>84</v>
      </c>
      <c r="C18" s="133" t="s">
        <v>87</v>
      </c>
      <c r="D18" s="32" t="s">
        <v>187</v>
      </c>
      <c r="E18" s="146">
        <f>SUM(E16+E17)</f>
        <v>649.4</v>
      </c>
      <c r="F18" s="134">
        <f>SUM(E18*18/100)</f>
        <v>116.892</v>
      </c>
      <c r="G18" s="134">
        <v>688.14</v>
      </c>
      <c r="H18" s="83">
        <f t="shared" si="0"/>
        <v>80.438060879999995</v>
      </c>
      <c r="I18" s="13">
        <f>F18/18*G18*1</f>
        <v>4468.7811599999995</v>
      </c>
      <c r="J18" s="22"/>
      <c r="K18" s="8"/>
      <c r="L18" s="8"/>
      <c r="M18" s="8"/>
    </row>
    <row r="19" spans="1:13" ht="19.5" hidden="1" customHeight="1">
      <c r="A19" s="29"/>
      <c r="B19" s="32" t="s">
        <v>88</v>
      </c>
      <c r="C19" s="133" t="s">
        <v>89</v>
      </c>
      <c r="D19" s="32" t="s">
        <v>90</v>
      </c>
      <c r="E19" s="146">
        <v>124.8</v>
      </c>
      <c r="F19" s="134">
        <f>SUM(E19/10)</f>
        <v>12.48</v>
      </c>
      <c r="G19" s="134">
        <v>232.1</v>
      </c>
      <c r="H19" s="83">
        <f t="shared" si="0"/>
        <v>2.8966080000000001</v>
      </c>
      <c r="I19" s="13">
        <f>F19/2*G19</f>
        <v>1448.3040000000001</v>
      </c>
      <c r="J19" s="22"/>
      <c r="K19" s="8"/>
      <c r="L19" s="8"/>
      <c r="M19" s="8"/>
    </row>
    <row r="20" spans="1:13" ht="15.75" customHeight="1">
      <c r="A20" s="29">
        <v>4</v>
      </c>
      <c r="B20" s="32" t="s">
        <v>93</v>
      </c>
      <c r="C20" s="133" t="s">
        <v>87</v>
      </c>
      <c r="D20" s="32" t="s">
        <v>181</v>
      </c>
      <c r="E20" s="146">
        <v>57.5</v>
      </c>
      <c r="F20" s="134">
        <f>SUM(E20*12/100)</f>
        <v>6.9</v>
      </c>
      <c r="G20" s="134">
        <v>297.19</v>
      </c>
      <c r="H20" s="83">
        <f t="shared" si="0"/>
        <v>2.050611</v>
      </c>
      <c r="I20" s="13">
        <f>F20*G20/12</f>
        <v>170.88424999999998</v>
      </c>
      <c r="J20" s="22"/>
      <c r="K20" s="8"/>
      <c r="L20" s="8"/>
      <c r="M20" s="8"/>
    </row>
    <row r="21" spans="1:13" ht="17.25" customHeight="1">
      <c r="A21" s="29">
        <v>5</v>
      </c>
      <c r="B21" s="32" t="s">
        <v>94</v>
      </c>
      <c r="C21" s="133" t="s">
        <v>87</v>
      </c>
      <c r="D21" s="32" t="s">
        <v>181</v>
      </c>
      <c r="E21" s="146">
        <v>13.41</v>
      </c>
      <c r="F21" s="134">
        <f>SUM(E21*12/100)</f>
        <v>1.6092000000000002</v>
      </c>
      <c r="G21" s="134">
        <v>294.77999999999997</v>
      </c>
      <c r="H21" s="83">
        <f t="shared" si="0"/>
        <v>0.47435997600000002</v>
      </c>
      <c r="I21" s="13">
        <f>F21*G21/12</f>
        <v>39.529997999999999</v>
      </c>
      <c r="J21" s="22"/>
      <c r="K21" s="8"/>
      <c r="L21" s="8"/>
      <c r="M21" s="8"/>
    </row>
    <row r="22" spans="1:13" ht="26.25" hidden="1" customHeight="1">
      <c r="A22" s="29"/>
      <c r="B22" s="32" t="s">
        <v>95</v>
      </c>
      <c r="C22" s="133" t="s">
        <v>51</v>
      </c>
      <c r="D22" s="32" t="s">
        <v>90</v>
      </c>
      <c r="E22" s="146">
        <v>820.5</v>
      </c>
      <c r="F22" s="134">
        <f>SUM(E22/100)</f>
        <v>8.2050000000000001</v>
      </c>
      <c r="G22" s="134">
        <v>367.27</v>
      </c>
      <c r="H22" s="83">
        <f t="shared" si="0"/>
        <v>3.0134503500000003</v>
      </c>
      <c r="I22" s="13">
        <f t="shared" ref="I22:I26" si="1">F22*G22</f>
        <v>3013.4503500000001</v>
      </c>
      <c r="J22" s="22"/>
      <c r="K22" s="8"/>
      <c r="L22" s="8"/>
      <c r="M22" s="8"/>
    </row>
    <row r="23" spans="1:13" ht="29.25" hidden="1" customHeight="1">
      <c r="A23" s="29"/>
      <c r="B23" s="32" t="s">
        <v>96</v>
      </c>
      <c r="C23" s="133" t="s">
        <v>51</v>
      </c>
      <c r="D23" s="32" t="s">
        <v>90</v>
      </c>
      <c r="E23" s="153">
        <v>60.25</v>
      </c>
      <c r="F23" s="134">
        <f>SUM(E23/100)</f>
        <v>0.60250000000000004</v>
      </c>
      <c r="G23" s="134">
        <v>60.41</v>
      </c>
      <c r="H23" s="83">
        <f t="shared" si="0"/>
        <v>3.6397025E-2</v>
      </c>
      <c r="I23" s="13">
        <f t="shared" si="1"/>
        <v>36.397024999999999</v>
      </c>
      <c r="J23" s="22"/>
      <c r="K23" s="8"/>
      <c r="L23" s="8"/>
      <c r="M23" s="8"/>
    </row>
    <row r="24" spans="1:13" ht="24.75" hidden="1" customHeight="1">
      <c r="A24" s="29"/>
      <c r="B24" s="32" t="s">
        <v>91</v>
      </c>
      <c r="C24" s="133" t="s">
        <v>51</v>
      </c>
      <c r="D24" s="32" t="s">
        <v>92</v>
      </c>
      <c r="E24" s="146">
        <v>19.149999999999999</v>
      </c>
      <c r="F24" s="134">
        <f>E24/100</f>
        <v>0.19149999999999998</v>
      </c>
      <c r="G24" s="134">
        <v>531.55999999999995</v>
      </c>
      <c r="H24" s="83">
        <f t="shared" si="0"/>
        <v>0.10179373999999997</v>
      </c>
      <c r="I24" s="13">
        <f t="shared" si="1"/>
        <v>101.79373999999997</v>
      </c>
      <c r="J24" s="22"/>
      <c r="K24" s="8"/>
      <c r="L24" s="8"/>
      <c r="M24" s="8"/>
    </row>
    <row r="25" spans="1:13" ht="26.25" hidden="1" customHeight="1">
      <c r="A25" s="40">
        <v>6</v>
      </c>
      <c r="B25" s="32" t="s">
        <v>98</v>
      </c>
      <c r="C25" s="133" t="s">
        <v>51</v>
      </c>
      <c r="D25" s="32" t="s">
        <v>52</v>
      </c>
      <c r="E25" s="146">
        <v>31.5</v>
      </c>
      <c r="F25" s="134">
        <v>0.32</v>
      </c>
      <c r="G25" s="134">
        <v>294.77999999999997</v>
      </c>
      <c r="H25" s="83">
        <f t="shared" si="0"/>
        <v>9.43296E-2</v>
      </c>
      <c r="I25" s="13">
        <f t="shared" si="1"/>
        <v>94.329599999999999</v>
      </c>
      <c r="J25" s="22"/>
      <c r="K25" s="8"/>
      <c r="L25" s="8"/>
      <c r="M25" s="8"/>
    </row>
    <row r="26" spans="1:13" ht="26.25" hidden="1" customHeight="1">
      <c r="A26" s="40"/>
      <c r="B26" s="32" t="s">
        <v>97</v>
      </c>
      <c r="C26" s="133" t="s">
        <v>51</v>
      </c>
      <c r="D26" s="32" t="s">
        <v>90</v>
      </c>
      <c r="E26" s="146">
        <v>37.5</v>
      </c>
      <c r="F26" s="134">
        <f>SUM(E26/100)</f>
        <v>0.375</v>
      </c>
      <c r="G26" s="134">
        <v>710.37</v>
      </c>
      <c r="H26" s="83">
        <f t="shared" si="0"/>
        <v>0.26638875000000001</v>
      </c>
      <c r="I26" s="13">
        <f t="shared" si="1"/>
        <v>266.38875000000002</v>
      </c>
      <c r="J26" s="22"/>
      <c r="K26" s="8"/>
      <c r="L26" s="8"/>
      <c r="M26" s="8"/>
    </row>
    <row r="27" spans="1:13" ht="15.75" customHeight="1">
      <c r="A27" s="40">
        <v>6</v>
      </c>
      <c r="B27" s="32" t="s">
        <v>177</v>
      </c>
      <c r="C27" s="133" t="s">
        <v>26</v>
      </c>
      <c r="D27" s="32" t="s">
        <v>182</v>
      </c>
      <c r="E27" s="169">
        <v>4.88</v>
      </c>
      <c r="F27" s="134">
        <f>E27*258</f>
        <v>1259.04</v>
      </c>
      <c r="G27" s="134">
        <v>10.39</v>
      </c>
      <c r="H27" s="83">
        <f t="shared" si="0"/>
        <v>13.081425600000001</v>
      </c>
      <c r="I27" s="13">
        <f>F27/12*G27</f>
        <v>1090.1188</v>
      </c>
      <c r="J27" s="22"/>
      <c r="K27" s="8"/>
      <c r="L27" s="8"/>
      <c r="M27" s="8"/>
    </row>
    <row r="28" spans="1:13" ht="15.75" customHeight="1">
      <c r="A28" s="235" t="s">
        <v>80</v>
      </c>
      <c r="B28" s="236"/>
      <c r="C28" s="236"/>
      <c r="D28" s="236"/>
      <c r="E28" s="236"/>
      <c r="F28" s="236"/>
      <c r="G28" s="236"/>
      <c r="H28" s="236"/>
      <c r="I28" s="237"/>
      <c r="J28" s="22"/>
      <c r="K28" s="8"/>
      <c r="L28" s="8"/>
      <c r="M28" s="8"/>
    </row>
    <row r="29" spans="1:13" ht="15.75" hidden="1" customHeight="1">
      <c r="A29" s="40"/>
      <c r="B29" s="50" t="s">
        <v>29</v>
      </c>
      <c r="C29" s="50"/>
      <c r="D29" s="50"/>
      <c r="E29" s="50"/>
      <c r="F29" s="50"/>
      <c r="G29" s="50"/>
      <c r="H29" s="50"/>
      <c r="I29" s="18"/>
      <c r="J29" s="22"/>
      <c r="K29" s="8"/>
      <c r="L29" s="8"/>
      <c r="M29" s="8"/>
    </row>
    <row r="30" spans="1:13" ht="15.75" hidden="1" customHeight="1">
      <c r="A30" s="40">
        <v>2</v>
      </c>
      <c r="B30" s="79" t="s">
        <v>99</v>
      </c>
      <c r="C30" s="80" t="s">
        <v>100</v>
      </c>
      <c r="D30" s="79" t="s">
        <v>101</v>
      </c>
      <c r="E30" s="82">
        <v>1304.45</v>
      </c>
      <c r="F30" s="82">
        <f>SUM(E30*52/1000)</f>
        <v>67.831400000000002</v>
      </c>
      <c r="G30" s="82">
        <v>155.88999999999999</v>
      </c>
      <c r="H30" s="83">
        <f t="shared" ref="H30:H35" si="2">SUM(F30*G30/1000)</f>
        <v>10.574236945999999</v>
      </c>
      <c r="I30" s="13">
        <f>F30/6*G30</f>
        <v>1762.3728243333333</v>
      </c>
      <c r="J30" s="22"/>
      <c r="K30" s="8"/>
      <c r="L30" s="8"/>
      <c r="M30" s="8"/>
    </row>
    <row r="31" spans="1:13" ht="31.5" hidden="1" customHeight="1">
      <c r="A31" s="40">
        <v>3</v>
      </c>
      <c r="B31" s="79" t="s">
        <v>137</v>
      </c>
      <c r="C31" s="80" t="s">
        <v>100</v>
      </c>
      <c r="D31" s="79" t="s">
        <v>102</v>
      </c>
      <c r="E31" s="82">
        <v>287.83999999999997</v>
      </c>
      <c r="F31" s="82">
        <f>SUM(E31*78/1000)</f>
        <v>22.451519999999995</v>
      </c>
      <c r="G31" s="82">
        <v>258.63</v>
      </c>
      <c r="H31" s="83">
        <f t="shared" si="2"/>
        <v>5.8066366175999979</v>
      </c>
      <c r="I31" s="13">
        <f t="shared" ref="I31:I33" si="3">F31/6*G31</f>
        <v>967.77276959999972</v>
      </c>
      <c r="J31" s="22"/>
      <c r="K31" s="8"/>
      <c r="L31" s="8"/>
      <c r="M31" s="8"/>
    </row>
    <row r="32" spans="1:13" ht="15.75" hidden="1" customHeight="1">
      <c r="A32" s="40">
        <v>4</v>
      </c>
      <c r="B32" s="79" t="s">
        <v>28</v>
      </c>
      <c r="C32" s="80" t="s">
        <v>100</v>
      </c>
      <c r="D32" s="79" t="s">
        <v>52</v>
      </c>
      <c r="E32" s="82">
        <v>1304.45</v>
      </c>
      <c r="F32" s="82">
        <f>SUM(E32/1000)</f>
        <v>1.3044500000000001</v>
      </c>
      <c r="G32" s="82">
        <v>3020.33</v>
      </c>
      <c r="H32" s="83">
        <f t="shared" si="2"/>
        <v>3.9398694685</v>
      </c>
      <c r="I32" s="13">
        <f>F32*G32</f>
        <v>3939.8694685</v>
      </c>
      <c r="J32" s="22"/>
      <c r="K32" s="8"/>
      <c r="L32" s="8"/>
      <c r="M32" s="8"/>
    </row>
    <row r="33" spans="1:14" ht="15.75" hidden="1" customHeight="1">
      <c r="A33" s="40">
        <v>5</v>
      </c>
      <c r="B33" s="79" t="s">
        <v>103</v>
      </c>
      <c r="C33" s="80" t="s">
        <v>31</v>
      </c>
      <c r="D33" s="79" t="s">
        <v>61</v>
      </c>
      <c r="E33" s="86">
        <v>0.33333333333333331</v>
      </c>
      <c r="F33" s="82">
        <f>155/3</f>
        <v>51.666666666666664</v>
      </c>
      <c r="G33" s="82">
        <v>56.69</v>
      </c>
      <c r="H33" s="83">
        <f t="shared" si="2"/>
        <v>2.9289833333333331</v>
      </c>
      <c r="I33" s="13">
        <f t="shared" si="3"/>
        <v>488.16388888888883</v>
      </c>
      <c r="J33" s="23"/>
    </row>
    <row r="34" spans="1:14" ht="15.75" hidden="1" customHeight="1">
      <c r="A34" s="40">
        <v>4</v>
      </c>
      <c r="B34" s="79" t="s">
        <v>63</v>
      </c>
      <c r="C34" s="80" t="s">
        <v>33</v>
      </c>
      <c r="D34" s="79" t="s">
        <v>65</v>
      </c>
      <c r="E34" s="81"/>
      <c r="F34" s="82">
        <v>3</v>
      </c>
      <c r="G34" s="82">
        <v>191.32</v>
      </c>
      <c r="H34" s="83">
        <f t="shared" si="2"/>
        <v>0.57396000000000003</v>
      </c>
      <c r="I34" s="13">
        <v>0</v>
      </c>
      <c r="J34" s="23"/>
    </row>
    <row r="35" spans="1:14" ht="15.75" hidden="1" customHeight="1">
      <c r="A35" s="29">
        <v>8</v>
      </c>
      <c r="B35" s="79" t="s">
        <v>64</v>
      </c>
      <c r="C35" s="80" t="s">
        <v>32</v>
      </c>
      <c r="D35" s="79" t="s">
        <v>65</v>
      </c>
      <c r="E35" s="81"/>
      <c r="F35" s="82">
        <v>2</v>
      </c>
      <c r="G35" s="82">
        <v>1136.32</v>
      </c>
      <c r="H35" s="83">
        <f t="shared" si="2"/>
        <v>2.27264</v>
      </c>
      <c r="I35" s="13">
        <v>0</v>
      </c>
      <c r="J35" s="23"/>
    </row>
    <row r="36" spans="1:14" ht="15.75" customHeight="1">
      <c r="A36" s="40"/>
      <c r="B36" s="48" t="s">
        <v>5</v>
      </c>
      <c r="C36" s="48"/>
      <c r="D36" s="48"/>
      <c r="E36" s="13"/>
      <c r="F36" s="13"/>
      <c r="G36" s="14"/>
      <c r="H36" s="14"/>
      <c r="I36" s="18"/>
      <c r="J36" s="23"/>
    </row>
    <row r="37" spans="1:14" ht="15.75" customHeight="1">
      <c r="A37" s="33">
        <v>7</v>
      </c>
      <c r="B37" s="149" t="s">
        <v>27</v>
      </c>
      <c r="C37" s="133" t="s">
        <v>32</v>
      </c>
      <c r="D37" s="176" t="s">
        <v>225</v>
      </c>
      <c r="E37" s="146"/>
      <c r="F37" s="134">
        <v>8</v>
      </c>
      <c r="G37" s="134">
        <v>2083</v>
      </c>
      <c r="H37" s="83">
        <f t="shared" ref="H37:H44" si="4">SUM(F37*G37/1000)</f>
        <v>16.664000000000001</v>
      </c>
      <c r="I37" s="13">
        <f>G37*1</f>
        <v>2083</v>
      </c>
      <c r="J37" s="23"/>
    </row>
    <row r="38" spans="1:14" ht="15.75" customHeight="1">
      <c r="A38" s="33">
        <v>8</v>
      </c>
      <c r="B38" s="149" t="s">
        <v>121</v>
      </c>
      <c r="C38" s="150" t="s">
        <v>30</v>
      </c>
      <c r="D38" s="149" t="s">
        <v>183</v>
      </c>
      <c r="E38" s="151">
        <v>287.83999999999997</v>
      </c>
      <c r="F38" s="151">
        <f>SUM(E38*30/1000)</f>
        <v>8.6351999999999993</v>
      </c>
      <c r="G38" s="151">
        <v>2868.09</v>
      </c>
      <c r="H38" s="83">
        <f t="shared" si="4"/>
        <v>24.766530767999999</v>
      </c>
      <c r="I38" s="13">
        <f>F38/6*G38</f>
        <v>4127.7551279999998</v>
      </c>
      <c r="J38" s="23"/>
    </row>
    <row r="39" spans="1:14" ht="15.75" customHeight="1">
      <c r="A39" s="33">
        <v>9</v>
      </c>
      <c r="B39" s="149" t="s">
        <v>165</v>
      </c>
      <c r="C39" s="150" t="s">
        <v>30</v>
      </c>
      <c r="D39" s="32" t="s">
        <v>184</v>
      </c>
      <c r="E39" s="146">
        <v>287.83999999999997</v>
      </c>
      <c r="F39" s="151">
        <f>E39*155/1000</f>
        <v>44.615199999999994</v>
      </c>
      <c r="G39" s="134">
        <v>478.42</v>
      </c>
      <c r="H39" s="83">
        <f>G39*F39/1000</f>
        <v>21.344803983999999</v>
      </c>
      <c r="I39" s="13">
        <f>F39/6*G39</f>
        <v>3557.4673306666664</v>
      </c>
      <c r="J39" s="23"/>
    </row>
    <row r="40" spans="1:14" ht="15.75" hidden="1" customHeight="1">
      <c r="A40" s="33">
        <v>7</v>
      </c>
      <c r="B40" s="149" t="s">
        <v>165</v>
      </c>
      <c r="C40" s="150" t="s">
        <v>30</v>
      </c>
      <c r="D40" s="32" t="s">
        <v>105</v>
      </c>
      <c r="E40" s="146">
        <v>287.83999999999997</v>
      </c>
      <c r="F40" s="151">
        <f>E40*155/1000</f>
        <v>44.615199999999994</v>
      </c>
      <c r="G40" s="134">
        <v>478.42</v>
      </c>
      <c r="H40" s="83">
        <f>G40*F40/1000</f>
        <v>21.344803983999999</v>
      </c>
      <c r="I40" s="13">
        <v>0</v>
      </c>
      <c r="J40" s="23"/>
    </row>
    <row r="41" spans="1:14" ht="33.75" customHeight="1">
      <c r="A41" s="33">
        <v>10</v>
      </c>
      <c r="B41" s="32" t="s">
        <v>78</v>
      </c>
      <c r="C41" s="133" t="s">
        <v>100</v>
      </c>
      <c r="D41" s="32" t="s">
        <v>183</v>
      </c>
      <c r="E41" s="134">
        <v>130.6</v>
      </c>
      <c r="F41" s="151">
        <f>SUM(E41*35/1000)</f>
        <v>4.5709999999999997</v>
      </c>
      <c r="G41" s="134">
        <v>7915.6</v>
      </c>
      <c r="H41" s="83">
        <f t="shared" si="4"/>
        <v>36.182207599999998</v>
      </c>
      <c r="I41" s="13">
        <f>F41/6*G41</f>
        <v>6030.367933333333</v>
      </c>
      <c r="J41" s="23"/>
    </row>
    <row r="42" spans="1:14" ht="17.25" hidden="1" customHeight="1">
      <c r="A42" s="33">
        <v>11</v>
      </c>
      <c r="B42" s="32" t="s">
        <v>106</v>
      </c>
      <c r="C42" s="133" t="s">
        <v>100</v>
      </c>
      <c r="D42" s="32" t="s">
        <v>185</v>
      </c>
      <c r="E42" s="134">
        <v>287.83999999999997</v>
      </c>
      <c r="F42" s="151">
        <f>SUM(E42*45/1000)</f>
        <v>12.9528</v>
      </c>
      <c r="G42" s="134">
        <v>584.74</v>
      </c>
      <c r="H42" s="83">
        <f t="shared" si="4"/>
        <v>7.5740202719999994</v>
      </c>
      <c r="I42" s="13">
        <f>F42/7.5*G42</f>
        <v>1009.8693695999999</v>
      </c>
      <c r="J42" s="23"/>
      <c r="L42" s="19"/>
      <c r="M42" s="20"/>
      <c r="N42" s="21"/>
    </row>
    <row r="43" spans="1:14" ht="15.75" hidden="1" customHeight="1">
      <c r="A43" s="33">
        <v>12</v>
      </c>
      <c r="B43" s="149" t="s">
        <v>68</v>
      </c>
      <c r="C43" s="150" t="s">
        <v>33</v>
      </c>
      <c r="D43" s="149"/>
      <c r="E43" s="152"/>
      <c r="F43" s="151">
        <v>0.9</v>
      </c>
      <c r="G43" s="151">
        <v>800</v>
      </c>
      <c r="H43" s="83">
        <f t="shared" si="4"/>
        <v>0.72</v>
      </c>
      <c r="I43" s="13">
        <f>F43/7.5*G43</f>
        <v>96.000000000000014</v>
      </c>
      <c r="J43" s="23"/>
      <c r="L43" s="19"/>
      <c r="M43" s="20"/>
      <c r="N43" s="21"/>
    </row>
    <row r="44" spans="1:14" ht="30.75" customHeight="1">
      <c r="A44" s="141">
        <v>11</v>
      </c>
      <c r="B44" s="149" t="s">
        <v>166</v>
      </c>
      <c r="C44" s="150" t="s">
        <v>100</v>
      </c>
      <c r="D44" s="149" t="s">
        <v>186</v>
      </c>
      <c r="E44" s="152">
        <v>0.6</v>
      </c>
      <c r="F44" s="151">
        <v>0.01</v>
      </c>
      <c r="G44" s="151">
        <v>18798.34</v>
      </c>
      <c r="H44" s="95">
        <f t="shared" si="4"/>
        <v>0.18798340000000002</v>
      </c>
      <c r="I44" s="114">
        <f>F44/6*G44</f>
        <v>31.33056666666667</v>
      </c>
      <c r="J44" s="23"/>
      <c r="L44" s="19"/>
      <c r="M44" s="20"/>
      <c r="N44" s="21"/>
    </row>
    <row r="45" spans="1:14" ht="15.75" customHeight="1">
      <c r="A45" s="238" t="s">
        <v>134</v>
      </c>
      <c r="B45" s="239"/>
      <c r="C45" s="239"/>
      <c r="D45" s="239"/>
      <c r="E45" s="239"/>
      <c r="F45" s="239"/>
      <c r="G45" s="239"/>
      <c r="H45" s="239"/>
      <c r="I45" s="240"/>
      <c r="J45" s="23"/>
      <c r="L45" s="19"/>
      <c r="M45" s="20"/>
      <c r="N45" s="21"/>
    </row>
    <row r="46" spans="1:14" ht="15.75" hidden="1" customHeight="1">
      <c r="A46" s="40">
        <v>15</v>
      </c>
      <c r="B46" s="79" t="s">
        <v>126</v>
      </c>
      <c r="C46" s="80" t="s">
        <v>100</v>
      </c>
      <c r="D46" s="79" t="s">
        <v>41</v>
      </c>
      <c r="E46" s="81">
        <v>1369</v>
      </c>
      <c r="F46" s="82">
        <f>SUM(E46*2/1000)</f>
        <v>2.738</v>
      </c>
      <c r="G46" s="13">
        <v>849.49</v>
      </c>
      <c r="H46" s="83">
        <f t="shared" ref="H46:H54" si="5">SUM(F46*G46/1000)</f>
        <v>2.3259036200000001</v>
      </c>
      <c r="I46" s="13">
        <v>0</v>
      </c>
      <c r="J46" s="23"/>
      <c r="L46" s="19"/>
      <c r="M46" s="20"/>
      <c r="N46" s="21"/>
    </row>
    <row r="47" spans="1:14" ht="15.75" hidden="1" customHeight="1">
      <c r="A47" s="40"/>
      <c r="B47" s="79" t="s">
        <v>34</v>
      </c>
      <c r="C47" s="80" t="s">
        <v>100</v>
      </c>
      <c r="D47" s="79" t="s">
        <v>41</v>
      </c>
      <c r="E47" s="81">
        <v>1418</v>
      </c>
      <c r="F47" s="82">
        <f>SUM(E47*2/1000)</f>
        <v>2.8359999999999999</v>
      </c>
      <c r="G47" s="13">
        <v>579.48</v>
      </c>
      <c r="H47" s="83">
        <f t="shared" si="5"/>
        <v>1.6434052799999999</v>
      </c>
      <c r="I47" s="13">
        <v>0</v>
      </c>
      <c r="J47" s="23"/>
      <c r="L47" s="19"/>
      <c r="M47" s="20"/>
      <c r="N47" s="21"/>
    </row>
    <row r="48" spans="1:14" ht="15.75" hidden="1" customHeight="1">
      <c r="A48" s="40">
        <v>16</v>
      </c>
      <c r="B48" s="79" t="s">
        <v>35</v>
      </c>
      <c r="C48" s="80" t="s">
        <v>100</v>
      </c>
      <c r="D48" s="79" t="s">
        <v>41</v>
      </c>
      <c r="E48" s="81">
        <v>4985.21</v>
      </c>
      <c r="F48" s="82">
        <f>SUM(E48*2/1000)</f>
        <v>9.9704200000000007</v>
      </c>
      <c r="G48" s="13">
        <v>579.48</v>
      </c>
      <c r="H48" s="83">
        <f t="shared" si="5"/>
        <v>5.7776589816000001</v>
      </c>
      <c r="I48" s="13">
        <v>0</v>
      </c>
      <c r="J48" s="23"/>
      <c r="L48" s="19"/>
      <c r="M48" s="20"/>
      <c r="N48" s="21"/>
    </row>
    <row r="49" spans="1:14" ht="15.75" hidden="1" customHeight="1">
      <c r="A49" s="40">
        <v>17</v>
      </c>
      <c r="B49" s="79" t="s">
        <v>36</v>
      </c>
      <c r="C49" s="80" t="s">
        <v>100</v>
      </c>
      <c r="D49" s="79" t="s">
        <v>41</v>
      </c>
      <c r="E49" s="81">
        <v>2474</v>
      </c>
      <c r="F49" s="82">
        <f>SUM(E49*2/1000)</f>
        <v>4.9480000000000004</v>
      </c>
      <c r="G49" s="13">
        <v>606.77</v>
      </c>
      <c r="H49" s="83">
        <f t="shared" si="5"/>
        <v>3.0022979600000004</v>
      </c>
      <c r="I49" s="13">
        <v>0</v>
      </c>
      <c r="J49" s="23"/>
      <c r="L49" s="19"/>
      <c r="M49" s="20"/>
      <c r="N49" s="21"/>
    </row>
    <row r="50" spans="1:14" ht="15.75" customHeight="1">
      <c r="A50" s="40">
        <v>12</v>
      </c>
      <c r="B50" s="32" t="s">
        <v>54</v>
      </c>
      <c r="C50" s="133" t="s">
        <v>100</v>
      </c>
      <c r="D50" s="32" t="s">
        <v>181</v>
      </c>
      <c r="E50" s="146">
        <v>5162.6000000000004</v>
      </c>
      <c r="F50" s="134">
        <f>SUM(E50*5/1000)</f>
        <v>25.812999999999999</v>
      </c>
      <c r="G50" s="36">
        <v>1655.27</v>
      </c>
      <c r="H50" s="83">
        <f t="shared" si="5"/>
        <v>42.727484509999996</v>
      </c>
      <c r="I50" s="13">
        <f>F50/5*G50</f>
        <v>8545.496901999999</v>
      </c>
      <c r="J50" s="23"/>
      <c r="L50" s="19"/>
      <c r="M50" s="20"/>
      <c r="N50" s="21"/>
    </row>
    <row r="51" spans="1:14" ht="30.75" hidden="1" customHeight="1">
      <c r="A51" s="40">
        <v>13</v>
      </c>
      <c r="B51" s="79" t="s">
        <v>107</v>
      </c>
      <c r="C51" s="80" t="s">
        <v>100</v>
      </c>
      <c r="D51" s="79" t="s">
        <v>41</v>
      </c>
      <c r="E51" s="81">
        <v>1349.3</v>
      </c>
      <c r="F51" s="82">
        <f>SUM(E51*2/1000)</f>
        <v>2.6985999999999999</v>
      </c>
      <c r="G51" s="13">
        <v>1213.55</v>
      </c>
      <c r="H51" s="83">
        <f t="shared" si="5"/>
        <v>3.2748860299999998</v>
      </c>
      <c r="I51" s="13">
        <v>0</v>
      </c>
      <c r="J51" s="23"/>
      <c r="L51" s="19"/>
      <c r="M51" s="20"/>
      <c r="N51" s="21"/>
    </row>
    <row r="52" spans="1:14" ht="30.75" hidden="1" customHeight="1">
      <c r="A52" s="40">
        <v>14</v>
      </c>
      <c r="B52" s="79" t="s">
        <v>108</v>
      </c>
      <c r="C52" s="80" t="s">
        <v>37</v>
      </c>
      <c r="D52" s="79" t="s">
        <v>41</v>
      </c>
      <c r="E52" s="81">
        <v>40</v>
      </c>
      <c r="F52" s="82">
        <f>SUM(E52*2/100)</f>
        <v>0.8</v>
      </c>
      <c r="G52" s="13">
        <v>2730.49</v>
      </c>
      <c r="H52" s="83">
        <f t="shared" si="5"/>
        <v>2.1843919999999999</v>
      </c>
      <c r="I52" s="13">
        <v>0</v>
      </c>
      <c r="J52" s="23"/>
      <c r="L52" s="19"/>
      <c r="M52" s="20"/>
      <c r="N52" s="21"/>
    </row>
    <row r="53" spans="1:14" ht="15.75" hidden="1" customHeight="1">
      <c r="A53" s="40">
        <v>15</v>
      </c>
      <c r="B53" s="79" t="s">
        <v>38</v>
      </c>
      <c r="C53" s="80" t="s">
        <v>39</v>
      </c>
      <c r="D53" s="79" t="s">
        <v>41</v>
      </c>
      <c r="E53" s="81">
        <v>1</v>
      </c>
      <c r="F53" s="82">
        <v>0.02</v>
      </c>
      <c r="G53" s="13">
        <v>5652.13</v>
      </c>
      <c r="H53" s="83">
        <f t="shared" si="5"/>
        <v>0.11304260000000001</v>
      </c>
      <c r="I53" s="13">
        <v>0</v>
      </c>
      <c r="J53" s="23"/>
      <c r="L53" s="19"/>
      <c r="M53" s="20"/>
      <c r="N53" s="21"/>
    </row>
    <row r="54" spans="1:14" ht="15.75" hidden="1" customHeight="1">
      <c r="A54" s="40">
        <v>14</v>
      </c>
      <c r="B54" s="79" t="s">
        <v>40</v>
      </c>
      <c r="C54" s="80" t="s">
        <v>109</v>
      </c>
      <c r="D54" s="79" t="s">
        <v>69</v>
      </c>
      <c r="E54" s="81">
        <v>238</v>
      </c>
      <c r="F54" s="82">
        <f>SUM(E54)*3</f>
        <v>714</v>
      </c>
      <c r="G54" s="154">
        <v>89.59</v>
      </c>
      <c r="H54" s="83">
        <f t="shared" si="5"/>
        <v>63.967260000000003</v>
      </c>
      <c r="I54" s="13">
        <f>E54*G54</f>
        <v>21322.420000000002</v>
      </c>
      <c r="J54" s="23"/>
      <c r="L54" s="19"/>
      <c r="M54" s="20"/>
      <c r="N54" s="21"/>
    </row>
    <row r="55" spans="1:14" ht="15.75" customHeight="1">
      <c r="A55" s="238" t="s">
        <v>135</v>
      </c>
      <c r="B55" s="239"/>
      <c r="C55" s="239"/>
      <c r="D55" s="239"/>
      <c r="E55" s="239"/>
      <c r="F55" s="239"/>
      <c r="G55" s="239"/>
      <c r="H55" s="239"/>
      <c r="I55" s="240"/>
      <c r="J55" s="23"/>
      <c r="L55" s="19"/>
      <c r="M55" s="20"/>
      <c r="N55" s="21"/>
    </row>
    <row r="56" spans="1:14" ht="15.75" customHeight="1">
      <c r="A56" s="52"/>
      <c r="B56" s="47" t="s">
        <v>42</v>
      </c>
      <c r="C56" s="16"/>
      <c r="D56" s="15"/>
      <c r="E56" s="15"/>
      <c r="F56" s="15"/>
      <c r="G56" s="29"/>
      <c r="H56" s="29"/>
      <c r="I56" s="18"/>
      <c r="J56" s="23"/>
      <c r="L56" s="19"/>
      <c r="M56" s="20"/>
      <c r="N56" s="21"/>
    </row>
    <row r="57" spans="1:14" ht="29.25" customHeight="1">
      <c r="A57" s="40">
        <v>13</v>
      </c>
      <c r="B57" s="32" t="s">
        <v>110</v>
      </c>
      <c r="C57" s="133" t="s">
        <v>87</v>
      </c>
      <c r="D57" s="32"/>
      <c r="E57" s="146">
        <v>128.5</v>
      </c>
      <c r="F57" s="134">
        <f>SUM(E57*6/100)</f>
        <v>7.71</v>
      </c>
      <c r="G57" s="36">
        <v>2110.4699999999998</v>
      </c>
      <c r="H57" s="83">
        <f>SUM(F57*G57/1000)</f>
        <v>16.271723699999999</v>
      </c>
      <c r="I57" s="13">
        <f>G57*0.24</f>
        <v>506.51279999999991</v>
      </c>
      <c r="J57" s="23"/>
      <c r="L57" s="19"/>
      <c r="M57" s="20"/>
      <c r="N57" s="21"/>
    </row>
    <row r="58" spans="1:14" ht="15.75" hidden="1" customHeight="1">
      <c r="A58" s="40">
        <v>14</v>
      </c>
      <c r="B58" s="32" t="s">
        <v>167</v>
      </c>
      <c r="C58" s="133" t="s">
        <v>87</v>
      </c>
      <c r="D58" s="32"/>
      <c r="E58" s="147">
        <v>69.5</v>
      </c>
      <c r="F58" s="148">
        <f>E58*6/100</f>
        <v>4.17</v>
      </c>
      <c r="G58" s="134">
        <v>2110.4699999999998</v>
      </c>
      <c r="H58" s="83">
        <f>F58*G58/1000</f>
        <v>8.8006598999999994</v>
      </c>
      <c r="I58" s="13">
        <f>F58/6*G58</f>
        <v>1466.7766499999998</v>
      </c>
      <c r="J58" s="23"/>
      <c r="L58" s="19"/>
      <c r="M58" s="20"/>
      <c r="N58" s="21"/>
    </row>
    <row r="59" spans="1:14" ht="15.75" hidden="1" customHeight="1">
      <c r="A59" s="40"/>
      <c r="B59" s="79" t="s">
        <v>128</v>
      </c>
      <c r="C59" s="80" t="s">
        <v>129</v>
      </c>
      <c r="D59" s="79" t="s">
        <v>41</v>
      </c>
      <c r="E59" s="88">
        <v>8</v>
      </c>
      <c r="F59" s="13">
        <v>16</v>
      </c>
      <c r="G59" s="82">
        <v>180.78</v>
      </c>
      <c r="H59" s="83">
        <f>SUM(F59*G59/1000)</f>
        <v>2.8924799999999999</v>
      </c>
      <c r="I59" s="13">
        <v>0</v>
      </c>
      <c r="J59" s="23"/>
      <c r="L59" s="19"/>
      <c r="M59" s="20"/>
      <c r="N59" s="21"/>
    </row>
    <row r="60" spans="1:14" ht="15.75" customHeight="1">
      <c r="A60" s="40">
        <v>14</v>
      </c>
      <c r="B60" s="32" t="s">
        <v>160</v>
      </c>
      <c r="C60" s="133" t="s">
        <v>161</v>
      </c>
      <c r="D60" s="32" t="s">
        <v>230</v>
      </c>
      <c r="E60" s="180"/>
      <c r="F60" s="36">
        <v>8</v>
      </c>
      <c r="G60" s="151">
        <v>1645</v>
      </c>
      <c r="H60" s="94"/>
      <c r="I60" s="13">
        <f>G60*1</f>
        <v>1645</v>
      </c>
      <c r="J60" s="23"/>
      <c r="L60" s="19"/>
      <c r="M60" s="20"/>
      <c r="N60" s="21"/>
    </row>
    <row r="61" spans="1:14" ht="15.75" customHeight="1">
      <c r="A61" s="40"/>
      <c r="B61" s="61" t="s">
        <v>43</v>
      </c>
      <c r="C61" s="61"/>
      <c r="D61" s="61"/>
      <c r="E61" s="61"/>
      <c r="F61" s="67"/>
      <c r="G61" s="61"/>
      <c r="H61" s="67"/>
      <c r="I61" s="35"/>
      <c r="J61" s="23"/>
      <c r="L61" s="19"/>
      <c r="M61" s="20"/>
      <c r="N61" s="21"/>
    </row>
    <row r="62" spans="1:14" ht="15.75" hidden="1" customHeight="1">
      <c r="A62" s="40">
        <v>27</v>
      </c>
      <c r="B62" s="79" t="s">
        <v>139</v>
      </c>
      <c r="C62" s="80"/>
      <c r="D62" s="79" t="s">
        <v>52</v>
      </c>
      <c r="E62" s="81">
        <v>1349.3</v>
      </c>
      <c r="F62" s="83">
        <v>13.493</v>
      </c>
      <c r="G62" s="13">
        <v>793.61</v>
      </c>
      <c r="H62" s="89">
        <f>F62*G62/1000</f>
        <v>10.708179729999999</v>
      </c>
      <c r="I62" s="13">
        <v>0</v>
      </c>
      <c r="J62" s="23"/>
      <c r="L62" s="19"/>
      <c r="M62" s="20"/>
      <c r="N62" s="21"/>
    </row>
    <row r="63" spans="1:14" ht="15.75" customHeight="1">
      <c r="A63" s="40">
        <v>15</v>
      </c>
      <c r="B63" s="108" t="s">
        <v>86</v>
      </c>
      <c r="C63" s="109" t="s">
        <v>26</v>
      </c>
      <c r="D63" s="108"/>
      <c r="E63" s="110">
        <v>200</v>
      </c>
      <c r="F63" s="111">
        <f>E63*12</f>
        <v>2400</v>
      </c>
      <c r="G63" s="112">
        <v>1.4</v>
      </c>
      <c r="H63" s="113">
        <f>F63*G63</f>
        <v>3360</v>
      </c>
      <c r="I63" s="13">
        <f>F63/12*G63</f>
        <v>280</v>
      </c>
      <c r="J63" s="23"/>
      <c r="L63" s="19"/>
      <c r="M63" s="20"/>
      <c r="N63" s="21"/>
    </row>
    <row r="64" spans="1:14" ht="15.75" hidden="1" customHeight="1">
      <c r="A64" s="40"/>
      <c r="B64" s="61" t="s">
        <v>44</v>
      </c>
      <c r="C64" s="16"/>
      <c r="D64" s="37"/>
      <c r="E64" s="15"/>
      <c r="F64" s="15"/>
      <c r="G64" s="29"/>
      <c r="H64" s="29"/>
      <c r="I64" s="18"/>
      <c r="J64" s="23"/>
      <c r="L64" s="19"/>
    </row>
    <row r="65" spans="1:22" ht="15.75" hidden="1" customHeight="1">
      <c r="A65" s="40">
        <v>18</v>
      </c>
      <c r="B65" s="145" t="s">
        <v>45</v>
      </c>
      <c r="C65" s="38" t="s">
        <v>109</v>
      </c>
      <c r="D65" s="37"/>
      <c r="E65" s="17">
        <v>40</v>
      </c>
      <c r="F65" s="134">
        <f>E65</f>
        <v>40</v>
      </c>
      <c r="G65" s="36">
        <v>303.35000000000002</v>
      </c>
      <c r="H65" s="97">
        <f t="shared" ref="H65:H72" si="6">SUM(F65*G65/1000)</f>
        <v>12.134</v>
      </c>
      <c r="I65" s="13">
        <f>G65*1</f>
        <v>303.35000000000002</v>
      </c>
    </row>
    <row r="66" spans="1:22" ht="15.75" hidden="1" customHeight="1">
      <c r="A66" s="29">
        <v>29</v>
      </c>
      <c r="B66" s="96" t="s">
        <v>46</v>
      </c>
      <c r="C66" s="16" t="s">
        <v>109</v>
      </c>
      <c r="D66" s="96" t="s">
        <v>65</v>
      </c>
      <c r="E66" s="18">
        <v>20</v>
      </c>
      <c r="F66" s="82">
        <v>20</v>
      </c>
      <c r="G66" s="13">
        <v>76.25</v>
      </c>
      <c r="H66" s="97">
        <f t="shared" si="6"/>
        <v>1.5249999999999999</v>
      </c>
      <c r="I66" s="13">
        <v>0</v>
      </c>
    </row>
    <row r="67" spans="1:22" ht="15.75" hidden="1" customHeight="1">
      <c r="A67" s="29">
        <v>8</v>
      </c>
      <c r="B67" s="96" t="s">
        <v>47</v>
      </c>
      <c r="C67" s="16" t="s">
        <v>112</v>
      </c>
      <c r="D67" s="96" t="s">
        <v>52</v>
      </c>
      <c r="E67" s="81">
        <v>18890</v>
      </c>
      <c r="F67" s="13">
        <f>SUM(E67/100)</f>
        <v>188.9</v>
      </c>
      <c r="G67" s="13">
        <v>212.15</v>
      </c>
      <c r="H67" s="97">
        <f t="shared" si="6"/>
        <v>40.075135000000003</v>
      </c>
      <c r="I67" s="13">
        <v>0</v>
      </c>
    </row>
    <row r="68" spans="1:22" ht="15.75" hidden="1" customHeight="1">
      <c r="A68" s="29">
        <v>9</v>
      </c>
      <c r="B68" s="96" t="s">
        <v>48</v>
      </c>
      <c r="C68" s="16" t="s">
        <v>113</v>
      </c>
      <c r="D68" s="96"/>
      <c r="E68" s="81">
        <v>18890</v>
      </c>
      <c r="F68" s="13">
        <f>SUM(E68/1000)</f>
        <v>18.89</v>
      </c>
      <c r="G68" s="13">
        <v>165.21</v>
      </c>
      <c r="H68" s="97">
        <f t="shared" si="6"/>
        <v>3.1208169000000003</v>
      </c>
      <c r="I68" s="13">
        <v>0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9"/>
    </row>
    <row r="69" spans="1:22" ht="15.75" hidden="1" customHeight="1">
      <c r="A69" s="29">
        <v>10</v>
      </c>
      <c r="B69" s="96" t="s">
        <v>49</v>
      </c>
      <c r="C69" s="16" t="s">
        <v>75</v>
      </c>
      <c r="D69" s="96" t="s">
        <v>52</v>
      </c>
      <c r="E69" s="81">
        <v>3004</v>
      </c>
      <c r="F69" s="13">
        <f>SUM(E69/100)</f>
        <v>30.04</v>
      </c>
      <c r="G69" s="13">
        <v>2074.63</v>
      </c>
      <c r="H69" s="97">
        <f t="shared" si="6"/>
        <v>62.321885200000004</v>
      </c>
      <c r="I69" s="13">
        <v>0</v>
      </c>
      <c r="J69" s="25"/>
      <c r="K69" s="25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2" ht="15.75" hidden="1" customHeight="1">
      <c r="A70" s="29">
        <v>11</v>
      </c>
      <c r="B70" s="98" t="s">
        <v>114</v>
      </c>
      <c r="C70" s="16" t="s">
        <v>33</v>
      </c>
      <c r="D70" s="96"/>
      <c r="E70" s="81">
        <v>15.8</v>
      </c>
      <c r="F70" s="13">
        <f>SUM(E70)</f>
        <v>15.8</v>
      </c>
      <c r="G70" s="13">
        <v>42.67</v>
      </c>
      <c r="H70" s="97">
        <f t="shared" si="6"/>
        <v>0.67418600000000006</v>
      </c>
      <c r="I70" s="13">
        <v>0</v>
      </c>
      <c r="J70" s="3"/>
      <c r="K70" s="3"/>
      <c r="L70" s="3"/>
      <c r="M70" s="3"/>
      <c r="N70" s="3"/>
      <c r="O70" s="3"/>
      <c r="P70" s="3"/>
      <c r="Q70" s="3"/>
      <c r="S70" s="3"/>
      <c r="T70" s="3"/>
      <c r="U70" s="3"/>
    </row>
    <row r="71" spans="1:22" ht="15.75" hidden="1" customHeight="1">
      <c r="A71" s="29">
        <v>12</v>
      </c>
      <c r="B71" s="98" t="s">
        <v>115</v>
      </c>
      <c r="C71" s="16" t="s">
        <v>33</v>
      </c>
      <c r="D71" s="96"/>
      <c r="E71" s="81">
        <v>15.8</v>
      </c>
      <c r="F71" s="13">
        <f>SUM(E71)</f>
        <v>15.8</v>
      </c>
      <c r="G71" s="13">
        <v>39.81</v>
      </c>
      <c r="H71" s="97">
        <f t="shared" si="6"/>
        <v>0.62899800000000006</v>
      </c>
      <c r="I71" s="13">
        <v>0</v>
      </c>
      <c r="J71" s="5"/>
      <c r="K71" s="5"/>
      <c r="L71" s="5"/>
      <c r="M71" s="5"/>
      <c r="N71" s="5"/>
      <c r="O71" s="5"/>
      <c r="P71" s="5"/>
      <c r="Q71" s="5"/>
      <c r="R71" s="213"/>
      <c r="S71" s="213"/>
      <c r="T71" s="213"/>
      <c r="U71" s="213"/>
    </row>
    <row r="72" spans="1:22" ht="20.25" hidden="1" customHeight="1">
      <c r="A72" s="29">
        <v>13</v>
      </c>
      <c r="B72" s="96" t="s">
        <v>55</v>
      </c>
      <c r="C72" s="16" t="s">
        <v>56</v>
      </c>
      <c r="D72" s="96" t="s">
        <v>52</v>
      </c>
      <c r="E72" s="18">
        <v>15</v>
      </c>
      <c r="F72" s="82">
        <v>15</v>
      </c>
      <c r="G72" s="13">
        <v>49.88</v>
      </c>
      <c r="H72" s="97">
        <f t="shared" si="6"/>
        <v>0.74820000000000009</v>
      </c>
      <c r="I72" s="13">
        <v>0</v>
      </c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1:22" ht="20.25" customHeight="1">
      <c r="A73" s="29"/>
      <c r="B73" s="156" t="s">
        <v>168</v>
      </c>
      <c r="C73" s="38"/>
      <c r="D73" s="37"/>
      <c r="E73" s="17"/>
      <c r="F73" s="112"/>
      <c r="G73" s="36"/>
      <c r="H73" s="97"/>
      <c r="I73" s="13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</row>
    <row r="74" spans="1:22" ht="27.75" customHeight="1">
      <c r="A74" s="29">
        <v>16</v>
      </c>
      <c r="B74" s="37" t="s">
        <v>169</v>
      </c>
      <c r="C74" s="40" t="s">
        <v>170</v>
      </c>
      <c r="D74" s="37"/>
      <c r="E74" s="17">
        <v>5162.6000000000004</v>
      </c>
      <c r="F74" s="36">
        <f>E74*12</f>
        <v>61951.200000000004</v>
      </c>
      <c r="G74" s="36">
        <v>2.37</v>
      </c>
      <c r="H74" s="97"/>
      <c r="I74" s="13">
        <f>G74*F74/12</f>
        <v>12235.362000000001</v>
      </c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</row>
    <row r="75" spans="1:22" ht="22.5" hidden="1" customHeight="1">
      <c r="A75" s="52"/>
      <c r="B75" s="61" t="s">
        <v>116</v>
      </c>
      <c r="C75" s="61"/>
      <c r="D75" s="61"/>
      <c r="E75" s="61"/>
      <c r="F75" s="67"/>
      <c r="G75" s="61"/>
      <c r="H75" s="67"/>
      <c r="I75" s="18"/>
    </row>
    <row r="76" spans="1:22" ht="16.5" hidden="1" customHeight="1">
      <c r="A76" s="29">
        <v>19</v>
      </c>
      <c r="B76" s="79" t="s">
        <v>117</v>
      </c>
      <c r="C76" s="16"/>
      <c r="D76" s="96"/>
      <c r="E76" s="74"/>
      <c r="F76" s="13">
        <v>1</v>
      </c>
      <c r="G76" s="13">
        <v>27865.200000000001</v>
      </c>
      <c r="H76" s="97">
        <f>G76*F76/1000</f>
        <v>27.865200000000002</v>
      </c>
      <c r="I76" s="13">
        <v>0</v>
      </c>
    </row>
    <row r="77" spans="1:22" ht="18" customHeight="1">
      <c r="A77" s="29"/>
      <c r="B77" s="48" t="s">
        <v>70</v>
      </c>
      <c r="C77" s="48"/>
      <c r="D77" s="40"/>
      <c r="E77" s="18"/>
      <c r="F77" s="18"/>
      <c r="G77" s="29"/>
      <c r="H77" s="29"/>
      <c r="I77" s="18"/>
    </row>
    <row r="78" spans="1:22" ht="18.75" hidden="1" customHeight="1">
      <c r="A78" s="29">
        <v>16</v>
      </c>
      <c r="B78" s="96" t="s">
        <v>71</v>
      </c>
      <c r="C78" s="16" t="s">
        <v>73</v>
      </c>
      <c r="D78" s="96"/>
      <c r="E78" s="18">
        <v>10</v>
      </c>
      <c r="F78" s="13">
        <v>1</v>
      </c>
      <c r="G78" s="121">
        <v>684.19</v>
      </c>
      <c r="H78" s="97">
        <f t="shared" ref="H78:H82" si="7">SUM(F78*G78/1000)</f>
        <v>0.68419000000000008</v>
      </c>
      <c r="I78" s="13">
        <f>G78*0.2</f>
        <v>136.83800000000002</v>
      </c>
    </row>
    <row r="79" spans="1:22" ht="17.25" hidden="1" customHeight="1">
      <c r="A79" s="29"/>
      <c r="B79" s="96" t="s">
        <v>130</v>
      </c>
      <c r="C79" s="16" t="s">
        <v>31</v>
      </c>
      <c r="D79" s="96"/>
      <c r="E79" s="18">
        <v>1</v>
      </c>
      <c r="F79" s="13">
        <v>1</v>
      </c>
      <c r="G79" s="13">
        <v>99.85</v>
      </c>
      <c r="H79" s="97">
        <f>F79*G79/1000</f>
        <v>9.9849999999999994E-2</v>
      </c>
      <c r="I79" s="13">
        <v>0</v>
      </c>
    </row>
    <row r="80" spans="1:22" ht="17.25" hidden="1" customHeight="1">
      <c r="A80" s="29"/>
      <c r="B80" s="96" t="s">
        <v>131</v>
      </c>
      <c r="C80" s="16" t="s">
        <v>31</v>
      </c>
      <c r="D80" s="96"/>
      <c r="E80" s="18">
        <v>1</v>
      </c>
      <c r="F80" s="13">
        <v>1</v>
      </c>
      <c r="G80" s="13">
        <v>120.26</v>
      </c>
      <c r="H80" s="97">
        <f>F80*G80/1000</f>
        <v>0.12026000000000001</v>
      </c>
      <c r="I80" s="13">
        <v>0</v>
      </c>
    </row>
    <row r="81" spans="1:9" ht="18.75" hidden="1" customHeight="1">
      <c r="A81" s="29">
        <v>20</v>
      </c>
      <c r="B81" s="37" t="s">
        <v>72</v>
      </c>
      <c r="C81" s="38" t="s">
        <v>31</v>
      </c>
      <c r="D81" s="37"/>
      <c r="E81" s="17">
        <v>2</v>
      </c>
      <c r="F81" s="112">
        <v>2</v>
      </c>
      <c r="G81" s="36">
        <v>1163.47</v>
      </c>
      <c r="H81" s="97">
        <f>F81*G81/1000</f>
        <v>2.32694</v>
      </c>
      <c r="I81" s="13">
        <f>G81*1</f>
        <v>1163.47</v>
      </c>
    </row>
    <row r="82" spans="1:9" ht="21.75" hidden="1" customHeight="1">
      <c r="A82" s="29">
        <v>17</v>
      </c>
      <c r="B82" s="96" t="s">
        <v>82</v>
      </c>
      <c r="C82" s="16" t="s">
        <v>109</v>
      </c>
      <c r="D82" s="96"/>
      <c r="E82" s="18">
        <v>1</v>
      </c>
      <c r="F82" s="82">
        <f>SUM(E82)</f>
        <v>1</v>
      </c>
      <c r="G82" s="13">
        <v>358.51</v>
      </c>
      <c r="H82" s="97">
        <f t="shared" si="7"/>
        <v>0.35851</v>
      </c>
      <c r="I82" s="13">
        <v>0</v>
      </c>
    </row>
    <row r="83" spans="1:9" ht="30.75" customHeight="1">
      <c r="A83" s="29">
        <v>17</v>
      </c>
      <c r="B83" s="37" t="s">
        <v>171</v>
      </c>
      <c r="C83" s="38" t="s">
        <v>109</v>
      </c>
      <c r="D83" s="37" t="s">
        <v>181</v>
      </c>
      <c r="E83" s="17">
        <v>1</v>
      </c>
      <c r="F83" s="36">
        <f>E83*12</f>
        <v>12</v>
      </c>
      <c r="G83" s="36">
        <v>55.55</v>
      </c>
      <c r="H83" s="97"/>
      <c r="I83" s="13">
        <f>G83*1</f>
        <v>55.55</v>
      </c>
    </row>
    <row r="84" spans="1:9" ht="16.5" hidden="1" customHeight="1">
      <c r="A84" s="29"/>
      <c r="B84" s="49" t="s">
        <v>74</v>
      </c>
      <c r="C84" s="38"/>
      <c r="D84" s="29"/>
      <c r="E84" s="18"/>
      <c r="F84" s="18"/>
      <c r="G84" s="36"/>
      <c r="H84" s="36"/>
      <c r="I84" s="18"/>
    </row>
    <row r="85" spans="1:9" ht="15" hidden="1" customHeight="1">
      <c r="A85" s="29">
        <v>39</v>
      </c>
      <c r="B85" s="51" t="s">
        <v>118</v>
      </c>
      <c r="C85" s="16" t="s">
        <v>75</v>
      </c>
      <c r="D85" s="96"/>
      <c r="E85" s="18"/>
      <c r="F85" s="13">
        <v>1.35</v>
      </c>
      <c r="G85" s="13">
        <v>2759.44</v>
      </c>
      <c r="H85" s="97">
        <f t="shared" ref="H85" si="8">SUM(F85*G85/1000)</f>
        <v>3.725244</v>
      </c>
      <c r="I85" s="13">
        <v>0</v>
      </c>
    </row>
    <row r="86" spans="1:9" ht="15.75" customHeight="1">
      <c r="A86" s="222" t="s">
        <v>136</v>
      </c>
      <c r="B86" s="223"/>
      <c r="C86" s="223"/>
      <c r="D86" s="223"/>
      <c r="E86" s="223"/>
      <c r="F86" s="223"/>
      <c r="G86" s="223"/>
      <c r="H86" s="223"/>
      <c r="I86" s="224"/>
    </row>
    <row r="87" spans="1:9" ht="15.75" customHeight="1">
      <c r="A87" s="29">
        <v>18</v>
      </c>
      <c r="B87" s="32" t="s">
        <v>119</v>
      </c>
      <c r="C87" s="38" t="s">
        <v>53</v>
      </c>
      <c r="D87" s="62"/>
      <c r="E87" s="36">
        <v>5162.6000000000004</v>
      </c>
      <c r="F87" s="36">
        <f>SUM(E87*12)</f>
        <v>61951.200000000004</v>
      </c>
      <c r="G87" s="36">
        <v>3.22</v>
      </c>
      <c r="H87" s="99">
        <f>SUM(F87*G87/1000)</f>
        <v>199.48286400000003</v>
      </c>
      <c r="I87" s="13">
        <f>F87/12*G87</f>
        <v>16623.572000000004</v>
      </c>
    </row>
    <row r="88" spans="1:9" ht="31.5" customHeight="1">
      <c r="A88" s="29">
        <v>19</v>
      </c>
      <c r="B88" s="37" t="s">
        <v>172</v>
      </c>
      <c r="C88" s="109" t="s">
        <v>173</v>
      </c>
      <c r="D88" s="37"/>
      <c r="E88" s="17">
        <v>5162.6000000000004</v>
      </c>
      <c r="F88" s="36">
        <f>E88*12</f>
        <v>61951.200000000004</v>
      </c>
      <c r="G88" s="36">
        <v>3.64</v>
      </c>
      <c r="H88" s="97">
        <f>F88*G88/1000</f>
        <v>225.50236800000002</v>
      </c>
      <c r="I88" s="13">
        <f>F88/12*G88</f>
        <v>18791.864000000001</v>
      </c>
    </row>
    <row r="89" spans="1:9" ht="15.75" customHeight="1">
      <c r="A89" s="52"/>
      <c r="B89" s="39" t="s">
        <v>77</v>
      </c>
      <c r="C89" s="40"/>
      <c r="D89" s="15"/>
      <c r="E89" s="15"/>
      <c r="F89" s="15"/>
      <c r="G89" s="18"/>
      <c r="H89" s="18"/>
      <c r="I89" s="31">
        <f>I88+I87+I83+I74+I63+I57+I50+I44+I41+I39+I38+I37+I27+I21+I20+I18+I17+I16+I60</f>
        <v>95091.337295333331</v>
      </c>
    </row>
    <row r="90" spans="1:9" ht="15.75" customHeight="1">
      <c r="A90" s="225" t="s">
        <v>58</v>
      </c>
      <c r="B90" s="226"/>
      <c r="C90" s="226"/>
      <c r="D90" s="226"/>
      <c r="E90" s="226"/>
      <c r="F90" s="226"/>
      <c r="G90" s="226"/>
      <c r="H90" s="226"/>
      <c r="I90" s="227"/>
    </row>
    <row r="91" spans="1:9" ht="19.5" customHeight="1">
      <c r="A91" s="29">
        <v>20</v>
      </c>
      <c r="B91" s="63" t="s">
        <v>228</v>
      </c>
      <c r="C91" s="64" t="s">
        <v>39</v>
      </c>
      <c r="D91" s="34" t="s">
        <v>187</v>
      </c>
      <c r="E91" s="34"/>
      <c r="F91" s="33">
        <v>0.01</v>
      </c>
      <c r="G91" s="33">
        <v>28224.75</v>
      </c>
      <c r="H91" s="97">
        <f t="shared" ref="H91" si="9">G91*F91/1000</f>
        <v>0.28224749999999998</v>
      </c>
      <c r="I91" s="114">
        <v>0</v>
      </c>
    </row>
    <row r="92" spans="1:9" ht="18.75" customHeight="1">
      <c r="A92" s="29">
        <v>21</v>
      </c>
      <c r="B92" s="63" t="s">
        <v>226</v>
      </c>
      <c r="C92" s="64" t="s">
        <v>159</v>
      </c>
      <c r="D92" s="34" t="s">
        <v>229</v>
      </c>
      <c r="E92" s="34"/>
      <c r="F92" s="192">
        <v>3</v>
      </c>
      <c r="G92" s="192">
        <v>295.36</v>
      </c>
      <c r="H92" s="97"/>
      <c r="I92" s="114">
        <v>0</v>
      </c>
    </row>
    <row r="93" spans="1:9" ht="18.75" customHeight="1">
      <c r="A93" s="29">
        <v>22</v>
      </c>
      <c r="B93" s="63" t="s">
        <v>227</v>
      </c>
      <c r="C93" s="64" t="s">
        <v>159</v>
      </c>
      <c r="D93" s="34"/>
      <c r="E93" s="34"/>
      <c r="F93" s="192">
        <v>9</v>
      </c>
      <c r="G93" s="192">
        <v>295.36</v>
      </c>
      <c r="H93" s="97"/>
      <c r="I93" s="114">
        <f>G93*9</f>
        <v>2658.2400000000002</v>
      </c>
    </row>
    <row r="94" spans="1:9" ht="28.5" customHeight="1">
      <c r="A94" s="29">
        <v>23</v>
      </c>
      <c r="B94" s="63" t="s">
        <v>202</v>
      </c>
      <c r="C94" s="64" t="s">
        <v>37</v>
      </c>
      <c r="D94" s="193" t="s">
        <v>187</v>
      </c>
      <c r="E94" s="34"/>
      <c r="F94" s="192">
        <v>0.01</v>
      </c>
      <c r="G94" s="192">
        <v>4233.72</v>
      </c>
      <c r="H94" s="97"/>
      <c r="I94" s="114">
        <v>0</v>
      </c>
    </row>
    <row r="95" spans="1:9" ht="17.25" customHeight="1">
      <c r="A95" s="29">
        <v>24</v>
      </c>
      <c r="B95" s="63" t="s">
        <v>140</v>
      </c>
      <c r="C95" s="64" t="s">
        <v>79</v>
      </c>
      <c r="D95" s="34" t="s">
        <v>235</v>
      </c>
      <c r="E95" s="34"/>
      <c r="F95" s="192">
        <v>1</v>
      </c>
      <c r="G95" s="192">
        <v>231.54</v>
      </c>
      <c r="H95" s="97"/>
      <c r="I95" s="114">
        <f>G95*1</f>
        <v>231.54</v>
      </c>
    </row>
    <row r="96" spans="1:9" ht="15.75" customHeight="1">
      <c r="A96" s="29">
        <v>25</v>
      </c>
      <c r="B96" s="63" t="s">
        <v>231</v>
      </c>
      <c r="C96" s="64" t="s">
        <v>190</v>
      </c>
      <c r="D96" s="34" t="s">
        <v>190</v>
      </c>
      <c r="E96" s="34"/>
      <c r="F96" s="192">
        <v>1</v>
      </c>
      <c r="G96" s="192">
        <v>3684.25</v>
      </c>
      <c r="H96" s="97"/>
      <c r="I96" s="114">
        <f>G96*1</f>
        <v>3684.25</v>
      </c>
    </row>
    <row r="97" spans="1:9" ht="16.5" customHeight="1">
      <c r="A97" s="29">
        <v>26</v>
      </c>
      <c r="B97" s="63" t="s">
        <v>232</v>
      </c>
      <c r="C97" s="64" t="s">
        <v>109</v>
      </c>
      <c r="D97" s="34"/>
      <c r="E97" s="34"/>
      <c r="F97" s="192">
        <v>1</v>
      </c>
      <c r="G97" s="192">
        <v>837</v>
      </c>
      <c r="H97" s="97"/>
      <c r="I97" s="114">
        <f>G97*1</f>
        <v>837</v>
      </c>
    </row>
    <row r="98" spans="1:9" ht="17.25" customHeight="1">
      <c r="A98" s="29">
        <v>27</v>
      </c>
      <c r="B98" s="63" t="s">
        <v>191</v>
      </c>
      <c r="C98" s="64" t="s">
        <v>109</v>
      </c>
      <c r="D98" s="34"/>
      <c r="E98" s="34"/>
      <c r="F98" s="192">
        <v>1</v>
      </c>
      <c r="G98" s="192">
        <v>1100</v>
      </c>
      <c r="H98" s="97"/>
      <c r="I98" s="114">
        <f>G98*1</f>
        <v>1100</v>
      </c>
    </row>
    <row r="99" spans="1:9" ht="15.75" customHeight="1">
      <c r="A99" s="29">
        <v>28</v>
      </c>
      <c r="B99" s="63" t="s">
        <v>233</v>
      </c>
      <c r="C99" s="100" t="s">
        <v>196</v>
      </c>
      <c r="D99" s="34" t="s">
        <v>234</v>
      </c>
      <c r="E99" s="34"/>
      <c r="F99" s="192">
        <v>0.25</v>
      </c>
      <c r="G99" s="192">
        <v>6697.55</v>
      </c>
      <c r="H99" s="97"/>
      <c r="I99" s="114">
        <f>G99*0.25</f>
        <v>1674.3875</v>
      </c>
    </row>
    <row r="100" spans="1:9" ht="15.75" customHeight="1">
      <c r="A100" s="29"/>
      <c r="B100" s="45" t="s">
        <v>50</v>
      </c>
      <c r="C100" s="41"/>
      <c r="D100" s="53"/>
      <c r="E100" s="41">
        <v>1</v>
      </c>
      <c r="F100" s="41"/>
      <c r="G100" s="41"/>
      <c r="H100" s="41"/>
      <c r="I100" s="31">
        <f>SUM(I91:I99)</f>
        <v>10185.417500000001</v>
      </c>
    </row>
    <row r="101" spans="1:9" ht="15.75" customHeight="1">
      <c r="A101" s="29"/>
      <c r="B101" s="51" t="s">
        <v>76</v>
      </c>
      <c r="C101" s="15"/>
      <c r="D101" s="15"/>
      <c r="E101" s="42"/>
      <c r="F101" s="42"/>
      <c r="G101" s="43"/>
      <c r="H101" s="43"/>
      <c r="I101" s="17">
        <v>0</v>
      </c>
    </row>
    <row r="102" spans="1:9" ht="15.75" customHeight="1">
      <c r="A102" s="54"/>
      <c r="B102" s="46" t="s">
        <v>141</v>
      </c>
      <c r="C102" s="34"/>
      <c r="D102" s="34"/>
      <c r="E102" s="34"/>
      <c r="F102" s="34"/>
      <c r="G102" s="34"/>
      <c r="H102" s="34"/>
      <c r="I102" s="44">
        <f>I89+I100</f>
        <v>105276.75479533333</v>
      </c>
    </row>
    <row r="103" spans="1:9" ht="15.75">
      <c r="A103" s="219" t="s">
        <v>236</v>
      </c>
      <c r="B103" s="219"/>
      <c r="C103" s="219"/>
      <c r="D103" s="219"/>
      <c r="E103" s="219"/>
      <c r="F103" s="219"/>
      <c r="G103" s="219"/>
      <c r="H103" s="219"/>
      <c r="I103" s="219"/>
    </row>
    <row r="104" spans="1:9" ht="15.75">
      <c r="A104" s="60"/>
      <c r="B104" s="220" t="s">
        <v>237</v>
      </c>
      <c r="C104" s="220"/>
      <c r="D104" s="220"/>
      <c r="E104" s="220"/>
      <c r="F104" s="220"/>
      <c r="G104" s="220"/>
      <c r="H104" s="77"/>
      <c r="I104" s="3"/>
    </row>
    <row r="105" spans="1:9">
      <c r="A105" s="55"/>
      <c r="B105" s="218" t="s">
        <v>6</v>
      </c>
      <c r="C105" s="218"/>
      <c r="D105" s="218"/>
      <c r="E105" s="218"/>
      <c r="F105" s="218"/>
      <c r="G105" s="218"/>
      <c r="H105" s="24"/>
      <c r="I105" s="5"/>
    </row>
    <row r="106" spans="1:9">
      <c r="A106" s="10"/>
      <c r="B106" s="10"/>
      <c r="C106" s="10"/>
      <c r="D106" s="10"/>
      <c r="E106" s="10"/>
      <c r="F106" s="10"/>
      <c r="G106" s="10"/>
      <c r="H106" s="10"/>
      <c r="I106" s="10"/>
    </row>
    <row r="107" spans="1:9" ht="15.75">
      <c r="A107" s="221" t="s">
        <v>7</v>
      </c>
      <c r="B107" s="221"/>
      <c r="C107" s="221"/>
      <c r="D107" s="221"/>
      <c r="E107" s="221"/>
      <c r="F107" s="221"/>
      <c r="G107" s="221"/>
      <c r="H107" s="221"/>
      <c r="I107" s="221"/>
    </row>
    <row r="108" spans="1:9" ht="15.75">
      <c r="A108" s="221" t="s">
        <v>8</v>
      </c>
      <c r="B108" s="221"/>
      <c r="C108" s="221"/>
      <c r="D108" s="221"/>
      <c r="E108" s="221"/>
      <c r="F108" s="221"/>
      <c r="G108" s="221"/>
      <c r="H108" s="221"/>
      <c r="I108" s="221"/>
    </row>
    <row r="109" spans="1:9" ht="15.75">
      <c r="A109" s="215" t="s">
        <v>59</v>
      </c>
      <c r="B109" s="215"/>
      <c r="C109" s="215"/>
      <c r="D109" s="215"/>
      <c r="E109" s="215"/>
      <c r="F109" s="215"/>
      <c r="G109" s="215"/>
      <c r="H109" s="215"/>
      <c r="I109" s="215"/>
    </row>
    <row r="110" spans="1:9" ht="15.75">
      <c r="A110" s="11"/>
    </row>
    <row r="111" spans="1:9" ht="15.75">
      <c r="A111" s="216" t="s">
        <v>9</v>
      </c>
      <c r="B111" s="216"/>
      <c r="C111" s="216"/>
      <c r="D111" s="216"/>
      <c r="E111" s="216"/>
      <c r="F111" s="216"/>
      <c r="G111" s="216"/>
      <c r="H111" s="216"/>
      <c r="I111" s="216"/>
    </row>
    <row r="112" spans="1:9" ht="15.75">
      <c r="A112" s="4"/>
    </row>
    <row r="113" spans="1:9" ht="15.75">
      <c r="B113" s="58" t="s">
        <v>10</v>
      </c>
      <c r="C113" s="217" t="s">
        <v>219</v>
      </c>
      <c r="D113" s="217"/>
      <c r="E113" s="217"/>
      <c r="F113" s="75"/>
      <c r="I113" s="59"/>
    </row>
    <row r="114" spans="1:9">
      <c r="A114" s="55"/>
      <c r="C114" s="218" t="s">
        <v>11</v>
      </c>
      <c r="D114" s="218"/>
      <c r="E114" s="218"/>
      <c r="F114" s="24"/>
      <c r="I114" s="57" t="s">
        <v>12</v>
      </c>
    </row>
    <row r="115" spans="1:9" ht="15.75">
      <c r="A115" s="25"/>
      <c r="C115" s="12"/>
      <c r="D115" s="12"/>
      <c r="G115" s="12"/>
      <c r="H115" s="12"/>
    </row>
    <row r="116" spans="1:9" ht="15.75">
      <c r="B116" s="58" t="s">
        <v>13</v>
      </c>
      <c r="C116" s="212"/>
      <c r="D116" s="212"/>
      <c r="E116" s="212"/>
      <c r="F116" s="76"/>
      <c r="I116" s="59"/>
    </row>
    <row r="117" spans="1:9">
      <c r="A117" s="55"/>
      <c r="C117" s="213" t="s">
        <v>11</v>
      </c>
      <c r="D117" s="213"/>
      <c r="E117" s="213"/>
      <c r="F117" s="66"/>
      <c r="I117" s="57" t="s">
        <v>12</v>
      </c>
    </row>
    <row r="118" spans="1:9" ht="15.75">
      <c r="A118" s="4" t="s">
        <v>14</v>
      </c>
    </row>
    <row r="119" spans="1:9">
      <c r="A119" s="214" t="s">
        <v>15</v>
      </c>
      <c r="B119" s="214"/>
      <c r="C119" s="214"/>
      <c r="D119" s="214"/>
      <c r="E119" s="214"/>
      <c r="F119" s="214"/>
      <c r="G119" s="214"/>
      <c r="H119" s="214"/>
      <c r="I119" s="214"/>
    </row>
    <row r="120" spans="1:9" ht="45" customHeight="1">
      <c r="A120" s="211" t="s">
        <v>16</v>
      </c>
      <c r="B120" s="211"/>
      <c r="C120" s="211"/>
      <c r="D120" s="211"/>
      <c r="E120" s="211"/>
      <c r="F120" s="211"/>
      <c r="G120" s="211"/>
      <c r="H120" s="211"/>
      <c r="I120" s="211"/>
    </row>
    <row r="121" spans="1:9" ht="30" customHeight="1">
      <c r="A121" s="211" t="s">
        <v>17</v>
      </c>
      <c r="B121" s="211"/>
      <c r="C121" s="211"/>
      <c r="D121" s="211"/>
      <c r="E121" s="211"/>
      <c r="F121" s="211"/>
      <c r="G121" s="211"/>
      <c r="H121" s="211"/>
      <c r="I121" s="211"/>
    </row>
    <row r="122" spans="1:9" ht="30" customHeight="1">
      <c r="A122" s="211" t="s">
        <v>21</v>
      </c>
      <c r="B122" s="211"/>
      <c r="C122" s="211"/>
      <c r="D122" s="211"/>
      <c r="E122" s="211"/>
      <c r="F122" s="211"/>
      <c r="G122" s="211"/>
      <c r="H122" s="211"/>
      <c r="I122" s="211"/>
    </row>
    <row r="123" spans="1:9" ht="15" customHeight="1">
      <c r="A123" s="211" t="s">
        <v>20</v>
      </c>
      <c r="B123" s="211"/>
      <c r="C123" s="211"/>
      <c r="D123" s="211"/>
      <c r="E123" s="211"/>
      <c r="F123" s="211"/>
      <c r="G123" s="211"/>
      <c r="H123" s="211"/>
      <c r="I123" s="211"/>
    </row>
  </sheetData>
  <autoFilter ref="I12:I66"/>
  <mergeCells count="29">
    <mergeCell ref="A86:I86"/>
    <mergeCell ref="A90:I90"/>
    <mergeCell ref="R71:U71"/>
    <mergeCell ref="A3:I3"/>
    <mergeCell ref="A4:I4"/>
    <mergeCell ref="A8:I8"/>
    <mergeCell ref="A10:I10"/>
    <mergeCell ref="A5:I5"/>
    <mergeCell ref="A14:I14"/>
    <mergeCell ref="A15:I15"/>
    <mergeCell ref="A28:I28"/>
    <mergeCell ref="A45:I45"/>
    <mergeCell ref="A55:I55"/>
    <mergeCell ref="A103:I103"/>
    <mergeCell ref="B104:G104"/>
    <mergeCell ref="B105:G105"/>
    <mergeCell ref="A107:I107"/>
    <mergeCell ref="A108:I108"/>
    <mergeCell ref="A109:I109"/>
    <mergeCell ref="A111:I111"/>
    <mergeCell ref="C113:E113"/>
    <mergeCell ref="C114:E114"/>
    <mergeCell ref="A122:I122"/>
    <mergeCell ref="A123:I123"/>
    <mergeCell ref="C116:E116"/>
    <mergeCell ref="C117:E117"/>
    <mergeCell ref="A119:I119"/>
    <mergeCell ref="A120:I120"/>
    <mergeCell ref="A121:I121"/>
  </mergeCells>
  <pageMargins left="0.70866141732283472" right="0.23622047244094491" top="0.27559055118110237" bottom="0.27559055118110237" header="0.31496062992125984" footer="0.31496062992125984"/>
  <pageSetup paperSize="9" scale="63" orientation="portrait" r:id="rId1"/>
  <rowBreaks count="1" manualBreakCount="1">
    <brk id="117" max="8" man="1"/>
  </rowBreaks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24"/>
  <sheetViews>
    <sheetView topLeftCell="A83" zoomScaleNormal="100" workbookViewId="0">
      <selection activeCell="A110" sqref="A110:I11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2.28515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158</v>
      </c>
      <c r="I1" s="26"/>
      <c r="J1" s="1"/>
      <c r="K1" s="1"/>
      <c r="L1" s="1"/>
      <c r="M1" s="1"/>
    </row>
    <row r="2" spans="1:13" ht="15.75" customHeight="1">
      <c r="A2" s="28" t="s">
        <v>60</v>
      </c>
      <c r="J2" s="2"/>
      <c r="K2" s="2"/>
      <c r="L2" s="2"/>
      <c r="M2" s="2"/>
    </row>
    <row r="3" spans="1:13" ht="15.75" customHeight="1">
      <c r="A3" s="228" t="s">
        <v>155</v>
      </c>
      <c r="B3" s="228"/>
      <c r="C3" s="228"/>
      <c r="D3" s="228"/>
      <c r="E3" s="228"/>
      <c r="F3" s="228"/>
      <c r="G3" s="228"/>
      <c r="H3" s="228"/>
      <c r="I3" s="228"/>
      <c r="J3" s="3"/>
      <c r="K3" s="3"/>
      <c r="L3" s="3"/>
    </row>
    <row r="4" spans="1:13" ht="31.5" customHeight="1">
      <c r="A4" s="229" t="s">
        <v>120</v>
      </c>
      <c r="B4" s="229"/>
      <c r="C4" s="229"/>
      <c r="D4" s="229"/>
      <c r="E4" s="229"/>
      <c r="F4" s="229"/>
      <c r="G4" s="229"/>
      <c r="H4" s="229"/>
      <c r="I4" s="229"/>
    </row>
    <row r="5" spans="1:13" ht="15.75" customHeight="1">
      <c r="A5" s="228" t="s">
        <v>349</v>
      </c>
      <c r="B5" s="232"/>
      <c r="C5" s="232"/>
      <c r="D5" s="232"/>
      <c r="E5" s="232"/>
      <c r="F5" s="232"/>
      <c r="G5" s="232"/>
      <c r="H5" s="232"/>
      <c r="I5" s="232"/>
      <c r="J5" s="2"/>
      <c r="K5" s="2"/>
      <c r="L5" s="2"/>
      <c r="M5" s="2"/>
    </row>
    <row r="6" spans="1:13" ht="15.75" customHeight="1">
      <c r="A6" s="2"/>
      <c r="B6" s="72"/>
      <c r="C6" s="72"/>
      <c r="D6" s="72"/>
      <c r="E6" s="72"/>
      <c r="F6" s="72"/>
      <c r="G6" s="72"/>
      <c r="H6" s="72"/>
      <c r="I6" s="30">
        <v>44500</v>
      </c>
      <c r="J6" s="2"/>
      <c r="K6" s="2"/>
      <c r="L6" s="2"/>
      <c r="M6" s="2"/>
    </row>
    <row r="7" spans="1:13" ht="15.75" customHeight="1">
      <c r="B7" s="69"/>
      <c r="C7" s="69"/>
      <c r="D7" s="69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30" t="s">
        <v>215</v>
      </c>
      <c r="B8" s="230"/>
      <c r="C8" s="230"/>
      <c r="D8" s="230"/>
      <c r="E8" s="230"/>
      <c r="F8" s="230"/>
      <c r="G8" s="230"/>
      <c r="H8" s="230"/>
      <c r="I8" s="230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31" t="s">
        <v>133</v>
      </c>
      <c r="B10" s="231"/>
      <c r="C10" s="231"/>
      <c r="D10" s="231"/>
      <c r="E10" s="231"/>
      <c r="F10" s="231"/>
      <c r="G10" s="231"/>
      <c r="H10" s="231"/>
      <c r="I10" s="231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33" t="s">
        <v>57</v>
      </c>
      <c r="B14" s="233"/>
      <c r="C14" s="233"/>
      <c r="D14" s="233"/>
      <c r="E14" s="233"/>
      <c r="F14" s="233"/>
      <c r="G14" s="233"/>
      <c r="H14" s="233"/>
      <c r="I14" s="233"/>
      <c r="J14" s="8"/>
      <c r="K14" s="8"/>
      <c r="L14" s="8"/>
      <c r="M14" s="8"/>
    </row>
    <row r="15" spans="1:13" ht="15.75" customHeight="1">
      <c r="A15" s="234" t="s">
        <v>4</v>
      </c>
      <c r="B15" s="234"/>
      <c r="C15" s="234"/>
      <c r="D15" s="234"/>
      <c r="E15" s="234"/>
      <c r="F15" s="234"/>
      <c r="G15" s="234"/>
      <c r="H15" s="234"/>
      <c r="I15" s="234"/>
      <c r="J15" s="8"/>
      <c r="K15" s="8"/>
      <c r="L15" s="8"/>
      <c r="M15" s="8"/>
    </row>
    <row r="16" spans="1:13" ht="15.75" customHeight="1">
      <c r="A16" s="29">
        <v>1</v>
      </c>
      <c r="B16" s="32" t="s">
        <v>81</v>
      </c>
      <c r="C16" s="133" t="s">
        <v>87</v>
      </c>
      <c r="D16" s="32" t="s">
        <v>178</v>
      </c>
      <c r="E16" s="146">
        <v>129.88</v>
      </c>
      <c r="F16" s="134">
        <f>SUM(E16*156/100)</f>
        <v>202.61279999999999</v>
      </c>
      <c r="G16" s="134">
        <v>239.2</v>
      </c>
      <c r="H16" s="83">
        <f t="shared" ref="H16:H26" si="0">SUM(F16*G16/1000)</f>
        <v>48.464981759999993</v>
      </c>
      <c r="I16" s="13">
        <f>F16/12*G16</f>
        <v>4038.7484799999997</v>
      </c>
      <c r="J16" s="8"/>
      <c r="K16" s="8"/>
      <c r="L16" s="8"/>
      <c r="M16" s="8"/>
    </row>
    <row r="17" spans="1:13" ht="15.75" customHeight="1">
      <c r="A17" s="29">
        <v>2</v>
      </c>
      <c r="B17" s="32" t="s">
        <v>83</v>
      </c>
      <c r="C17" s="133" t="s">
        <v>87</v>
      </c>
      <c r="D17" s="32" t="s">
        <v>179</v>
      </c>
      <c r="E17" s="146">
        <v>519.52</v>
      </c>
      <c r="F17" s="134">
        <f>SUM(E17*104/100)</f>
        <v>540.30079999999998</v>
      </c>
      <c r="G17" s="134">
        <v>239.2</v>
      </c>
      <c r="H17" s="83">
        <f t="shared" si="0"/>
        <v>129.23995135999999</v>
      </c>
      <c r="I17" s="13">
        <f>F17/12*G17</f>
        <v>10769.995946666666</v>
      </c>
      <c r="J17" s="22"/>
      <c r="K17" s="8"/>
      <c r="L17" s="8"/>
      <c r="M17" s="8"/>
    </row>
    <row r="18" spans="1:13" ht="15.75" customHeight="1">
      <c r="A18" s="29">
        <v>3</v>
      </c>
      <c r="B18" s="32" t="s">
        <v>84</v>
      </c>
      <c r="C18" s="133" t="s">
        <v>87</v>
      </c>
      <c r="D18" s="32" t="s">
        <v>180</v>
      </c>
      <c r="E18" s="146">
        <f>SUM(E16+E17)</f>
        <v>649.4</v>
      </c>
      <c r="F18" s="134">
        <f>SUM(E18*18/100)</f>
        <v>116.892</v>
      </c>
      <c r="G18" s="134">
        <v>688.14</v>
      </c>
      <c r="H18" s="83">
        <f t="shared" si="0"/>
        <v>80.438060879999995</v>
      </c>
      <c r="I18" s="13">
        <f>F18/18*2*G18</f>
        <v>8937.5623199999991</v>
      </c>
      <c r="J18" s="22"/>
      <c r="K18" s="8"/>
      <c r="L18" s="8"/>
      <c r="M18" s="8"/>
    </row>
    <row r="19" spans="1:13" ht="15.75" hidden="1" customHeight="1">
      <c r="A19" s="29">
        <v>4</v>
      </c>
      <c r="B19" s="79" t="s">
        <v>88</v>
      </c>
      <c r="C19" s="80" t="s">
        <v>89</v>
      </c>
      <c r="D19" s="79" t="s">
        <v>90</v>
      </c>
      <c r="E19" s="81">
        <v>124.8</v>
      </c>
      <c r="F19" s="82">
        <f>SUM(E19/10)</f>
        <v>12.48</v>
      </c>
      <c r="G19" s="82">
        <v>170.16</v>
      </c>
      <c r="H19" s="83">
        <f t="shared" si="0"/>
        <v>2.1235967999999996</v>
      </c>
      <c r="I19" s="13">
        <f>F19/2*G19</f>
        <v>1061.7983999999999</v>
      </c>
      <c r="J19" s="22"/>
      <c r="K19" s="8"/>
      <c r="L19" s="8"/>
      <c r="M19" s="8"/>
    </row>
    <row r="20" spans="1:13" ht="15.75" customHeight="1">
      <c r="A20" s="29">
        <v>4</v>
      </c>
      <c r="B20" s="32" t="s">
        <v>93</v>
      </c>
      <c r="C20" s="133" t="s">
        <v>87</v>
      </c>
      <c r="D20" s="32" t="s">
        <v>187</v>
      </c>
      <c r="E20" s="146">
        <v>57.5</v>
      </c>
      <c r="F20" s="134">
        <f>SUM(E20*12/100)</f>
        <v>6.9</v>
      </c>
      <c r="G20" s="134">
        <v>297.19</v>
      </c>
      <c r="H20" s="83">
        <f t="shared" si="0"/>
        <v>2.050611</v>
      </c>
      <c r="I20" s="13">
        <f>F20*G20/12</f>
        <v>170.88424999999998</v>
      </c>
      <c r="J20" s="22"/>
      <c r="K20" s="8"/>
      <c r="L20" s="8"/>
      <c r="M20" s="8"/>
    </row>
    <row r="21" spans="1:13" ht="15.75" customHeight="1">
      <c r="A21" s="29">
        <v>5</v>
      </c>
      <c r="B21" s="32" t="s">
        <v>94</v>
      </c>
      <c r="C21" s="133" t="s">
        <v>87</v>
      </c>
      <c r="D21" s="32" t="s">
        <v>187</v>
      </c>
      <c r="E21" s="146">
        <v>13.41</v>
      </c>
      <c r="F21" s="134">
        <f>SUM(E21*12/100)</f>
        <v>1.6092000000000002</v>
      </c>
      <c r="G21" s="134">
        <v>294.77999999999997</v>
      </c>
      <c r="H21" s="83">
        <f t="shared" si="0"/>
        <v>0.47435997600000002</v>
      </c>
      <c r="I21" s="13">
        <f>F21*G21/12</f>
        <v>39.529997999999999</v>
      </c>
      <c r="J21" s="22"/>
      <c r="K21" s="8"/>
      <c r="L21" s="8"/>
      <c r="M21" s="8"/>
    </row>
    <row r="22" spans="1:13" ht="15.75" hidden="1" customHeight="1">
      <c r="A22" s="29">
        <v>7</v>
      </c>
      <c r="B22" s="79" t="s">
        <v>95</v>
      </c>
      <c r="C22" s="80" t="s">
        <v>51</v>
      </c>
      <c r="D22" s="79" t="s">
        <v>90</v>
      </c>
      <c r="E22" s="81">
        <v>820.5</v>
      </c>
      <c r="F22" s="82">
        <f>SUM(E22/100)</f>
        <v>8.2050000000000001</v>
      </c>
      <c r="G22" s="82">
        <v>269.26</v>
      </c>
      <c r="H22" s="83">
        <f t="shared" si="0"/>
        <v>2.2092782999999998</v>
      </c>
      <c r="I22" s="13">
        <f t="shared" ref="I22:I26" si="1">F22*G22</f>
        <v>2209.2782999999999</v>
      </c>
      <c r="J22" s="22"/>
      <c r="K22" s="8"/>
      <c r="L22" s="8"/>
      <c r="M22" s="8"/>
    </row>
    <row r="23" spans="1:13" ht="15.75" hidden="1" customHeight="1">
      <c r="A23" s="29">
        <v>8</v>
      </c>
      <c r="B23" s="79" t="s">
        <v>96</v>
      </c>
      <c r="C23" s="80" t="s">
        <v>51</v>
      </c>
      <c r="D23" s="79" t="s">
        <v>90</v>
      </c>
      <c r="E23" s="84">
        <v>60.25</v>
      </c>
      <c r="F23" s="82">
        <f>SUM(E23/100)</f>
        <v>0.60250000000000004</v>
      </c>
      <c r="G23" s="82">
        <v>44.29</v>
      </c>
      <c r="H23" s="83">
        <f t="shared" si="0"/>
        <v>2.6684724999999999E-2</v>
      </c>
      <c r="I23" s="13">
        <f t="shared" si="1"/>
        <v>26.684725</v>
      </c>
      <c r="J23" s="22"/>
      <c r="K23" s="8"/>
      <c r="L23" s="8"/>
      <c r="M23" s="8"/>
    </row>
    <row r="24" spans="1:13" ht="15.75" hidden="1" customHeight="1">
      <c r="A24" s="29">
        <v>9</v>
      </c>
      <c r="B24" s="79" t="s">
        <v>91</v>
      </c>
      <c r="C24" s="80" t="s">
        <v>51</v>
      </c>
      <c r="D24" s="79" t="s">
        <v>92</v>
      </c>
      <c r="E24" s="81">
        <v>19.149999999999999</v>
      </c>
      <c r="F24" s="82">
        <f>E24/100</f>
        <v>0.19149999999999998</v>
      </c>
      <c r="G24" s="82">
        <v>389.72</v>
      </c>
      <c r="H24" s="83">
        <f t="shared" si="0"/>
        <v>7.4631379999999997E-2</v>
      </c>
      <c r="I24" s="13">
        <f t="shared" si="1"/>
        <v>74.631379999999993</v>
      </c>
      <c r="J24" s="22"/>
      <c r="K24" s="8"/>
      <c r="L24" s="8"/>
      <c r="M24" s="8"/>
    </row>
    <row r="25" spans="1:13" ht="15.75" hidden="1" customHeight="1">
      <c r="A25" s="29">
        <v>10</v>
      </c>
      <c r="B25" s="79" t="s">
        <v>98</v>
      </c>
      <c r="C25" s="80" t="s">
        <v>51</v>
      </c>
      <c r="D25" s="79" t="s">
        <v>52</v>
      </c>
      <c r="E25" s="81">
        <v>31.5</v>
      </c>
      <c r="F25" s="82">
        <v>0.32</v>
      </c>
      <c r="G25" s="82">
        <v>216.12</v>
      </c>
      <c r="H25" s="83">
        <f t="shared" si="0"/>
        <v>6.9158399999999995E-2</v>
      </c>
      <c r="I25" s="13">
        <f t="shared" si="1"/>
        <v>69.1584</v>
      </c>
      <c r="J25" s="22"/>
      <c r="K25" s="8"/>
      <c r="L25" s="8"/>
      <c r="M25" s="8"/>
    </row>
    <row r="26" spans="1:13" ht="15.75" hidden="1" customHeight="1">
      <c r="A26" s="29">
        <v>11</v>
      </c>
      <c r="B26" s="79" t="s">
        <v>97</v>
      </c>
      <c r="C26" s="80" t="s">
        <v>51</v>
      </c>
      <c r="D26" s="79" t="s">
        <v>90</v>
      </c>
      <c r="E26" s="81">
        <v>37.5</v>
      </c>
      <c r="F26" s="82">
        <f>SUM(E26/100)</f>
        <v>0.375</v>
      </c>
      <c r="G26" s="82">
        <v>520.79999999999995</v>
      </c>
      <c r="H26" s="83">
        <f t="shared" si="0"/>
        <v>0.19529999999999997</v>
      </c>
      <c r="I26" s="13">
        <f t="shared" si="1"/>
        <v>195.29999999999998</v>
      </c>
      <c r="J26" s="22"/>
      <c r="K26" s="8"/>
      <c r="L26" s="8"/>
      <c r="M26" s="8"/>
    </row>
    <row r="27" spans="1:13" ht="15.75" hidden="1" customHeight="1">
      <c r="A27" s="29">
        <v>6</v>
      </c>
      <c r="B27" s="32" t="s">
        <v>177</v>
      </c>
      <c r="C27" s="133" t="s">
        <v>26</v>
      </c>
      <c r="D27" s="32" t="s">
        <v>182</v>
      </c>
      <c r="E27" s="169">
        <v>4.88</v>
      </c>
      <c r="F27" s="134">
        <f>E27*258</f>
        <v>1259.04</v>
      </c>
      <c r="G27" s="134">
        <v>10.39</v>
      </c>
      <c r="H27" s="83">
        <f t="shared" ref="H27" si="2">SUM(F27*G27/1000)</f>
        <v>13.081425600000001</v>
      </c>
      <c r="I27" s="13">
        <f>F27/12*G27</f>
        <v>1090.1188</v>
      </c>
      <c r="J27" s="22"/>
      <c r="K27" s="8"/>
      <c r="L27" s="8"/>
      <c r="M27" s="8"/>
    </row>
    <row r="28" spans="1:13" ht="15.75" customHeight="1">
      <c r="A28" s="234" t="s">
        <v>80</v>
      </c>
      <c r="B28" s="234"/>
      <c r="C28" s="234"/>
      <c r="D28" s="234"/>
      <c r="E28" s="234"/>
      <c r="F28" s="234"/>
      <c r="G28" s="234"/>
      <c r="H28" s="234"/>
      <c r="I28" s="234"/>
      <c r="J28" s="22"/>
      <c r="K28" s="8"/>
      <c r="L28" s="8"/>
      <c r="M28" s="8"/>
    </row>
    <row r="29" spans="1:13" ht="15.75" customHeight="1">
      <c r="A29" s="40"/>
      <c r="B29" s="50" t="s">
        <v>29</v>
      </c>
      <c r="C29" s="50"/>
      <c r="D29" s="50"/>
      <c r="E29" s="50"/>
      <c r="F29" s="50"/>
      <c r="G29" s="50"/>
      <c r="H29" s="50"/>
      <c r="I29" s="18"/>
      <c r="J29" s="22"/>
      <c r="K29" s="8"/>
      <c r="L29" s="8"/>
      <c r="M29" s="8"/>
    </row>
    <row r="30" spans="1:13" ht="15.75" customHeight="1">
      <c r="A30" s="40">
        <v>6</v>
      </c>
      <c r="B30" s="32" t="s">
        <v>99</v>
      </c>
      <c r="C30" s="133" t="s">
        <v>100</v>
      </c>
      <c r="D30" s="32" t="s">
        <v>179</v>
      </c>
      <c r="E30" s="134">
        <v>1304.45</v>
      </c>
      <c r="F30" s="134">
        <f>SUM(E30*52/1000)</f>
        <v>67.831400000000002</v>
      </c>
      <c r="G30" s="134">
        <v>212.62</v>
      </c>
      <c r="H30" s="83">
        <f t="shared" ref="H30:H31" si="3">SUM(F30*G30/1000)</f>
        <v>14.422312268000001</v>
      </c>
      <c r="I30" s="13">
        <f>F30/6*G30</f>
        <v>2403.7187113333334</v>
      </c>
      <c r="J30" s="22"/>
      <c r="K30" s="8"/>
      <c r="L30" s="8"/>
      <c r="M30" s="8"/>
    </row>
    <row r="31" spans="1:13" ht="31.5" customHeight="1">
      <c r="A31" s="40">
        <v>7</v>
      </c>
      <c r="B31" s="32" t="s">
        <v>137</v>
      </c>
      <c r="C31" s="133" t="s">
        <v>100</v>
      </c>
      <c r="D31" s="32" t="s">
        <v>179</v>
      </c>
      <c r="E31" s="134">
        <v>287.83999999999997</v>
      </c>
      <c r="F31" s="134">
        <f>SUM(E31*52/1000)</f>
        <v>14.967679999999998</v>
      </c>
      <c r="G31" s="134">
        <v>352.77</v>
      </c>
      <c r="H31" s="83">
        <f t="shared" si="3"/>
        <v>5.2801484735999997</v>
      </c>
      <c r="I31" s="13">
        <f t="shared" ref="I31" si="4">F31/6*G31</f>
        <v>880.02474559999985</v>
      </c>
      <c r="J31" s="22"/>
      <c r="K31" s="8"/>
      <c r="L31" s="8"/>
      <c r="M31" s="8"/>
    </row>
    <row r="32" spans="1:13" ht="15.75" hidden="1" customHeight="1">
      <c r="A32" s="40">
        <v>16</v>
      </c>
      <c r="B32" s="79" t="s">
        <v>28</v>
      </c>
      <c r="C32" s="80" t="s">
        <v>100</v>
      </c>
      <c r="D32" s="79" t="s">
        <v>52</v>
      </c>
      <c r="E32" s="82">
        <v>1304.45</v>
      </c>
      <c r="F32" s="82">
        <f>SUM(E32/1000)</f>
        <v>1.3044500000000001</v>
      </c>
      <c r="G32" s="82">
        <v>3020.33</v>
      </c>
      <c r="H32" s="83">
        <f t="shared" ref="H32:H34" si="5">SUM(F32*G32/1000)</f>
        <v>3.9398694685</v>
      </c>
      <c r="I32" s="13">
        <f>F32*G32</f>
        <v>3939.8694685</v>
      </c>
      <c r="J32" s="22"/>
      <c r="K32" s="8"/>
      <c r="L32" s="8"/>
      <c r="M32" s="8"/>
    </row>
    <row r="33" spans="1:14" ht="15.75" hidden="1" customHeight="1">
      <c r="A33" s="40">
        <v>9</v>
      </c>
      <c r="B33" s="32" t="s">
        <v>63</v>
      </c>
      <c r="C33" s="133" t="s">
        <v>33</v>
      </c>
      <c r="D33" s="32"/>
      <c r="E33" s="146"/>
      <c r="F33" s="134">
        <v>2</v>
      </c>
      <c r="G33" s="134">
        <v>260.95</v>
      </c>
      <c r="H33" s="83">
        <f t="shared" si="5"/>
        <v>0.52190000000000003</v>
      </c>
      <c r="I33" s="13">
        <f>G33*1</f>
        <v>260.95</v>
      </c>
      <c r="J33" s="23"/>
    </row>
    <row r="34" spans="1:14" ht="15.75" hidden="1" customHeight="1">
      <c r="A34" s="29">
        <v>8</v>
      </c>
      <c r="B34" s="79" t="s">
        <v>64</v>
      </c>
      <c r="C34" s="80" t="s">
        <v>32</v>
      </c>
      <c r="D34" s="79" t="s">
        <v>65</v>
      </c>
      <c r="E34" s="81"/>
      <c r="F34" s="82">
        <v>2</v>
      </c>
      <c r="G34" s="82">
        <v>1136.32</v>
      </c>
      <c r="H34" s="83">
        <f t="shared" si="5"/>
        <v>2.27264</v>
      </c>
      <c r="I34" s="13">
        <v>0</v>
      </c>
      <c r="J34" s="23"/>
    </row>
    <row r="35" spans="1:14" ht="15.75" hidden="1" customHeight="1">
      <c r="A35" s="40"/>
      <c r="B35" s="48" t="s">
        <v>5</v>
      </c>
      <c r="C35" s="48"/>
      <c r="D35" s="48"/>
      <c r="E35" s="13"/>
      <c r="F35" s="13"/>
      <c r="G35" s="14"/>
      <c r="H35" s="14"/>
      <c r="I35" s="18"/>
      <c r="J35" s="23"/>
    </row>
    <row r="36" spans="1:14" ht="15.75" hidden="1" customHeight="1">
      <c r="A36" s="33">
        <v>6</v>
      </c>
      <c r="B36" s="79" t="s">
        <v>27</v>
      </c>
      <c r="C36" s="80" t="s">
        <v>32</v>
      </c>
      <c r="D36" s="79"/>
      <c r="E36" s="81"/>
      <c r="F36" s="82">
        <v>10</v>
      </c>
      <c r="G36" s="82">
        <v>1527.22</v>
      </c>
      <c r="H36" s="83">
        <f t="shared" ref="H36:H43" si="6">SUM(F36*G36/1000)</f>
        <v>15.272200000000002</v>
      </c>
      <c r="I36" s="13">
        <f>F36/6*G36</f>
        <v>2545.3666666666668</v>
      </c>
      <c r="J36" s="23"/>
    </row>
    <row r="37" spans="1:14" ht="15.75" hidden="1" customHeight="1">
      <c r="A37" s="33">
        <v>7</v>
      </c>
      <c r="B37" s="79" t="s">
        <v>121</v>
      </c>
      <c r="C37" s="80" t="s">
        <v>30</v>
      </c>
      <c r="D37" s="79" t="s">
        <v>122</v>
      </c>
      <c r="E37" s="82">
        <v>495</v>
      </c>
      <c r="F37" s="82">
        <f>SUM(E37*12/1000)</f>
        <v>5.94</v>
      </c>
      <c r="G37" s="82">
        <v>2102.71</v>
      </c>
      <c r="H37" s="83">
        <f t="shared" si="6"/>
        <v>12.4900974</v>
      </c>
      <c r="I37" s="13">
        <f>F37/6*G37</f>
        <v>2081.6829000000002</v>
      </c>
      <c r="J37" s="23"/>
    </row>
    <row r="38" spans="1:14" ht="15.75" hidden="1" customHeight="1">
      <c r="A38" s="33">
        <v>8</v>
      </c>
      <c r="B38" s="79" t="s">
        <v>123</v>
      </c>
      <c r="C38" s="80" t="s">
        <v>30</v>
      </c>
      <c r="D38" s="79" t="s">
        <v>104</v>
      </c>
      <c r="E38" s="81">
        <v>287.83999999999997</v>
      </c>
      <c r="F38" s="82">
        <v>8.64</v>
      </c>
      <c r="G38" s="82">
        <v>2102.71</v>
      </c>
      <c r="H38" s="83">
        <f>G38*F38/1000</f>
        <v>18.167414400000002</v>
      </c>
      <c r="I38" s="13">
        <f>F38/6*G38</f>
        <v>3027.9024000000004</v>
      </c>
      <c r="J38" s="23"/>
    </row>
    <row r="39" spans="1:14" ht="15.75" hidden="1" customHeight="1">
      <c r="A39" s="33">
        <v>7</v>
      </c>
      <c r="B39" s="79" t="s">
        <v>85</v>
      </c>
      <c r="C39" s="80" t="s">
        <v>124</v>
      </c>
      <c r="D39" s="79" t="s">
        <v>65</v>
      </c>
      <c r="E39" s="81"/>
      <c r="F39" s="82">
        <v>80</v>
      </c>
      <c r="G39" s="82">
        <v>199.44</v>
      </c>
      <c r="H39" s="83">
        <f>G39*F39/1000</f>
        <v>15.955200000000001</v>
      </c>
      <c r="I39" s="13">
        <v>0</v>
      </c>
      <c r="J39" s="23"/>
    </row>
    <row r="40" spans="1:14" ht="15.75" hidden="1" customHeight="1">
      <c r="A40" s="33">
        <v>9</v>
      </c>
      <c r="B40" s="79" t="s">
        <v>66</v>
      </c>
      <c r="C40" s="80" t="s">
        <v>30</v>
      </c>
      <c r="D40" s="79" t="s">
        <v>105</v>
      </c>
      <c r="E40" s="82">
        <v>287.83999999999997</v>
      </c>
      <c r="F40" s="82">
        <f>SUM(E40*155/1000)</f>
        <v>44.615199999999994</v>
      </c>
      <c r="G40" s="82">
        <v>350.75</v>
      </c>
      <c r="H40" s="83">
        <f t="shared" si="6"/>
        <v>15.648781399999997</v>
      </c>
      <c r="I40" s="13">
        <f>F40/6*G40</f>
        <v>2608.1302333333329</v>
      </c>
      <c r="J40" s="23"/>
    </row>
    <row r="41" spans="1:14" ht="47.25" hidden="1" customHeight="1">
      <c r="A41" s="33">
        <v>10</v>
      </c>
      <c r="B41" s="79" t="s">
        <v>78</v>
      </c>
      <c r="C41" s="80" t="s">
        <v>100</v>
      </c>
      <c r="D41" s="79" t="s">
        <v>125</v>
      </c>
      <c r="E41" s="82">
        <v>89.43</v>
      </c>
      <c r="F41" s="82">
        <f>SUM(E41*24/1000)</f>
        <v>2.1463200000000002</v>
      </c>
      <c r="G41" s="82">
        <v>5803.28</v>
      </c>
      <c r="H41" s="83">
        <f t="shared" si="6"/>
        <v>12.455695929600001</v>
      </c>
      <c r="I41" s="13">
        <f>F41/6*G41</f>
        <v>2075.9493216000001</v>
      </c>
      <c r="J41" s="23"/>
      <c r="L41" s="19"/>
      <c r="M41" s="20"/>
      <c r="N41" s="21"/>
    </row>
    <row r="42" spans="1:14" ht="15.75" hidden="1" customHeight="1">
      <c r="A42" s="33">
        <v>11</v>
      </c>
      <c r="B42" s="79" t="s">
        <v>106</v>
      </c>
      <c r="C42" s="80" t="s">
        <v>100</v>
      </c>
      <c r="D42" s="79" t="s">
        <v>67</v>
      </c>
      <c r="E42" s="82">
        <v>130.08000000000001</v>
      </c>
      <c r="F42" s="82">
        <f>SUM(E42*45/1000)</f>
        <v>5.8536000000000001</v>
      </c>
      <c r="G42" s="82">
        <v>428.7</v>
      </c>
      <c r="H42" s="83">
        <f t="shared" si="6"/>
        <v>2.5094383200000001</v>
      </c>
      <c r="I42" s="13">
        <f>F42/6*G42</f>
        <v>418.23971999999998</v>
      </c>
      <c r="J42" s="23"/>
      <c r="L42" s="19"/>
      <c r="M42" s="20"/>
      <c r="N42" s="21"/>
    </row>
    <row r="43" spans="1:14" ht="15.75" hidden="1" customHeight="1">
      <c r="A43" s="33">
        <v>12</v>
      </c>
      <c r="B43" s="79" t="s">
        <v>68</v>
      </c>
      <c r="C43" s="80" t="s">
        <v>33</v>
      </c>
      <c r="D43" s="79"/>
      <c r="E43" s="81"/>
      <c r="F43" s="82">
        <v>0.9</v>
      </c>
      <c r="G43" s="82">
        <v>798</v>
      </c>
      <c r="H43" s="83">
        <f t="shared" si="6"/>
        <v>0.71820000000000006</v>
      </c>
      <c r="I43" s="13">
        <f>F43/6*G43</f>
        <v>119.69999999999999</v>
      </c>
      <c r="J43" s="23"/>
      <c r="L43" s="19"/>
      <c r="M43" s="20"/>
      <c r="N43" s="21"/>
    </row>
    <row r="44" spans="1:14" ht="27.75" hidden="1" customHeight="1">
      <c r="A44" s="187">
        <v>10</v>
      </c>
      <c r="B44" s="149" t="s">
        <v>166</v>
      </c>
      <c r="C44" s="150" t="s">
        <v>100</v>
      </c>
      <c r="D44" s="149" t="s">
        <v>187</v>
      </c>
      <c r="E44" s="152">
        <v>0.6</v>
      </c>
      <c r="F44" s="151">
        <v>0.01</v>
      </c>
      <c r="G44" s="151">
        <v>18798.34</v>
      </c>
      <c r="H44" s="94"/>
      <c r="I44" s="188">
        <f>G44*0.6/1000</f>
        <v>11.279003999999999</v>
      </c>
      <c r="J44" s="23"/>
      <c r="L44" s="19"/>
      <c r="M44" s="20"/>
      <c r="N44" s="21"/>
    </row>
    <row r="45" spans="1:14" ht="15.75" hidden="1" customHeight="1">
      <c r="A45" s="238" t="s">
        <v>134</v>
      </c>
      <c r="B45" s="239"/>
      <c r="C45" s="239"/>
      <c r="D45" s="239"/>
      <c r="E45" s="239"/>
      <c r="F45" s="239"/>
      <c r="G45" s="239"/>
      <c r="H45" s="239"/>
      <c r="I45" s="240"/>
      <c r="J45" s="23"/>
      <c r="L45" s="19"/>
      <c r="M45" s="20"/>
      <c r="N45" s="21"/>
    </row>
    <row r="46" spans="1:14" ht="15.75" hidden="1" customHeight="1">
      <c r="A46" s="40">
        <v>9</v>
      </c>
      <c r="B46" s="79" t="s">
        <v>126</v>
      </c>
      <c r="C46" s="80" t="s">
        <v>100</v>
      </c>
      <c r="D46" s="79" t="s">
        <v>41</v>
      </c>
      <c r="E46" s="81">
        <v>1369</v>
      </c>
      <c r="F46" s="82">
        <f>SUM(E46*2/1000)</f>
        <v>2.738</v>
      </c>
      <c r="G46" s="13">
        <v>849.49</v>
      </c>
      <c r="H46" s="83">
        <f t="shared" ref="H46:H54" si="7">SUM(F46*G46/1000)</f>
        <v>2.3259036200000001</v>
      </c>
      <c r="I46" s="13">
        <f t="shared" ref="I46:I48" si="8">F46/2*G46</f>
        <v>1162.95181</v>
      </c>
      <c r="J46" s="23"/>
      <c r="L46" s="19"/>
      <c r="M46" s="20"/>
      <c r="N46" s="21"/>
    </row>
    <row r="47" spans="1:14" ht="15.75" hidden="1" customHeight="1">
      <c r="A47" s="40">
        <v>10</v>
      </c>
      <c r="B47" s="79" t="s">
        <v>34</v>
      </c>
      <c r="C47" s="80" t="s">
        <v>100</v>
      </c>
      <c r="D47" s="79" t="s">
        <v>41</v>
      </c>
      <c r="E47" s="81">
        <v>1418</v>
      </c>
      <c r="F47" s="82">
        <f>SUM(E47*2/1000)</f>
        <v>2.8359999999999999</v>
      </c>
      <c r="G47" s="13">
        <v>579.48</v>
      </c>
      <c r="H47" s="83">
        <f t="shared" si="7"/>
        <v>1.6434052799999999</v>
      </c>
      <c r="I47" s="13">
        <f t="shared" si="8"/>
        <v>821.70263999999997</v>
      </c>
      <c r="J47" s="23"/>
      <c r="L47" s="19"/>
      <c r="M47" s="20"/>
      <c r="N47" s="21"/>
    </row>
    <row r="48" spans="1:14" ht="15.75" hidden="1" customHeight="1">
      <c r="A48" s="40">
        <v>11</v>
      </c>
      <c r="B48" s="79" t="s">
        <v>35</v>
      </c>
      <c r="C48" s="80" t="s">
        <v>100</v>
      </c>
      <c r="D48" s="79" t="s">
        <v>41</v>
      </c>
      <c r="E48" s="81">
        <v>4985.21</v>
      </c>
      <c r="F48" s="82">
        <f>SUM(E48*2/1000)</f>
        <v>9.9704200000000007</v>
      </c>
      <c r="G48" s="13">
        <v>579.48</v>
      </c>
      <c r="H48" s="83">
        <f t="shared" si="7"/>
        <v>5.7776589816000001</v>
      </c>
      <c r="I48" s="13">
        <f t="shared" si="8"/>
        <v>2888.8294908000003</v>
      </c>
      <c r="J48" s="23"/>
      <c r="L48" s="19"/>
      <c r="M48" s="20"/>
      <c r="N48" s="21"/>
    </row>
    <row r="49" spans="1:14" ht="15.75" hidden="1" customHeight="1">
      <c r="A49" s="40">
        <v>12</v>
      </c>
      <c r="B49" s="79" t="s">
        <v>36</v>
      </c>
      <c r="C49" s="80" t="s">
        <v>100</v>
      </c>
      <c r="D49" s="79" t="s">
        <v>41</v>
      </c>
      <c r="E49" s="81">
        <v>2474</v>
      </c>
      <c r="F49" s="82">
        <f>SUM(E49*2/1000)</f>
        <v>4.9480000000000004</v>
      </c>
      <c r="G49" s="13">
        <v>606.77</v>
      </c>
      <c r="H49" s="83">
        <f t="shared" si="7"/>
        <v>3.0022979600000004</v>
      </c>
      <c r="I49" s="13">
        <f>F49/2*G49</f>
        <v>1501.1489800000002</v>
      </c>
      <c r="J49" s="23"/>
      <c r="L49" s="19"/>
      <c r="M49" s="20"/>
      <c r="N49" s="21"/>
    </row>
    <row r="50" spans="1:14" ht="15.75" hidden="1" customHeight="1">
      <c r="A50" s="40">
        <v>13</v>
      </c>
      <c r="B50" s="79" t="s">
        <v>54</v>
      </c>
      <c r="C50" s="80" t="s">
        <v>100</v>
      </c>
      <c r="D50" s="79" t="s">
        <v>138</v>
      </c>
      <c r="E50" s="81">
        <v>1349.3</v>
      </c>
      <c r="F50" s="82">
        <f>SUM(E50*5/1000)</f>
        <v>6.7465000000000002</v>
      </c>
      <c r="G50" s="13">
        <v>1213.55</v>
      </c>
      <c r="H50" s="83">
        <f t="shared" si="7"/>
        <v>8.1872150749999992</v>
      </c>
      <c r="I50" s="13">
        <f>F50/5*G50</f>
        <v>1637.4430149999998</v>
      </c>
      <c r="J50" s="23"/>
      <c r="L50" s="19"/>
      <c r="M50" s="20"/>
      <c r="N50" s="21"/>
    </row>
    <row r="51" spans="1:14" ht="30.75" hidden="1" customHeight="1">
      <c r="A51" s="40">
        <v>9</v>
      </c>
      <c r="B51" s="79" t="s">
        <v>107</v>
      </c>
      <c r="C51" s="80" t="s">
        <v>100</v>
      </c>
      <c r="D51" s="79" t="s">
        <v>41</v>
      </c>
      <c r="E51" s="81">
        <v>1349.3</v>
      </c>
      <c r="F51" s="82">
        <f>SUM(E51*2/1000)</f>
        <v>2.6985999999999999</v>
      </c>
      <c r="G51" s="13">
        <v>1213.55</v>
      </c>
      <c r="H51" s="83">
        <f t="shared" si="7"/>
        <v>3.2748860299999998</v>
      </c>
      <c r="I51" s="13">
        <f>F51/2*G51</f>
        <v>1637.4430149999998</v>
      </c>
      <c r="J51" s="23"/>
      <c r="L51" s="19"/>
      <c r="M51" s="20"/>
      <c r="N51" s="21"/>
    </row>
    <row r="52" spans="1:14" ht="30.75" hidden="1" customHeight="1">
      <c r="A52" s="40">
        <v>10</v>
      </c>
      <c r="B52" s="79" t="s">
        <v>108</v>
      </c>
      <c r="C52" s="80" t="s">
        <v>37</v>
      </c>
      <c r="D52" s="79" t="s">
        <v>41</v>
      </c>
      <c r="E52" s="81">
        <v>40</v>
      </c>
      <c r="F52" s="82">
        <f>SUM(E52*2/100)</f>
        <v>0.8</v>
      </c>
      <c r="G52" s="13">
        <v>2730.49</v>
      </c>
      <c r="H52" s="83">
        <f t="shared" si="7"/>
        <v>2.1843919999999999</v>
      </c>
      <c r="I52" s="13">
        <f t="shared" ref="I52:I53" si="9">F52/2*G52</f>
        <v>1092.1959999999999</v>
      </c>
      <c r="J52" s="23"/>
      <c r="L52" s="19"/>
      <c r="M52" s="20"/>
      <c r="N52" s="21"/>
    </row>
    <row r="53" spans="1:14" ht="15.75" hidden="1" customHeight="1">
      <c r="A53" s="40">
        <v>11</v>
      </c>
      <c r="B53" s="79" t="s">
        <v>38</v>
      </c>
      <c r="C53" s="80" t="s">
        <v>39</v>
      </c>
      <c r="D53" s="79" t="s">
        <v>41</v>
      </c>
      <c r="E53" s="81">
        <v>1</v>
      </c>
      <c r="F53" s="82">
        <v>0.02</v>
      </c>
      <c r="G53" s="13">
        <v>5652.13</v>
      </c>
      <c r="H53" s="83">
        <f t="shared" si="7"/>
        <v>0.11304260000000001</v>
      </c>
      <c r="I53" s="13">
        <f t="shared" si="9"/>
        <v>56.521300000000004</v>
      </c>
      <c r="J53" s="23"/>
      <c r="L53" s="19"/>
      <c r="M53" s="20"/>
      <c r="N53" s="21"/>
    </row>
    <row r="54" spans="1:14" ht="15.75" hidden="1" customHeight="1">
      <c r="A54" s="40">
        <v>12</v>
      </c>
      <c r="B54" s="79" t="s">
        <v>40</v>
      </c>
      <c r="C54" s="80" t="s">
        <v>109</v>
      </c>
      <c r="D54" s="79" t="s">
        <v>69</v>
      </c>
      <c r="E54" s="81">
        <v>238</v>
      </c>
      <c r="F54" s="82">
        <f>SUM(E54)*3</f>
        <v>714</v>
      </c>
      <c r="G54" s="13">
        <v>65.67</v>
      </c>
      <c r="H54" s="83">
        <f t="shared" si="7"/>
        <v>46.888380000000005</v>
      </c>
      <c r="I54" s="13">
        <f>E54*G54</f>
        <v>15629.460000000001</v>
      </c>
      <c r="J54" s="23"/>
      <c r="L54" s="19"/>
      <c r="M54" s="20"/>
      <c r="N54" s="21"/>
    </row>
    <row r="55" spans="1:14" ht="15.75" customHeight="1">
      <c r="A55" s="238" t="s">
        <v>146</v>
      </c>
      <c r="B55" s="239"/>
      <c r="C55" s="239"/>
      <c r="D55" s="239"/>
      <c r="E55" s="239"/>
      <c r="F55" s="239"/>
      <c r="G55" s="239"/>
      <c r="H55" s="239"/>
      <c r="I55" s="240"/>
      <c r="J55" s="23"/>
      <c r="L55" s="19"/>
      <c r="M55" s="20"/>
      <c r="N55" s="21"/>
    </row>
    <row r="56" spans="1:14" ht="15.75" hidden="1" customHeight="1">
      <c r="A56" s="78"/>
      <c r="B56" s="47" t="s">
        <v>42</v>
      </c>
      <c r="C56" s="16"/>
      <c r="D56" s="15"/>
      <c r="E56" s="15"/>
      <c r="F56" s="15"/>
      <c r="G56" s="29"/>
      <c r="H56" s="29"/>
      <c r="I56" s="18"/>
      <c r="J56" s="23"/>
      <c r="L56" s="19"/>
      <c r="M56" s="20"/>
      <c r="N56" s="21"/>
    </row>
    <row r="57" spans="1:14" ht="37.5" hidden="1" customHeight="1">
      <c r="A57" s="40">
        <v>13</v>
      </c>
      <c r="B57" s="79" t="s">
        <v>110</v>
      </c>
      <c r="C57" s="80" t="s">
        <v>87</v>
      </c>
      <c r="D57" s="79" t="s">
        <v>111</v>
      </c>
      <c r="E57" s="81">
        <v>176.9</v>
      </c>
      <c r="F57" s="82">
        <f>SUM(E57*6/100)</f>
        <v>10.614000000000001</v>
      </c>
      <c r="G57" s="13">
        <v>1547.28</v>
      </c>
      <c r="H57" s="83">
        <f>SUM(F57*G57/1000)</f>
        <v>16.422829920000002</v>
      </c>
      <c r="I57" s="13">
        <f>G57*0.0431</f>
        <v>66.687767999999991</v>
      </c>
      <c r="J57" s="23"/>
      <c r="L57" s="19"/>
      <c r="M57" s="20"/>
      <c r="N57" s="21"/>
    </row>
    <row r="58" spans="1:14" ht="20.25" hidden="1" customHeight="1">
      <c r="A58" s="40">
        <v>17</v>
      </c>
      <c r="B58" s="79" t="s">
        <v>127</v>
      </c>
      <c r="C58" s="80" t="s">
        <v>87</v>
      </c>
      <c r="D58" s="79" t="s">
        <v>111</v>
      </c>
      <c r="E58" s="74">
        <v>56</v>
      </c>
      <c r="F58" s="87">
        <v>3.36</v>
      </c>
      <c r="G58" s="82">
        <v>1547.28</v>
      </c>
      <c r="H58" s="83">
        <f>F58*G58/1000</f>
        <v>5.1988607999999994</v>
      </c>
      <c r="I58" s="13">
        <f>F58/6*G58</f>
        <v>866.47679999999991</v>
      </c>
      <c r="J58" s="23"/>
      <c r="L58" s="19"/>
      <c r="M58" s="20"/>
      <c r="N58" s="21"/>
    </row>
    <row r="59" spans="1:14" ht="20.25" hidden="1" customHeight="1">
      <c r="A59" s="40"/>
      <c r="B59" s="79" t="s">
        <v>128</v>
      </c>
      <c r="C59" s="80" t="s">
        <v>129</v>
      </c>
      <c r="D59" s="79" t="s">
        <v>41</v>
      </c>
      <c r="E59" s="88">
        <v>8</v>
      </c>
      <c r="F59" s="13">
        <v>16</v>
      </c>
      <c r="G59" s="82">
        <v>180.78</v>
      </c>
      <c r="H59" s="83">
        <f>SUM(F59*G59/1000)</f>
        <v>2.8924799999999999</v>
      </c>
      <c r="I59" s="13">
        <v>0</v>
      </c>
      <c r="J59" s="23"/>
      <c r="L59" s="19"/>
      <c r="M59" s="20"/>
      <c r="N59" s="21"/>
    </row>
    <row r="60" spans="1:14" ht="15.75" customHeight="1">
      <c r="A60" s="40"/>
      <c r="B60" s="73" t="s">
        <v>43</v>
      </c>
      <c r="C60" s="73"/>
      <c r="D60" s="73"/>
      <c r="E60" s="73"/>
      <c r="F60" s="73"/>
      <c r="G60" s="73"/>
      <c r="H60" s="73"/>
      <c r="I60" s="35"/>
      <c r="J60" s="23"/>
      <c r="L60" s="19"/>
      <c r="M60" s="20"/>
      <c r="N60" s="21"/>
    </row>
    <row r="61" spans="1:14" ht="15.75" hidden="1" customHeight="1">
      <c r="A61" s="40">
        <v>27</v>
      </c>
      <c r="B61" s="79" t="s">
        <v>139</v>
      </c>
      <c r="C61" s="80"/>
      <c r="D61" s="79" t="s">
        <v>52</v>
      </c>
      <c r="E61" s="81">
        <v>1349.3</v>
      </c>
      <c r="F61" s="83">
        <v>13.493</v>
      </c>
      <c r="G61" s="13">
        <v>793.61</v>
      </c>
      <c r="H61" s="89">
        <f>F61*G61/1000</f>
        <v>10.708179729999999</v>
      </c>
      <c r="I61" s="13">
        <v>0</v>
      </c>
      <c r="J61" s="23"/>
      <c r="L61" s="19"/>
      <c r="M61" s="20"/>
      <c r="N61" s="21"/>
    </row>
    <row r="62" spans="1:14" ht="15.75" customHeight="1">
      <c r="A62" s="40">
        <v>8</v>
      </c>
      <c r="B62" s="90" t="s">
        <v>86</v>
      </c>
      <c r="C62" s="91" t="s">
        <v>26</v>
      </c>
      <c r="D62" s="90"/>
      <c r="E62" s="92">
        <v>270</v>
      </c>
      <c r="F62" s="93">
        <v>2400</v>
      </c>
      <c r="G62" s="94">
        <v>1.4</v>
      </c>
      <c r="H62" s="95">
        <f>F62*G62</f>
        <v>3360</v>
      </c>
      <c r="I62" s="13">
        <f>F62/12*G62</f>
        <v>280</v>
      </c>
      <c r="J62" s="23"/>
      <c r="L62" s="19"/>
      <c r="M62" s="20"/>
      <c r="N62" s="21"/>
    </row>
    <row r="63" spans="1:14" ht="15.75" hidden="1" customHeight="1">
      <c r="A63" s="40"/>
      <c r="B63" s="73" t="s">
        <v>44</v>
      </c>
      <c r="C63" s="16"/>
      <c r="D63" s="37"/>
      <c r="E63" s="15"/>
      <c r="F63" s="15"/>
      <c r="G63" s="29"/>
      <c r="H63" s="29"/>
      <c r="I63" s="18"/>
      <c r="J63" s="23"/>
      <c r="L63" s="19"/>
    </row>
    <row r="64" spans="1:14" ht="15.75" hidden="1" customHeight="1">
      <c r="A64" s="40">
        <v>11</v>
      </c>
      <c r="B64" s="145" t="s">
        <v>45</v>
      </c>
      <c r="C64" s="38" t="s">
        <v>109</v>
      </c>
      <c r="D64" s="37" t="s">
        <v>193</v>
      </c>
      <c r="E64" s="17">
        <v>40</v>
      </c>
      <c r="F64" s="134">
        <f>E64</f>
        <v>40</v>
      </c>
      <c r="G64" s="36">
        <v>303.35000000000002</v>
      </c>
      <c r="H64" s="97">
        <f t="shared" ref="H64:H71" si="10">SUM(F64*G64/1000)</f>
        <v>12.134</v>
      </c>
      <c r="I64" s="13">
        <f>G64*9</f>
        <v>2730.15</v>
      </c>
    </row>
    <row r="65" spans="1:22" ht="15.75" hidden="1" customHeight="1">
      <c r="A65" s="29">
        <v>29</v>
      </c>
      <c r="B65" s="96" t="s">
        <v>46</v>
      </c>
      <c r="C65" s="16" t="s">
        <v>109</v>
      </c>
      <c r="D65" s="96" t="s">
        <v>65</v>
      </c>
      <c r="E65" s="18">
        <v>20</v>
      </c>
      <c r="F65" s="82">
        <v>20</v>
      </c>
      <c r="G65" s="13">
        <v>76.25</v>
      </c>
      <c r="H65" s="97">
        <f t="shared" si="10"/>
        <v>1.5249999999999999</v>
      </c>
      <c r="I65" s="13">
        <v>0</v>
      </c>
    </row>
    <row r="66" spans="1:22" ht="15.75" hidden="1" customHeight="1">
      <c r="A66" s="29">
        <v>25</v>
      </c>
      <c r="B66" s="96" t="s">
        <v>47</v>
      </c>
      <c r="C66" s="16" t="s">
        <v>112</v>
      </c>
      <c r="D66" s="96" t="s">
        <v>52</v>
      </c>
      <c r="E66" s="81">
        <v>18890</v>
      </c>
      <c r="F66" s="13">
        <f>SUM(E66/100)</f>
        <v>188.9</v>
      </c>
      <c r="G66" s="13">
        <v>212.15</v>
      </c>
      <c r="H66" s="97">
        <f t="shared" si="10"/>
        <v>40.075135000000003</v>
      </c>
      <c r="I66" s="13">
        <f>F66*G66</f>
        <v>40075.135000000002</v>
      </c>
    </row>
    <row r="67" spans="1:22" ht="15.75" hidden="1" customHeight="1">
      <c r="A67" s="29">
        <v>26</v>
      </c>
      <c r="B67" s="96" t="s">
        <v>48</v>
      </c>
      <c r="C67" s="16" t="s">
        <v>113</v>
      </c>
      <c r="D67" s="96"/>
      <c r="E67" s="81">
        <v>18890</v>
      </c>
      <c r="F67" s="13">
        <f>SUM(E67/1000)</f>
        <v>18.89</v>
      </c>
      <c r="G67" s="13">
        <v>165.21</v>
      </c>
      <c r="H67" s="97">
        <f t="shared" si="10"/>
        <v>3.1208169000000003</v>
      </c>
      <c r="I67" s="13">
        <f t="shared" ref="I67:I70" si="11">F67*G67</f>
        <v>3120.8169000000003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9"/>
    </row>
    <row r="68" spans="1:22" ht="15.75" hidden="1" customHeight="1">
      <c r="A68" s="29">
        <v>27</v>
      </c>
      <c r="B68" s="96" t="s">
        <v>49</v>
      </c>
      <c r="C68" s="16" t="s">
        <v>75</v>
      </c>
      <c r="D68" s="96" t="s">
        <v>52</v>
      </c>
      <c r="E68" s="81">
        <v>3004</v>
      </c>
      <c r="F68" s="13">
        <f>SUM(E68/100)</f>
        <v>30.04</v>
      </c>
      <c r="G68" s="13">
        <v>2074.63</v>
      </c>
      <c r="H68" s="97">
        <f t="shared" si="10"/>
        <v>62.321885200000004</v>
      </c>
      <c r="I68" s="13">
        <f t="shared" si="11"/>
        <v>62321.885200000004</v>
      </c>
      <c r="J68" s="25"/>
      <c r="K68" s="25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2" ht="15.75" hidden="1" customHeight="1">
      <c r="A69" s="29">
        <v>28</v>
      </c>
      <c r="B69" s="98" t="s">
        <v>114</v>
      </c>
      <c r="C69" s="16" t="s">
        <v>33</v>
      </c>
      <c r="D69" s="96"/>
      <c r="E69" s="81">
        <v>15.8</v>
      </c>
      <c r="F69" s="13">
        <f>SUM(E69)</f>
        <v>15.8</v>
      </c>
      <c r="G69" s="13">
        <v>42.67</v>
      </c>
      <c r="H69" s="97">
        <f t="shared" si="10"/>
        <v>0.67418600000000006</v>
      </c>
      <c r="I69" s="13">
        <f t="shared" si="11"/>
        <v>674.18600000000004</v>
      </c>
      <c r="J69" s="3"/>
      <c r="K69" s="3"/>
      <c r="L69" s="3"/>
      <c r="M69" s="3"/>
      <c r="N69" s="3"/>
      <c r="O69" s="3"/>
      <c r="P69" s="3"/>
      <c r="Q69" s="3"/>
      <c r="S69" s="3"/>
      <c r="T69" s="3"/>
      <c r="U69" s="3"/>
    </row>
    <row r="70" spans="1:22" ht="15.75" hidden="1" customHeight="1">
      <c r="A70" s="29">
        <v>29</v>
      </c>
      <c r="B70" s="98" t="s">
        <v>115</v>
      </c>
      <c r="C70" s="16" t="s">
        <v>33</v>
      </c>
      <c r="D70" s="96"/>
      <c r="E70" s="81">
        <v>15.8</v>
      </c>
      <c r="F70" s="13">
        <f>SUM(E70)</f>
        <v>15.8</v>
      </c>
      <c r="G70" s="13">
        <v>39.81</v>
      </c>
      <c r="H70" s="97">
        <f t="shared" si="10"/>
        <v>0.62899800000000006</v>
      </c>
      <c r="I70" s="13">
        <f t="shared" si="11"/>
        <v>628.99800000000005</v>
      </c>
      <c r="J70" s="5"/>
      <c r="K70" s="5"/>
      <c r="L70" s="5"/>
      <c r="M70" s="5"/>
      <c r="N70" s="5"/>
      <c r="O70" s="5"/>
      <c r="P70" s="5"/>
      <c r="Q70" s="5"/>
      <c r="R70" s="213"/>
      <c r="S70" s="213"/>
      <c r="T70" s="213"/>
      <c r="U70" s="213"/>
    </row>
    <row r="71" spans="1:22" ht="15.75" hidden="1" customHeight="1">
      <c r="A71" s="29">
        <v>16</v>
      </c>
      <c r="B71" s="96" t="s">
        <v>55</v>
      </c>
      <c r="C71" s="16" t="s">
        <v>56</v>
      </c>
      <c r="D71" s="96" t="s">
        <v>52</v>
      </c>
      <c r="E71" s="18">
        <v>15</v>
      </c>
      <c r="F71" s="82">
        <v>15</v>
      </c>
      <c r="G71" s="13">
        <v>49.88</v>
      </c>
      <c r="H71" s="97">
        <f t="shared" si="10"/>
        <v>0.74820000000000009</v>
      </c>
      <c r="I71" s="13">
        <f>G71*15</f>
        <v>748.2</v>
      </c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2" ht="15.75" hidden="1" customHeight="1">
      <c r="A72" s="78"/>
      <c r="B72" s="73" t="s">
        <v>116</v>
      </c>
      <c r="C72" s="73"/>
      <c r="D72" s="73"/>
      <c r="E72" s="73"/>
      <c r="F72" s="73"/>
      <c r="G72" s="73"/>
      <c r="H72" s="73"/>
      <c r="I72" s="18"/>
    </row>
    <row r="73" spans="1:22" ht="15.75" hidden="1" customHeight="1">
      <c r="A73" s="29">
        <v>11</v>
      </c>
      <c r="B73" s="90" t="s">
        <v>117</v>
      </c>
      <c r="C73" s="16"/>
      <c r="D73" s="96"/>
      <c r="E73" s="74"/>
      <c r="F73" s="13">
        <v>1</v>
      </c>
      <c r="G73" s="13">
        <v>27865.200000000001</v>
      </c>
      <c r="H73" s="97">
        <f>G73*F73/1000</f>
        <v>27.865200000000002</v>
      </c>
      <c r="I73" s="13">
        <f>G73</f>
        <v>27865.200000000001</v>
      </c>
    </row>
    <row r="74" spans="1:22" ht="15.75" customHeight="1">
      <c r="A74" s="29"/>
      <c r="B74" s="156" t="s">
        <v>168</v>
      </c>
      <c r="C74" s="38"/>
      <c r="D74" s="37"/>
      <c r="E74" s="17"/>
      <c r="F74" s="112"/>
      <c r="G74" s="36"/>
      <c r="H74" s="97"/>
      <c r="I74" s="13"/>
    </row>
    <row r="75" spans="1:22" ht="33" customHeight="1">
      <c r="A75" s="29">
        <v>9</v>
      </c>
      <c r="B75" s="37" t="s">
        <v>169</v>
      </c>
      <c r="C75" s="40" t="s">
        <v>170</v>
      </c>
      <c r="D75" s="37"/>
      <c r="E75" s="17">
        <v>5162.6000000000004</v>
      </c>
      <c r="F75" s="36">
        <f>E75*12</f>
        <v>61951.200000000004</v>
      </c>
      <c r="G75" s="36">
        <v>2.37</v>
      </c>
      <c r="H75" s="97"/>
      <c r="I75" s="13">
        <f>G75*F75/12</f>
        <v>12235.362000000001</v>
      </c>
    </row>
    <row r="76" spans="1:22" ht="15.75" customHeight="1">
      <c r="A76" s="29"/>
      <c r="B76" s="48" t="s">
        <v>70</v>
      </c>
      <c r="C76" s="48"/>
      <c r="D76" s="48"/>
      <c r="E76" s="18"/>
      <c r="F76" s="18"/>
      <c r="G76" s="29"/>
      <c r="H76" s="29"/>
      <c r="I76" s="18"/>
    </row>
    <row r="77" spans="1:22" ht="33" hidden="1" customHeight="1">
      <c r="A77" s="29">
        <v>13</v>
      </c>
      <c r="B77" s="37" t="s">
        <v>176</v>
      </c>
      <c r="C77" s="38" t="s">
        <v>109</v>
      </c>
      <c r="D77" s="37" t="s">
        <v>218</v>
      </c>
      <c r="E77" s="17">
        <v>2</v>
      </c>
      <c r="F77" s="36">
        <f>E77</f>
        <v>2</v>
      </c>
      <c r="G77" s="36">
        <v>2112.2800000000002</v>
      </c>
      <c r="H77" s="174"/>
      <c r="I77" s="18">
        <f>G77*1</f>
        <v>2112.2800000000002</v>
      </c>
    </row>
    <row r="78" spans="1:22" ht="15.75" hidden="1" customHeight="1">
      <c r="A78" s="29">
        <v>14</v>
      </c>
      <c r="B78" s="37" t="s">
        <v>71</v>
      </c>
      <c r="C78" s="38" t="s">
        <v>73</v>
      </c>
      <c r="D78" s="37" t="s">
        <v>189</v>
      </c>
      <c r="E78" s="17">
        <v>8</v>
      </c>
      <c r="F78" s="36">
        <f>E78/10</f>
        <v>0.8</v>
      </c>
      <c r="G78" s="36">
        <v>684.19</v>
      </c>
      <c r="H78" s="97">
        <f t="shared" ref="H78:H82" si="12">SUM(F78*G78/1000)</f>
        <v>0.54735200000000006</v>
      </c>
      <c r="I78" s="13">
        <f>G78*0.3</f>
        <v>205.25700000000001</v>
      </c>
    </row>
    <row r="79" spans="1:22" ht="15.75" hidden="1" customHeight="1">
      <c r="A79" s="29"/>
      <c r="B79" s="96" t="s">
        <v>130</v>
      </c>
      <c r="C79" s="16" t="s">
        <v>31</v>
      </c>
      <c r="D79" s="96"/>
      <c r="E79" s="18">
        <v>1</v>
      </c>
      <c r="F79" s="13">
        <v>1</v>
      </c>
      <c r="G79" s="13">
        <v>99.85</v>
      </c>
      <c r="H79" s="97">
        <f>F79*G79/1000</f>
        <v>9.9849999999999994E-2</v>
      </c>
      <c r="I79" s="13">
        <v>0</v>
      </c>
    </row>
    <row r="80" spans="1:22" ht="15.75" hidden="1" customHeight="1">
      <c r="A80" s="29"/>
      <c r="B80" s="96" t="s">
        <v>131</v>
      </c>
      <c r="C80" s="16" t="s">
        <v>31</v>
      </c>
      <c r="D80" s="96"/>
      <c r="E80" s="18">
        <v>1</v>
      </c>
      <c r="F80" s="13">
        <v>1</v>
      </c>
      <c r="G80" s="13">
        <v>120.26</v>
      </c>
      <c r="H80" s="97">
        <f>F80*G80/1000</f>
        <v>0.12026000000000001</v>
      </c>
      <c r="I80" s="13">
        <v>0</v>
      </c>
    </row>
    <row r="81" spans="1:9" ht="15.75" hidden="1" customHeight="1">
      <c r="A81" s="29">
        <v>19</v>
      </c>
      <c r="B81" s="96" t="s">
        <v>72</v>
      </c>
      <c r="C81" s="16" t="s">
        <v>31</v>
      </c>
      <c r="D81" s="96"/>
      <c r="E81" s="18">
        <v>2</v>
      </c>
      <c r="F81" s="94">
        <v>2</v>
      </c>
      <c r="G81" s="13">
        <v>852.99</v>
      </c>
      <c r="H81" s="97">
        <f>F81*G81/1000</f>
        <v>1.7059800000000001</v>
      </c>
      <c r="I81" s="13">
        <f>G81</f>
        <v>852.99</v>
      </c>
    </row>
    <row r="82" spans="1:9" ht="15.75" hidden="1" customHeight="1">
      <c r="A82" s="29">
        <v>10</v>
      </c>
      <c r="B82" s="96" t="s">
        <v>82</v>
      </c>
      <c r="C82" s="16" t="s">
        <v>109</v>
      </c>
      <c r="D82" s="96"/>
      <c r="E82" s="18">
        <v>1</v>
      </c>
      <c r="F82" s="82">
        <f>SUM(E82)</f>
        <v>1</v>
      </c>
      <c r="G82" s="13">
        <v>358.51</v>
      </c>
      <c r="H82" s="97">
        <f t="shared" si="12"/>
        <v>0.35851</v>
      </c>
      <c r="I82" s="13">
        <f>G82</f>
        <v>358.51</v>
      </c>
    </row>
    <row r="83" spans="1:9" ht="15.75" customHeight="1">
      <c r="A83" s="29">
        <v>10</v>
      </c>
      <c r="B83" s="37" t="s">
        <v>171</v>
      </c>
      <c r="C83" s="38" t="s">
        <v>109</v>
      </c>
      <c r="D83" s="37" t="s">
        <v>181</v>
      </c>
      <c r="E83" s="17">
        <v>1</v>
      </c>
      <c r="F83" s="36">
        <f>E83*12</f>
        <v>12</v>
      </c>
      <c r="G83" s="36">
        <v>55.55</v>
      </c>
      <c r="H83" s="97"/>
      <c r="I83" s="13">
        <f>G83*1</f>
        <v>55.55</v>
      </c>
    </row>
    <row r="84" spans="1:9" ht="15.75" hidden="1" customHeight="1">
      <c r="A84" s="29"/>
      <c r="B84" s="96"/>
      <c r="C84" s="16"/>
      <c r="D84" s="96"/>
      <c r="E84" s="18"/>
      <c r="F84" s="94"/>
      <c r="G84" s="13"/>
      <c r="H84" s="97"/>
      <c r="I84" s="13"/>
    </row>
    <row r="85" spans="1:9" ht="15.75" hidden="1" customHeight="1">
      <c r="A85" s="29"/>
      <c r="B85" s="49" t="s">
        <v>74</v>
      </c>
      <c r="C85" s="38"/>
      <c r="D85" s="29"/>
      <c r="E85" s="18"/>
      <c r="F85" s="18"/>
      <c r="G85" s="36"/>
      <c r="H85" s="36"/>
      <c r="I85" s="18"/>
    </row>
    <row r="86" spans="1:9" ht="15.75" hidden="1" customHeight="1">
      <c r="A86" s="29">
        <v>39</v>
      </c>
      <c r="B86" s="51" t="s">
        <v>118</v>
      </c>
      <c r="C86" s="16" t="s">
        <v>75</v>
      </c>
      <c r="D86" s="96"/>
      <c r="E86" s="18"/>
      <c r="F86" s="13">
        <v>1.35</v>
      </c>
      <c r="G86" s="13">
        <v>2759.44</v>
      </c>
      <c r="H86" s="97">
        <f t="shared" ref="H86" si="13">SUM(F86*G86/1000)</f>
        <v>3.725244</v>
      </c>
      <c r="I86" s="13">
        <v>0</v>
      </c>
    </row>
    <row r="87" spans="1:9" ht="15.75" hidden="1" customHeight="1">
      <c r="A87" s="122"/>
      <c r="B87" s="181"/>
      <c r="C87" s="182"/>
      <c r="D87" s="183"/>
      <c r="E87" s="184"/>
      <c r="F87" s="185"/>
      <c r="G87" s="185"/>
      <c r="H87" s="185"/>
      <c r="I87" s="186"/>
    </row>
    <row r="88" spans="1:9" ht="15.75" customHeight="1">
      <c r="A88" s="222" t="s">
        <v>147</v>
      </c>
      <c r="B88" s="223"/>
      <c r="C88" s="223"/>
      <c r="D88" s="223"/>
      <c r="E88" s="223"/>
      <c r="F88" s="223"/>
      <c r="G88" s="223"/>
      <c r="H88" s="223"/>
      <c r="I88" s="224"/>
    </row>
    <row r="89" spans="1:9" ht="15.75" customHeight="1">
      <c r="A89" s="29">
        <v>11</v>
      </c>
      <c r="B89" s="32" t="s">
        <v>119</v>
      </c>
      <c r="C89" s="38" t="s">
        <v>53</v>
      </c>
      <c r="D89" s="62"/>
      <c r="E89" s="36">
        <v>5162.6000000000004</v>
      </c>
      <c r="F89" s="36">
        <f>SUM(E89*12)</f>
        <v>61951.200000000004</v>
      </c>
      <c r="G89" s="36">
        <v>3.22</v>
      </c>
      <c r="H89" s="99">
        <f>SUM(F89*G89/1000)</f>
        <v>199.48286400000003</v>
      </c>
      <c r="I89" s="13">
        <f>F89/12*G89</f>
        <v>16623.572000000004</v>
      </c>
    </row>
    <row r="90" spans="1:9" ht="31.5" customHeight="1">
      <c r="A90" s="29">
        <v>12</v>
      </c>
      <c r="B90" s="37" t="s">
        <v>172</v>
      </c>
      <c r="C90" s="109" t="s">
        <v>173</v>
      </c>
      <c r="D90" s="37"/>
      <c r="E90" s="17">
        <v>5162.6000000000004</v>
      </c>
      <c r="F90" s="36">
        <f>E90*12</f>
        <v>61951.200000000004</v>
      </c>
      <c r="G90" s="36">
        <v>3.64</v>
      </c>
      <c r="H90" s="97">
        <f>F90*G90/1000</f>
        <v>225.50236800000002</v>
      </c>
      <c r="I90" s="13">
        <f>F90/12*G90</f>
        <v>18791.864000000001</v>
      </c>
    </row>
    <row r="91" spans="1:9" ht="15.75" customHeight="1">
      <c r="A91" s="78"/>
      <c r="B91" s="39" t="s">
        <v>77</v>
      </c>
      <c r="C91" s="40"/>
      <c r="D91" s="15"/>
      <c r="E91" s="15"/>
      <c r="F91" s="15"/>
      <c r="G91" s="18"/>
      <c r="H91" s="18"/>
      <c r="I91" s="31">
        <f>I90+I89+I83+I75+I62+I31+I30+I21+I20+I18+I17+I16</f>
        <v>75226.812451599995</v>
      </c>
    </row>
    <row r="92" spans="1:9" ht="15.75" customHeight="1">
      <c r="A92" s="225" t="s">
        <v>58</v>
      </c>
      <c r="B92" s="226"/>
      <c r="C92" s="226"/>
      <c r="D92" s="226"/>
      <c r="E92" s="226"/>
      <c r="F92" s="226"/>
      <c r="G92" s="226"/>
      <c r="H92" s="226"/>
      <c r="I92" s="227"/>
    </row>
    <row r="93" spans="1:9" ht="16.5" customHeight="1">
      <c r="A93" s="29">
        <v>13</v>
      </c>
      <c r="B93" s="63" t="s">
        <v>226</v>
      </c>
      <c r="C93" s="64" t="s">
        <v>159</v>
      </c>
      <c r="D93" s="34" t="s">
        <v>309</v>
      </c>
      <c r="E93" s="34"/>
      <c r="F93" s="192">
        <v>27</v>
      </c>
      <c r="G93" s="192">
        <v>295.36</v>
      </c>
      <c r="H93" s="99"/>
      <c r="I93" s="13">
        <v>0</v>
      </c>
    </row>
    <row r="94" spans="1:9" ht="17.25" customHeight="1">
      <c r="A94" s="29">
        <v>14</v>
      </c>
      <c r="B94" s="63" t="s">
        <v>140</v>
      </c>
      <c r="C94" s="64" t="s">
        <v>79</v>
      </c>
      <c r="D94" s="193" t="s">
        <v>355</v>
      </c>
      <c r="E94" s="34"/>
      <c r="F94" s="192">
        <v>4</v>
      </c>
      <c r="G94" s="192">
        <v>231.54</v>
      </c>
      <c r="H94" s="99"/>
      <c r="I94" s="13">
        <f>G94*1</f>
        <v>231.54</v>
      </c>
    </row>
    <row r="95" spans="1:9" ht="28.5" customHeight="1">
      <c r="A95" s="29">
        <v>15</v>
      </c>
      <c r="B95" s="63" t="s">
        <v>203</v>
      </c>
      <c r="C95" s="64" t="s">
        <v>159</v>
      </c>
      <c r="D95" s="202" t="s">
        <v>357</v>
      </c>
      <c r="E95" s="34"/>
      <c r="F95" s="192">
        <v>10</v>
      </c>
      <c r="G95" s="192">
        <v>1478.55</v>
      </c>
      <c r="H95" s="99"/>
      <c r="I95" s="13">
        <f>G95*4</f>
        <v>5914.2</v>
      </c>
    </row>
    <row r="96" spans="1:9" ht="17.25" customHeight="1">
      <c r="A96" s="29">
        <v>16</v>
      </c>
      <c r="B96" s="155" t="s">
        <v>350</v>
      </c>
      <c r="C96" s="100" t="s">
        <v>73</v>
      </c>
      <c r="D96" s="34" t="s">
        <v>197</v>
      </c>
      <c r="E96" s="34"/>
      <c r="F96" s="192">
        <v>0.1</v>
      </c>
      <c r="G96" s="192">
        <v>4844.76</v>
      </c>
      <c r="H96" s="99"/>
      <c r="I96" s="13">
        <f>G96*0.1</f>
        <v>484.47600000000006</v>
      </c>
    </row>
    <row r="97" spans="1:9" ht="16.5" customHeight="1">
      <c r="A97" s="29">
        <v>17</v>
      </c>
      <c r="B97" s="155" t="s">
        <v>351</v>
      </c>
      <c r="C97" s="100" t="s">
        <v>109</v>
      </c>
      <c r="D97" s="34" t="s">
        <v>358</v>
      </c>
      <c r="E97" s="34"/>
      <c r="F97" s="192">
        <v>2</v>
      </c>
      <c r="G97" s="192">
        <v>149.94</v>
      </c>
      <c r="H97" s="99"/>
      <c r="I97" s="13">
        <f>G97*2</f>
        <v>299.88</v>
      </c>
    </row>
    <row r="98" spans="1:9" ht="17.25" customHeight="1">
      <c r="A98" s="29">
        <v>18</v>
      </c>
      <c r="B98" s="63" t="s">
        <v>38</v>
      </c>
      <c r="C98" s="64" t="s">
        <v>352</v>
      </c>
      <c r="D98" s="34" t="s">
        <v>187</v>
      </c>
      <c r="E98" s="34"/>
      <c r="F98" s="192">
        <v>0.01</v>
      </c>
      <c r="G98" s="192">
        <v>8763.7900000000009</v>
      </c>
      <c r="H98" s="99"/>
      <c r="I98" s="13">
        <v>0</v>
      </c>
    </row>
    <row r="99" spans="1:9" ht="45.75" customHeight="1">
      <c r="A99" s="29">
        <v>19</v>
      </c>
      <c r="B99" s="63" t="s">
        <v>353</v>
      </c>
      <c r="C99" s="64" t="s">
        <v>190</v>
      </c>
      <c r="D99" s="203" t="s">
        <v>356</v>
      </c>
      <c r="E99" s="34"/>
      <c r="F99" s="192">
        <v>0.1</v>
      </c>
      <c r="G99" s="192">
        <v>12149.78</v>
      </c>
      <c r="H99" s="99"/>
      <c r="I99" s="13">
        <f>G99*0.1</f>
        <v>1214.9780000000001</v>
      </c>
    </row>
    <row r="100" spans="1:9" ht="20.25" customHeight="1">
      <c r="A100" s="29">
        <v>20</v>
      </c>
      <c r="B100" s="32" t="s">
        <v>95</v>
      </c>
      <c r="C100" s="133" t="s">
        <v>51</v>
      </c>
      <c r="D100" s="193" t="s">
        <v>354</v>
      </c>
      <c r="E100" s="34"/>
      <c r="F100" s="192">
        <v>1.02</v>
      </c>
      <c r="G100" s="192">
        <v>417.5</v>
      </c>
      <c r="H100" s="99"/>
      <c r="I100" s="13">
        <f>G100*1.02</f>
        <v>425.85</v>
      </c>
    </row>
    <row r="101" spans="1:9" ht="15.75" customHeight="1">
      <c r="A101" s="29"/>
      <c r="B101" s="45" t="s">
        <v>50</v>
      </c>
      <c r="C101" s="41"/>
      <c r="D101" s="53"/>
      <c r="E101" s="41">
        <v>1</v>
      </c>
      <c r="F101" s="41"/>
      <c r="G101" s="41"/>
      <c r="H101" s="41"/>
      <c r="I101" s="31">
        <f>SUM(I93:I100)</f>
        <v>8570.9239999999991</v>
      </c>
    </row>
    <row r="102" spans="1:9" ht="15.75" customHeight="1">
      <c r="A102" s="29"/>
      <c r="B102" s="51" t="s">
        <v>76</v>
      </c>
      <c r="C102" s="15"/>
      <c r="D102" s="15"/>
      <c r="E102" s="42"/>
      <c r="F102" s="42"/>
      <c r="G102" s="43"/>
      <c r="H102" s="43"/>
      <c r="I102" s="17">
        <v>0</v>
      </c>
    </row>
    <row r="103" spans="1:9" ht="15.75" customHeight="1">
      <c r="A103" s="54"/>
      <c r="B103" s="46" t="s">
        <v>141</v>
      </c>
      <c r="C103" s="34"/>
      <c r="D103" s="34"/>
      <c r="E103" s="34"/>
      <c r="F103" s="34"/>
      <c r="G103" s="34"/>
      <c r="H103" s="34"/>
      <c r="I103" s="44">
        <f>I91+I101</f>
        <v>83797.736451599994</v>
      </c>
    </row>
    <row r="104" spans="1:9" ht="15.75">
      <c r="A104" s="219" t="s">
        <v>359</v>
      </c>
      <c r="B104" s="219"/>
      <c r="C104" s="219"/>
      <c r="D104" s="219"/>
      <c r="E104" s="219"/>
      <c r="F104" s="219"/>
      <c r="G104" s="219"/>
      <c r="H104" s="219"/>
      <c r="I104" s="219"/>
    </row>
    <row r="105" spans="1:9" ht="15.75">
      <c r="A105" s="60"/>
      <c r="B105" s="220" t="s">
        <v>360</v>
      </c>
      <c r="C105" s="220"/>
      <c r="D105" s="220"/>
      <c r="E105" s="220"/>
      <c r="F105" s="220"/>
      <c r="G105" s="220"/>
      <c r="H105" s="77"/>
      <c r="I105" s="3"/>
    </row>
    <row r="106" spans="1:9">
      <c r="A106" s="71"/>
      <c r="B106" s="218" t="s">
        <v>6</v>
      </c>
      <c r="C106" s="218"/>
      <c r="D106" s="218"/>
      <c r="E106" s="218"/>
      <c r="F106" s="218"/>
      <c r="G106" s="218"/>
      <c r="H106" s="24"/>
      <c r="I106" s="5"/>
    </row>
    <row r="107" spans="1:9">
      <c r="A107" s="10"/>
      <c r="B107" s="10"/>
      <c r="C107" s="10"/>
      <c r="D107" s="10"/>
      <c r="E107" s="10"/>
      <c r="F107" s="10"/>
      <c r="G107" s="10"/>
      <c r="H107" s="10"/>
      <c r="I107" s="10"/>
    </row>
    <row r="108" spans="1:9" ht="15.75">
      <c r="A108" s="221" t="s">
        <v>7</v>
      </c>
      <c r="B108" s="221"/>
      <c r="C108" s="221"/>
      <c r="D108" s="221"/>
      <c r="E108" s="221"/>
      <c r="F108" s="221"/>
      <c r="G108" s="221"/>
      <c r="H108" s="221"/>
      <c r="I108" s="221"/>
    </row>
    <row r="109" spans="1:9" ht="15.75">
      <c r="A109" s="221" t="s">
        <v>8</v>
      </c>
      <c r="B109" s="221"/>
      <c r="C109" s="221"/>
      <c r="D109" s="221"/>
      <c r="E109" s="221"/>
      <c r="F109" s="221"/>
      <c r="G109" s="221"/>
      <c r="H109" s="221"/>
      <c r="I109" s="221"/>
    </row>
    <row r="110" spans="1:9" ht="15.75">
      <c r="A110" s="215" t="s">
        <v>59</v>
      </c>
      <c r="B110" s="215"/>
      <c r="C110" s="215"/>
      <c r="D110" s="215"/>
      <c r="E110" s="215"/>
      <c r="F110" s="215"/>
      <c r="G110" s="215"/>
      <c r="H110" s="215"/>
      <c r="I110" s="215"/>
    </row>
    <row r="111" spans="1:9" ht="15.75">
      <c r="A111" s="11"/>
    </row>
    <row r="112" spans="1:9" ht="15.75">
      <c r="A112" s="216" t="s">
        <v>9</v>
      </c>
      <c r="B112" s="216"/>
      <c r="C112" s="216"/>
      <c r="D112" s="216"/>
      <c r="E112" s="216"/>
      <c r="F112" s="216"/>
      <c r="G112" s="216"/>
      <c r="H112" s="216"/>
      <c r="I112" s="216"/>
    </row>
    <row r="113" spans="1:9" ht="15.75">
      <c r="A113" s="4"/>
    </row>
    <row r="114" spans="1:9" ht="15.75">
      <c r="B114" s="69" t="s">
        <v>10</v>
      </c>
      <c r="C114" s="217" t="s">
        <v>219</v>
      </c>
      <c r="D114" s="217"/>
      <c r="E114" s="217"/>
      <c r="F114" s="75"/>
      <c r="I114" s="70"/>
    </row>
    <row r="115" spans="1:9">
      <c r="A115" s="71"/>
      <c r="C115" s="218" t="s">
        <v>11</v>
      </c>
      <c r="D115" s="218"/>
      <c r="E115" s="218"/>
      <c r="F115" s="24"/>
      <c r="I115" s="68" t="s">
        <v>12</v>
      </c>
    </row>
    <row r="116" spans="1:9" ht="15.75">
      <c r="A116" s="25"/>
      <c r="C116" s="12"/>
      <c r="D116" s="12"/>
      <c r="G116" s="12"/>
      <c r="H116" s="12"/>
    </row>
    <row r="117" spans="1:9" ht="15.75">
      <c r="B117" s="69" t="s">
        <v>13</v>
      </c>
      <c r="C117" s="212"/>
      <c r="D117" s="212"/>
      <c r="E117" s="212"/>
      <c r="F117" s="76"/>
      <c r="I117" s="70"/>
    </row>
    <row r="118" spans="1:9">
      <c r="A118" s="71"/>
      <c r="C118" s="213" t="s">
        <v>11</v>
      </c>
      <c r="D118" s="213"/>
      <c r="E118" s="213"/>
      <c r="F118" s="71"/>
      <c r="I118" s="68" t="s">
        <v>12</v>
      </c>
    </row>
    <row r="119" spans="1:9" ht="15.75">
      <c r="A119" s="4" t="s">
        <v>14</v>
      </c>
    </row>
    <row r="120" spans="1:9">
      <c r="A120" s="214" t="s">
        <v>15</v>
      </c>
      <c r="B120" s="214"/>
      <c r="C120" s="214"/>
      <c r="D120" s="214"/>
      <c r="E120" s="214"/>
      <c r="F120" s="214"/>
      <c r="G120" s="214"/>
      <c r="H120" s="214"/>
      <c r="I120" s="214"/>
    </row>
    <row r="121" spans="1:9" ht="45" customHeight="1">
      <c r="A121" s="211" t="s">
        <v>16</v>
      </c>
      <c r="B121" s="211"/>
      <c r="C121" s="211"/>
      <c r="D121" s="211"/>
      <c r="E121" s="211"/>
      <c r="F121" s="211"/>
      <c r="G121" s="211"/>
      <c r="H121" s="211"/>
      <c r="I121" s="211"/>
    </row>
    <row r="122" spans="1:9" ht="30" customHeight="1">
      <c r="A122" s="211" t="s">
        <v>17</v>
      </c>
      <c r="B122" s="211"/>
      <c r="C122" s="211"/>
      <c r="D122" s="211"/>
      <c r="E122" s="211"/>
      <c r="F122" s="211"/>
      <c r="G122" s="211"/>
      <c r="H122" s="211"/>
      <c r="I122" s="211"/>
    </row>
    <row r="123" spans="1:9" ht="30" customHeight="1">
      <c r="A123" s="211" t="s">
        <v>21</v>
      </c>
      <c r="B123" s="211"/>
      <c r="C123" s="211"/>
      <c r="D123" s="211"/>
      <c r="E123" s="211"/>
      <c r="F123" s="211"/>
      <c r="G123" s="211"/>
      <c r="H123" s="211"/>
      <c r="I123" s="211"/>
    </row>
    <row r="124" spans="1:9" ht="15" customHeight="1">
      <c r="A124" s="211" t="s">
        <v>20</v>
      </c>
      <c r="B124" s="211"/>
      <c r="C124" s="211"/>
      <c r="D124" s="211"/>
      <c r="E124" s="211"/>
      <c r="F124" s="211"/>
      <c r="G124" s="211"/>
      <c r="H124" s="211"/>
      <c r="I124" s="211"/>
    </row>
  </sheetData>
  <autoFilter ref="I12:I65"/>
  <mergeCells count="29">
    <mergeCell ref="A14:I14"/>
    <mergeCell ref="A15:I15"/>
    <mergeCell ref="A28:I28"/>
    <mergeCell ref="A45:I45"/>
    <mergeCell ref="A55:I55"/>
    <mergeCell ref="A3:I3"/>
    <mergeCell ref="A4:I4"/>
    <mergeCell ref="A5:I5"/>
    <mergeCell ref="A8:I8"/>
    <mergeCell ref="A10:I10"/>
    <mergeCell ref="R70:U70"/>
    <mergeCell ref="C118:E118"/>
    <mergeCell ref="A92:I92"/>
    <mergeCell ref="A104:I104"/>
    <mergeCell ref="B105:G105"/>
    <mergeCell ref="B106:G106"/>
    <mergeCell ref="A108:I108"/>
    <mergeCell ref="A109:I109"/>
    <mergeCell ref="A110:I110"/>
    <mergeCell ref="A112:I112"/>
    <mergeCell ref="C114:E114"/>
    <mergeCell ref="C115:E115"/>
    <mergeCell ref="C117:E117"/>
    <mergeCell ref="A88:I88"/>
    <mergeCell ref="A120:I120"/>
    <mergeCell ref="A121:I121"/>
    <mergeCell ref="A122:I122"/>
    <mergeCell ref="A123:I123"/>
    <mergeCell ref="A124:I124"/>
  </mergeCells>
  <pageMargins left="0.70866141732283472" right="0.23622047244094491" top="0.27559055118110237" bottom="0.27559055118110237" header="0.31496062992125984" footer="0.31496062992125984"/>
  <pageSetup paperSize="9" scale="63" orientation="portrait" r:id="rId1"/>
  <rowBreaks count="1" manualBreakCount="1">
    <brk id="118" max="8" man="1"/>
  </rowBreaks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28"/>
  <sheetViews>
    <sheetView topLeftCell="A76" zoomScaleNormal="100" workbookViewId="0">
      <selection activeCell="B110" sqref="B110:G11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0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158</v>
      </c>
      <c r="I1" s="26"/>
      <c r="J1" s="1"/>
      <c r="K1" s="1"/>
      <c r="L1" s="1"/>
      <c r="M1" s="1"/>
    </row>
    <row r="2" spans="1:13" ht="15.75" customHeight="1">
      <c r="A2" s="28" t="s">
        <v>60</v>
      </c>
      <c r="J2" s="2"/>
      <c r="K2" s="2"/>
      <c r="L2" s="2"/>
      <c r="M2" s="2"/>
    </row>
    <row r="3" spans="1:13" ht="15.75" customHeight="1">
      <c r="A3" s="228" t="s">
        <v>156</v>
      </c>
      <c r="B3" s="228"/>
      <c r="C3" s="228"/>
      <c r="D3" s="228"/>
      <c r="E3" s="228"/>
      <c r="F3" s="228"/>
      <c r="G3" s="228"/>
      <c r="H3" s="228"/>
      <c r="I3" s="228"/>
      <c r="J3" s="3"/>
      <c r="K3" s="3"/>
      <c r="L3" s="3"/>
    </row>
    <row r="4" spans="1:13" ht="31.5" customHeight="1">
      <c r="A4" s="229" t="s">
        <v>120</v>
      </c>
      <c r="B4" s="229"/>
      <c r="C4" s="229"/>
      <c r="D4" s="229"/>
      <c r="E4" s="229"/>
      <c r="F4" s="229"/>
      <c r="G4" s="229"/>
      <c r="H4" s="229"/>
      <c r="I4" s="229"/>
    </row>
    <row r="5" spans="1:13" ht="15.75" customHeight="1">
      <c r="A5" s="228" t="s">
        <v>363</v>
      </c>
      <c r="B5" s="232"/>
      <c r="C5" s="232"/>
      <c r="D5" s="232"/>
      <c r="E5" s="232"/>
      <c r="F5" s="232"/>
      <c r="G5" s="232"/>
      <c r="H5" s="232"/>
      <c r="I5" s="232"/>
      <c r="J5" s="2"/>
      <c r="K5" s="2"/>
      <c r="L5" s="2"/>
      <c r="M5" s="2"/>
    </row>
    <row r="6" spans="1:13" ht="15.75" customHeight="1">
      <c r="A6" s="2"/>
      <c r="B6" s="105"/>
      <c r="C6" s="105"/>
      <c r="D6" s="105"/>
      <c r="E6" s="105"/>
      <c r="F6" s="105"/>
      <c r="G6" s="105"/>
      <c r="H6" s="105"/>
      <c r="I6" s="30">
        <v>44530</v>
      </c>
      <c r="J6" s="2"/>
      <c r="K6" s="2"/>
      <c r="L6" s="2"/>
      <c r="M6" s="2"/>
    </row>
    <row r="7" spans="1:13" ht="15.75" customHeight="1">
      <c r="B7" s="103"/>
      <c r="C7" s="103"/>
      <c r="D7" s="103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30" t="s">
        <v>215</v>
      </c>
      <c r="B8" s="230"/>
      <c r="C8" s="230"/>
      <c r="D8" s="230"/>
      <c r="E8" s="230"/>
      <c r="F8" s="230"/>
      <c r="G8" s="230"/>
      <c r="H8" s="230"/>
      <c r="I8" s="230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31" t="s">
        <v>133</v>
      </c>
      <c r="B10" s="231"/>
      <c r="C10" s="231"/>
      <c r="D10" s="231"/>
      <c r="E10" s="231"/>
      <c r="F10" s="231"/>
      <c r="G10" s="231"/>
      <c r="H10" s="231"/>
      <c r="I10" s="231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33" t="s">
        <v>57</v>
      </c>
      <c r="B14" s="233"/>
      <c r="C14" s="233"/>
      <c r="D14" s="233"/>
      <c r="E14" s="233"/>
      <c r="F14" s="233"/>
      <c r="G14" s="233"/>
      <c r="H14" s="233"/>
      <c r="I14" s="233"/>
      <c r="J14" s="8"/>
      <c r="K14" s="8"/>
      <c r="L14" s="8"/>
      <c r="M14" s="8"/>
    </row>
    <row r="15" spans="1:13" ht="15.75" customHeight="1">
      <c r="A15" s="234" t="s">
        <v>4</v>
      </c>
      <c r="B15" s="234"/>
      <c r="C15" s="234"/>
      <c r="D15" s="234"/>
      <c r="E15" s="234"/>
      <c r="F15" s="234"/>
      <c r="G15" s="234"/>
      <c r="H15" s="234"/>
      <c r="I15" s="234"/>
      <c r="J15" s="8"/>
      <c r="K15" s="8"/>
      <c r="L15" s="8"/>
      <c r="M15" s="8"/>
    </row>
    <row r="16" spans="1:13" ht="15.75" customHeight="1">
      <c r="A16" s="29">
        <v>1</v>
      </c>
      <c r="B16" s="32" t="s">
        <v>81</v>
      </c>
      <c r="C16" s="133" t="s">
        <v>87</v>
      </c>
      <c r="D16" s="32" t="s">
        <v>178</v>
      </c>
      <c r="E16" s="146">
        <v>129.88</v>
      </c>
      <c r="F16" s="134">
        <f>SUM(E16*156/100)</f>
        <v>202.61279999999999</v>
      </c>
      <c r="G16" s="134">
        <v>239.2</v>
      </c>
      <c r="H16" s="83">
        <f t="shared" ref="H16:H26" si="0">SUM(F16*G16/1000)</f>
        <v>48.464981759999993</v>
      </c>
      <c r="I16" s="13">
        <f>F16/12*G16</f>
        <v>4038.7484799999997</v>
      </c>
      <c r="J16" s="8"/>
      <c r="K16" s="8"/>
      <c r="L16" s="8"/>
      <c r="M16" s="8"/>
    </row>
    <row r="17" spans="1:13" ht="15.75" customHeight="1">
      <c r="A17" s="29">
        <v>2</v>
      </c>
      <c r="B17" s="32" t="s">
        <v>83</v>
      </c>
      <c r="C17" s="133" t="s">
        <v>87</v>
      </c>
      <c r="D17" s="32" t="s">
        <v>179</v>
      </c>
      <c r="E17" s="146">
        <v>519.52</v>
      </c>
      <c r="F17" s="134">
        <f>SUM(E17*104/100)</f>
        <v>540.30079999999998</v>
      </c>
      <c r="G17" s="134">
        <v>239.2</v>
      </c>
      <c r="H17" s="83">
        <f t="shared" si="0"/>
        <v>129.23995135999999</v>
      </c>
      <c r="I17" s="13">
        <f>F17/12*G17</f>
        <v>10769.995946666666</v>
      </c>
      <c r="J17" s="22"/>
      <c r="K17" s="8"/>
      <c r="L17" s="8"/>
      <c r="M17" s="8"/>
    </row>
    <row r="18" spans="1:13" ht="15.75" customHeight="1">
      <c r="A18" s="29">
        <v>3</v>
      </c>
      <c r="B18" s="32" t="s">
        <v>84</v>
      </c>
      <c r="C18" s="133" t="s">
        <v>87</v>
      </c>
      <c r="D18" s="32" t="s">
        <v>187</v>
      </c>
      <c r="E18" s="146">
        <f>SUM(E16+E17)</f>
        <v>649.4</v>
      </c>
      <c r="F18" s="134">
        <f>SUM(E18*18/100)</f>
        <v>116.892</v>
      </c>
      <c r="G18" s="134">
        <v>688.14</v>
      </c>
      <c r="H18" s="83">
        <f t="shared" si="0"/>
        <v>80.438060879999995</v>
      </c>
      <c r="I18" s="13">
        <f>F18/18*G18</f>
        <v>4468.7811599999995</v>
      </c>
      <c r="J18" s="22"/>
      <c r="K18" s="8"/>
      <c r="L18" s="8"/>
      <c r="M18" s="8"/>
    </row>
    <row r="19" spans="1:13" ht="15.75" hidden="1" customHeight="1">
      <c r="A19" s="29">
        <v>4</v>
      </c>
      <c r="B19" s="79" t="s">
        <v>88</v>
      </c>
      <c r="C19" s="80" t="s">
        <v>89</v>
      </c>
      <c r="D19" s="79" t="s">
        <v>90</v>
      </c>
      <c r="E19" s="81">
        <v>124.8</v>
      </c>
      <c r="F19" s="82">
        <f>SUM(E19/10)</f>
        <v>12.48</v>
      </c>
      <c r="G19" s="82">
        <v>170.16</v>
      </c>
      <c r="H19" s="83">
        <f t="shared" si="0"/>
        <v>2.1235967999999996</v>
      </c>
      <c r="I19" s="13">
        <f>F19/2*G19</f>
        <v>1061.7983999999999</v>
      </c>
      <c r="J19" s="22"/>
      <c r="K19" s="8"/>
      <c r="L19" s="8"/>
      <c r="M19" s="8"/>
    </row>
    <row r="20" spans="1:13" ht="15.75" customHeight="1">
      <c r="A20" s="29">
        <v>4</v>
      </c>
      <c r="B20" s="32" t="s">
        <v>93</v>
      </c>
      <c r="C20" s="133" t="s">
        <v>87</v>
      </c>
      <c r="D20" s="32" t="s">
        <v>187</v>
      </c>
      <c r="E20" s="146">
        <v>57.5</v>
      </c>
      <c r="F20" s="134">
        <f>SUM(E20*12/100)</f>
        <v>6.9</v>
      </c>
      <c r="G20" s="134">
        <v>297.19</v>
      </c>
      <c r="H20" s="83">
        <f t="shared" si="0"/>
        <v>2.050611</v>
      </c>
      <c r="I20" s="13">
        <f>F20*G20/12</f>
        <v>170.88424999999998</v>
      </c>
      <c r="J20" s="22"/>
      <c r="K20" s="8"/>
      <c r="L20" s="8"/>
      <c r="M20" s="8"/>
    </row>
    <row r="21" spans="1:13" ht="15.75" customHeight="1">
      <c r="A21" s="29">
        <v>5</v>
      </c>
      <c r="B21" s="32" t="s">
        <v>94</v>
      </c>
      <c r="C21" s="133" t="s">
        <v>87</v>
      </c>
      <c r="D21" s="32" t="s">
        <v>187</v>
      </c>
      <c r="E21" s="146">
        <v>13.41</v>
      </c>
      <c r="F21" s="134">
        <f>SUM(E21*12/100)</f>
        <v>1.6092000000000002</v>
      </c>
      <c r="G21" s="134">
        <v>294.77999999999997</v>
      </c>
      <c r="H21" s="83">
        <f t="shared" si="0"/>
        <v>0.47435997600000002</v>
      </c>
      <c r="I21" s="13">
        <f>F21*G21/12</f>
        <v>39.529997999999999</v>
      </c>
      <c r="J21" s="22"/>
      <c r="K21" s="8"/>
      <c r="L21" s="8"/>
      <c r="M21" s="8"/>
    </row>
    <row r="22" spans="1:13" ht="15.75" hidden="1" customHeight="1">
      <c r="A22" s="29">
        <v>7</v>
      </c>
      <c r="B22" s="79" t="s">
        <v>95</v>
      </c>
      <c r="C22" s="80" t="s">
        <v>51</v>
      </c>
      <c r="D22" s="79" t="s">
        <v>90</v>
      </c>
      <c r="E22" s="81">
        <v>820.5</v>
      </c>
      <c r="F22" s="82">
        <f>SUM(E22/100)</f>
        <v>8.2050000000000001</v>
      </c>
      <c r="G22" s="82">
        <v>269.26</v>
      </c>
      <c r="H22" s="83">
        <f t="shared" si="0"/>
        <v>2.2092782999999998</v>
      </c>
      <c r="I22" s="13">
        <f t="shared" ref="I22:I26" si="1">F22*G22</f>
        <v>2209.2782999999999</v>
      </c>
      <c r="J22" s="22"/>
      <c r="K22" s="8"/>
      <c r="L22" s="8"/>
      <c r="M22" s="8"/>
    </row>
    <row r="23" spans="1:13" ht="15.75" hidden="1" customHeight="1">
      <c r="A23" s="29">
        <v>8</v>
      </c>
      <c r="B23" s="79" t="s">
        <v>96</v>
      </c>
      <c r="C23" s="80" t="s">
        <v>51</v>
      </c>
      <c r="D23" s="79" t="s">
        <v>90</v>
      </c>
      <c r="E23" s="84">
        <v>60.25</v>
      </c>
      <c r="F23" s="82">
        <f>SUM(E23/100)</f>
        <v>0.60250000000000004</v>
      </c>
      <c r="G23" s="82">
        <v>44.29</v>
      </c>
      <c r="H23" s="83">
        <f t="shared" si="0"/>
        <v>2.6684724999999999E-2</v>
      </c>
      <c r="I23" s="13">
        <f t="shared" si="1"/>
        <v>26.684725</v>
      </c>
      <c r="J23" s="22"/>
      <c r="K23" s="8"/>
      <c r="L23" s="8"/>
      <c r="M23" s="8"/>
    </row>
    <row r="24" spans="1:13" ht="15.75" hidden="1" customHeight="1">
      <c r="A24" s="29">
        <v>9</v>
      </c>
      <c r="B24" s="79" t="s">
        <v>91</v>
      </c>
      <c r="C24" s="80" t="s">
        <v>51</v>
      </c>
      <c r="D24" s="79" t="s">
        <v>92</v>
      </c>
      <c r="E24" s="81">
        <v>19.149999999999999</v>
      </c>
      <c r="F24" s="82">
        <f>E24/100</f>
        <v>0.19149999999999998</v>
      </c>
      <c r="G24" s="82">
        <v>389.72</v>
      </c>
      <c r="H24" s="83">
        <f t="shared" si="0"/>
        <v>7.4631379999999997E-2</v>
      </c>
      <c r="I24" s="13">
        <f t="shared" si="1"/>
        <v>74.631379999999993</v>
      </c>
      <c r="J24" s="22"/>
      <c r="K24" s="8"/>
      <c r="L24" s="8"/>
      <c r="M24" s="8"/>
    </row>
    <row r="25" spans="1:13" ht="15.75" hidden="1" customHeight="1">
      <c r="A25" s="29">
        <v>10</v>
      </c>
      <c r="B25" s="79" t="s">
        <v>98</v>
      </c>
      <c r="C25" s="80" t="s">
        <v>51</v>
      </c>
      <c r="D25" s="79" t="s">
        <v>52</v>
      </c>
      <c r="E25" s="81">
        <v>31.5</v>
      </c>
      <c r="F25" s="82">
        <v>0.32</v>
      </c>
      <c r="G25" s="82">
        <v>216.12</v>
      </c>
      <c r="H25" s="83">
        <f t="shared" si="0"/>
        <v>6.9158399999999995E-2</v>
      </c>
      <c r="I25" s="13">
        <f t="shared" si="1"/>
        <v>69.1584</v>
      </c>
      <c r="J25" s="22"/>
      <c r="K25" s="8"/>
      <c r="L25" s="8"/>
      <c r="M25" s="8"/>
    </row>
    <row r="26" spans="1:13" ht="15.75" hidden="1" customHeight="1">
      <c r="A26" s="29">
        <v>11</v>
      </c>
      <c r="B26" s="79" t="s">
        <v>97</v>
      </c>
      <c r="C26" s="80" t="s">
        <v>51</v>
      </c>
      <c r="D26" s="79" t="s">
        <v>90</v>
      </c>
      <c r="E26" s="81">
        <v>37.5</v>
      </c>
      <c r="F26" s="82">
        <f>SUM(E26/100)</f>
        <v>0.375</v>
      </c>
      <c r="G26" s="82">
        <v>520.79999999999995</v>
      </c>
      <c r="H26" s="83">
        <f t="shared" si="0"/>
        <v>0.19529999999999997</v>
      </c>
      <c r="I26" s="13">
        <f t="shared" si="1"/>
        <v>195.29999999999998</v>
      </c>
      <c r="J26" s="22"/>
      <c r="K26" s="8"/>
      <c r="L26" s="8"/>
      <c r="M26" s="8"/>
    </row>
    <row r="27" spans="1:13" ht="15.75" hidden="1" customHeight="1">
      <c r="A27" s="29">
        <v>6</v>
      </c>
      <c r="B27" s="32" t="s">
        <v>177</v>
      </c>
      <c r="C27" s="133" t="s">
        <v>26</v>
      </c>
      <c r="D27" s="32" t="s">
        <v>182</v>
      </c>
      <c r="E27" s="169">
        <v>4.88</v>
      </c>
      <c r="F27" s="134">
        <f>E27*258</f>
        <v>1259.04</v>
      </c>
      <c r="G27" s="134">
        <v>10.39</v>
      </c>
      <c r="H27" s="83">
        <f t="shared" ref="H27" si="2">SUM(F27*G27/1000)</f>
        <v>13.081425600000001</v>
      </c>
      <c r="I27" s="13">
        <f>F27/12*G27</f>
        <v>1090.1188</v>
      </c>
      <c r="J27" s="22"/>
      <c r="K27" s="8"/>
      <c r="L27" s="8"/>
      <c r="M27" s="8"/>
    </row>
    <row r="28" spans="1:13" ht="15.75" hidden="1" customHeight="1">
      <c r="A28" s="29">
        <v>5</v>
      </c>
      <c r="B28" s="85" t="s">
        <v>23</v>
      </c>
      <c r="C28" s="80" t="s">
        <v>24</v>
      </c>
      <c r="D28" s="79" t="s">
        <v>25</v>
      </c>
      <c r="E28" s="81">
        <v>5162.6000000000004</v>
      </c>
      <c r="F28" s="82">
        <f>SUM(E28*12)</f>
        <v>61951.200000000004</v>
      </c>
      <c r="G28" s="82">
        <v>3.33</v>
      </c>
      <c r="H28" s="83">
        <f t="shared" ref="H28" si="3">SUM(F28*G28/1000)</f>
        <v>206.29749600000002</v>
      </c>
      <c r="I28" s="13">
        <f>F28/12*G28</f>
        <v>17191.458000000002</v>
      </c>
      <c r="J28" s="22"/>
      <c r="K28" s="8"/>
      <c r="L28" s="8"/>
      <c r="M28" s="8"/>
    </row>
    <row r="29" spans="1:13" ht="15.75" customHeight="1">
      <c r="A29" s="234" t="s">
        <v>80</v>
      </c>
      <c r="B29" s="234"/>
      <c r="C29" s="234"/>
      <c r="D29" s="234"/>
      <c r="E29" s="234"/>
      <c r="F29" s="234"/>
      <c r="G29" s="234"/>
      <c r="H29" s="234"/>
      <c r="I29" s="234"/>
      <c r="J29" s="22"/>
      <c r="K29" s="8"/>
      <c r="L29" s="8"/>
      <c r="M29" s="8"/>
    </row>
    <row r="30" spans="1:13" ht="15.75" hidden="1" customHeight="1">
      <c r="A30" s="40"/>
      <c r="B30" s="50" t="s">
        <v>29</v>
      </c>
      <c r="C30" s="50"/>
      <c r="D30" s="50"/>
      <c r="E30" s="50"/>
      <c r="F30" s="50"/>
      <c r="G30" s="50"/>
      <c r="H30" s="50"/>
      <c r="I30" s="18"/>
      <c r="J30" s="22"/>
      <c r="K30" s="8"/>
      <c r="L30" s="8"/>
      <c r="M30" s="8"/>
    </row>
    <row r="31" spans="1:13" ht="15.75" hidden="1" customHeight="1">
      <c r="A31" s="40">
        <v>6</v>
      </c>
      <c r="B31" s="79" t="s">
        <v>99</v>
      </c>
      <c r="C31" s="80" t="s">
        <v>100</v>
      </c>
      <c r="D31" s="79" t="s">
        <v>101</v>
      </c>
      <c r="E31" s="82">
        <v>1304.45</v>
      </c>
      <c r="F31" s="82">
        <f>SUM(E31*52/1000)</f>
        <v>67.831400000000002</v>
      </c>
      <c r="G31" s="82">
        <v>155.88999999999999</v>
      </c>
      <c r="H31" s="83">
        <f t="shared" ref="H31:H36" si="4">SUM(F31*G31/1000)</f>
        <v>10.574236945999999</v>
      </c>
      <c r="I31" s="13">
        <f>F31/6*G31</f>
        <v>1762.3728243333333</v>
      </c>
      <c r="J31" s="22"/>
      <c r="K31" s="8"/>
      <c r="L31" s="8"/>
      <c r="M31" s="8"/>
    </row>
    <row r="32" spans="1:13" ht="31.5" hidden="1" customHeight="1">
      <c r="A32" s="40">
        <v>7</v>
      </c>
      <c r="B32" s="79" t="s">
        <v>137</v>
      </c>
      <c r="C32" s="80" t="s">
        <v>100</v>
      </c>
      <c r="D32" s="79" t="s">
        <v>102</v>
      </c>
      <c r="E32" s="82">
        <v>287.83999999999997</v>
      </c>
      <c r="F32" s="82">
        <f>SUM(E32*78/1000)</f>
        <v>22.451519999999995</v>
      </c>
      <c r="G32" s="82">
        <v>258.63</v>
      </c>
      <c r="H32" s="83">
        <f t="shared" si="4"/>
        <v>5.8066366175999979</v>
      </c>
      <c r="I32" s="13">
        <f t="shared" ref="I32:I34" si="5">F32/6*G32</f>
        <v>967.77276959999972</v>
      </c>
      <c r="J32" s="22"/>
      <c r="K32" s="8"/>
      <c r="L32" s="8"/>
      <c r="M32" s="8"/>
    </row>
    <row r="33" spans="1:14" ht="15.75" hidden="1" customHeight="1">
      <c r="A33" s="40">
        <v>16</v>
      </c>
      <c r="B33" s="79" t="s">
        <v>28</v>
      </c>
      <c r="C33" s="80" t="s">
        <v>100</v>
      </c>
      <c r="D33" s="79" t="s">
        <v>52</v>
      </c>
      <c r="E33" s="82">
        <v>1304.45</v>
      </c>
      <c r="F33" s="82">
        <f>SUM(E33/1000)</f>
        <v>1.3044500000000001</v>
      </c>
      <c r="G33" s="82">
        <v>3020.33</v>
      </c>
      <c r="H33" s="83">
        <f t="shared" si="4"/>
        <v>3.9398694685</v>
      </c>
      <c r="I33" s="13">
        <f>F33*G33</f>
        <v>3939.8694685</v>
      </c>
      <c r="J33" s="22"/>
      <c r="K33" s="8"/>
      <c r="L33" s="8"/>
      <c r="M33" s="8"/>
    </row>
    <row r="34" spans="1:14" ht="15.75" hidden="1" customHeight="1">
      <c r="A34" s="40">
        <v>8</v>
      </c>
      <c r="B34" s="79" t="s">
        <v>103</v>
      </c>
      <c r="C34" s="80" t="s">
        <v>31</v>
      </c>
      <c r="D34" s="79" t="s">
        <v>61</v>
      </c>
      <c r="E34" s="86">
        <v>0.33333333333333331</v>
      </c>
      <c r="F34" s="82">
        <f>155/3</f>
        <v>51.666666666666664</v>
      </c>
      <c r="G34" s="82">
        <v>56.69</v>
      </c>
      <c r="H34" s="83">
        <f t="shared" si="4"/>
        <v>2.9289833333333331</v>
      </c>
      <c r="I34" s="13">
        <f t="shared" si="5"/>
        <v>488.16388888888883</v>
      </c>
      <c r="J34" s="23"/>
    </row>
    <row r="35" spans="1:14" ht="15.75" hidden="1" customHeight="1">
      <c r="A35" s="40">
        <v>4</v>
      </c>
      <c r="B35" s="79" t="s">
        <v>63</v>
      </c>
      <c r="C35" s="80" t="s">
        <v>33</v>
      </c>
      <c r="D35" s="79" t="s">
        <v>65</v>
      </c>
      <c r="E35" s="81"/>
      <c r="F35" s="82">
        <v>3</v>
      </c>
      <c r="G35" s="82">
        <v>191.32</v>
      </c>
      <c r="H35" s="83">
        <f t="shared" si="4"/>
        <v>0.57396000000000003</v>
      </c>
      <c r="I35" s="13">
        <v>0</v>
      </c>
      <c r="J35" s="23"/>
    </row>
    <row r="36" spans="1:14" ht="15.75" hidden="1" customHeight="1">
      <c r="A36" s="29">
        <v>8</v>
      </c>
      <c r="B36" s="79" t="s">
        <v>64</v>
      </c>
      <c r="C36" s="80" t="s">
        <v>32</v>
      </c>
      <c r="D36" s="79" t="s">
        <v>65</v>
      </c>
      <c r="E36" s="81"/>
      <c r="F36" s="82">
        <v>2</v>
      </c>
      <c r="G36" s="82">
        <v>1136.32</v>
      </c>
      <c r="H36" s="83">
        <f t="shared" si="4"/>
        <v>2.27264</v>
      </c>
      <c r="I36" s="13">
        <v>0</v>
      </c>
      <c r="J36" s="23"/>
    </row>
    <row r="37" spans="1:14" ht="15.75" customHeight="1">
      <c r="A37" s="40"/>
      <c r="B37" s="48" t="s">
        <v>5</v>
      </c>
      <c r="C37" s="48"/>
      <c r="D37" s="48"/>
      <c r="E37" s="13"/>
      <c r="F37" s="13"/>
      <c r="G37" s="14"/>
      <c r="H37" s="14"/>
      <c r="I37" s="18"/>
      <c r="J37" s="23"/>
    </row>
    <row r="38" spans="1:14" ht="16.5" customHeight="1">
      <c r="A38" s="33">
        <v>6</v>
      </c>
      <c r="B38" s="149" t="s">
        <v>27</v>
      </c>
      <c r="C38" s="133" t="s">
        <v>32</v>
      </c>
      <c r="D38" s="32" t="s">
        <v>376</v>
      </c>
      <c r="E38" s="146"/>
      <c r="F38" s="134">
        <v>8</v>
      </c>
      <c r="G38" s="134">
        <v>2083</v>
      </c>
      <c r="H38" s="83">
        <f t="shared" ref="H38:H44" si="6">SUM(F38*G38/1000)</f>
        <v>16.664000000000001</v>
      </c>
      <c r="I38" s="13">
        <f>G38*1</f>
        <v>2083</v>
      </c>
      <c r="J38" s="23"/>
    </row>
    <row r="39" spans="1:14" ht="15.75" customHeight="1">
      <c r="A39" s="33">
        <v>7</v>
      </c>
      <c r="B39" s="149" t="s">
        <v>121</v>
      </c>
      <c r="C39" s="150" t="s">
        <v>30</v>
      </c>
      <c r="D39" s="149" t="s">
        <v>183</v>
      </c>
      <c r="E39" s="151">
        <v>287.83999999999997</v>
      </c>
      <c r="F39" s="151">
        <f>SUM(E39*30/1000)</f>
        <v>8.6351999999999993</v>
      </c>
      <c r="G39" s="151">
        <v>2868.09</v>
      </c>
      <c r="H39" s="83">
        <f t="shared" si="6"/>
        <v>24.766530767999999</v>
      </c>
      <c r="I39" s="13">
        <f>F39/6*G39</f>
        <v>4127.7551279999998</v>
      </c>
      <c r="J39" s="23"/>
    </row>
    <row r="40" spans="1:14" ht="15.75" customHeight="1">
      <c r="A40" s="33">
        <v>8</v>
      </c>
      <c r="B40" s="149" t="s">
        <v>165</v>
      </c>
      <c r="C40" s="150" t="s">
        <v>30</v>
      </c>
      <c r="D40" s="32" t="s">
        <v>184</v>
      </c>
      <c r="E40" s="146">
        <v>287.83999999999997</v>
      </c>
      <c r="F40" s="151">
        <f>E40*155/1000</f>
        <v>44.615199999999994</v>
      </c>
      <c r="G40" s="134">
        <v>478.42</v>
      </c>
      <c r="H40" s="83">
        <f>G40*F40/1000</f>
        <v>21.344803983999999</v>
      </c>
      <c r="I40" s="13">
        <f>F40/6*G40</f>
        <v>3557.4673306666664</v>
      </c>
      <c r="J40" s="23"/>
    </row>
    <row r="41" spans="1:14" ht="42.75" customHeight="1">
      <c r="A41" s="33">
        <v>9</v>
      </c>
      <c r="B41" s="32" t="s">
        <v>78</v>
      </c>
      <c r="C41" s="133" t="s">
        <v>100</v>
      </c>
      <c r="D41" s="32" t="s">
        <v>194</v>
      </c>
      <c r="E41" s="134">
        <v>130.6</v>
      </c>
      <c r="F41" s="151">
        <f>SUM(E41*35/1000)</f>
        <v>4.5709999999999997</v>
      </c>
      <c r="G41" s="134">
        <v>7915.6</v>
      </c>
      <c r="H41" s="83">
        <f>G41*F41/1000</f>
        <v>36.182207599999998</v>
      </c>
      <c r="I41" s="13">
        <f>G41*F41/6</f>
        <v>6030.3679333333339</v>
      </c>
      <c r="J41" s="23"/>
    </row>
    <row r="42" spans="1:14" ht="15.75" hidden="1" customHeight="1">
      <c r="A42" s="33">
        <v>10</v>
      </c>
      <c r="B42" s="32" t="s">
        <v>106</v>
      </c>
      <c r="C42" s="133" t="s">
        <v>100</v>
      </c>
      <c r="D42" s="32" t="s">
        <v>180</v>
      </c>
      <c r="E42" s="134">
        <v>287.83999999999997</v>
      </c>
      <c r="F42" s="151">
        <f>SUM(E42*45/1000)</f>
        <v>12.9528</v>
      </c>
      <c r="G42" s="134">
        <v>584.74</v>
      </c>
      <c r="H42" s="83">
        <f t="shared" si="6"/>
        <v>7.5740202719999994</v>
      </c>
      <c r="I42" s="13">
        <f>G42*F42/45*2</f>
        <v>336.62312320000001</v>
      </c>
      <c r="J42" s="23"/>
    </row>
    <row r="43" spans="1:14" ht="17.25" hidden="1" customHeight="1">
      <c r="A43" s="33">
        <v>11</v>
      </c>
      <c r="B43" s="149" t="s">
        <v>68</v>
      </c>
      <c r="C43" s="150" t="s">
        <v>33</v>
      </c>
      <c r="D43" s="149"/>
      <c r="E43" s="152"/>
      <c r="F43" s="151">
        <v>0.9</v>
      </c>
      <c r="G43" s="151">
        <v>800</v>
      </c>
      <c r="H43" s="83">
        <f t="shared" si="6"/>
        <v>0.72</v>
      </c>
      <c r="I43" s="13">
        <f>G43*F43/45*2</f>
        <v>32</v>
      </c>
      <c r="J43" s="23"/>
      <c r="L43" s="19"/>
      <c r="M43" s="20"/>
      <c r="N43" s="21"/>
    </row>
    <row r="44" spans="1:14" ht="32.25" customHeight="1">
      <c r="A44" s="33">
        <v>10</v>
      </c>
      <c r="B44" s="149" t="s">
        <v>166</v>
      </c>
      <c r="C44" s="150" t="s">
        <v>100</v>
      </c>
      <c r="D44" s="149" t="s">
        <v>186</v>
      </c>
      <c r="E44" s="152">
        <v>0.6</v>
      </c>
      <c r="F44" s="151">
        <v>0.01</v>
      </c>
      <c r="G44" s="151">
        <v>18798.34</v>
      </c>
      <c r="H44" s="83">
        <f t="shared" si="6"/>
        <v>0.18798340000000002</v>
      </c>
      <c r="I44" s="13">
        <f>G44*F44/6</f>
        <v>31.33056666666667</v>
      </c>
      <c r="J44" s="23"/>
      <c r="L44" s="19"/>
      <c r="M44" s="20"/>
      <c r="N44" s="21"/>
    </row>
    <row r="45" spans="1:14" ht="15.75" hidden="1" customHeight="1">
      <c r="A45" s="238" t="s">
        <v>134</v>
      </c>
      <c r="B45" s="239"/>
      <c r="C45" s="239"/>
      <c r="D45" s="239"/>
      <c r="E45" s="239"/>
      <c r="F45" s="239"/>
      <c r="G45" s="239"/>
      <c r="H45" s="239"/>
      <c r="I45" s="240"/>
      <c r="J45" s="23"/>
      <c r="L45" s="19"/>
      <c r="M45" s="20"/>
      <c r="N45" s="21"/>
    </row>
    <row r="46" spans="1:14" ht="15.75" hidden="1" customHeight="1">
      <c r="A46" s="40">
        <v>9</v>
      </c>
      <c r="B46" s="79" t="s">
        <v>126</v>
      </c>
      <c r="C46" s="80" t="s">
        <v>100</v>
      </c>
      <c r="D46" s="79" t="s">
        <v>41</v>
      </c>
      <c r="E46" s="81">
        <v>1369</v>
      </c>
      <c r="F46" s="82">
        <f>SUM(E46*2/1000)</f>
        <v>2.738</v>
      </c>
      <c r="G46" s="13">
        <v>849.49</v>
      </c>
      <c r="H46" s="83">
        <f t="shared" ref="H46:H54" si="7">SUM(F46*G46/1000)</f>
        <v>2.3259036200000001</v>
      </c>
      <c r="I46" s="13">
        <f t="shared" ref="I46:I48" si="8">F46/2*G46</f>
        <v>1162.95181</v>
      </c>
      <c r="J46" s="23"/>
      <c r="L46" s="19"/>
      <c r="M46" s="20"/>
      <c r="N46" s="21"/>
    </row>
    <row r="47" spans="1:14" ht="15.75" hidden="1" customHeight="1">
      <c r="A47" s="40">
        <v>10</v>
      </c>
      <c r="B47" s="79" t="s">
        <v>34</v>
      </c>
      <c r="C47" s="80" t="s">
        <v>100</v>
      </c>
      <c r="D47" s="79" t="s">
        <v>41</v>
      </c>
      <c r="E47" s="81">
        <v>1418</v>
      </c>
      <c r="F47" s="82">
        <f>SUM(E47*2/1000)</f>
        <v>2.8359999999999999</v>
      </c>
      <c r="G47" s="13">
        <v>579.48</v>
      </c>
      <c r="H47" s="83">
        <f t="shared" si="7"/>
        <v>1.6434052799999999</v>
      </c>
      <c r="I47" s="13">
        <f t="shared" si="8"/>
        <v>821.70263999999997</v>
      </c>
      <c r="J47" s="23"/>
      <c r="L47" s="19"/>
      <c r="M47" s="20"/>
      <c r="N47" s="21"/>
    </row>
    <row r="48" spans="1:14" ht="15.75" hidden="1" customHeight="1">
      <c r="A48" s="40">
        <v>11</v>
      </c>
      <c r="B48" s="79" t="s">
        <v>35</v>
      </c>
      <c r="C48" s="80" t="s">
        <v>100</v>
      </c>
      <c r="D48" s="79" t="s">
        <v>41</v>
      </c>
      <c r="E48" s="81">
        <v>4985.21</v>
      </c>
      <c r="F48" s="82">
        <f>SUM(E48*2/1000)</f>
        <v>9.9704200000000007</v>
      </c>
      <c r="G48" s="13">
        <v>579.48</v>
      </c>
      <c r="H48" s="83">
        <f t="shared" si="7"/>
        <v>5.7776589816000001</v>
      </c>
      <c r="I48" s="13">
        <f t="shared" si="8"/>
        <v>2888.8294908000003</v>
      </c>
      <c r="J48" s="23"/>
      <c r="L48" s="19"/>
      <c r="M48" s="20"/>
      <c r="N48" s="21"/>
    </row>
    <row r="49" spans="1:14" ht="15.75" hidden="1" customHeight="1">
      <c r="A49" s="40">
        <v>12</v>
      </c>
      <c r="B49" s="79" t="s">
        <v>36</v>
      </c>
      <c r="C49" s="80" t="s">
        <v>100</v>
      </c>
      <c r="D49" s="79" t="s">
        <v>41</v>
      </c>
      <c r="E49" s="81">
        <v>2474</v>
      </c>
      <c r="F49" s="82">
        <f>SUM(E49*2/1000)</f>
        <v>4.9480000000000004</v>
      </c>
      <c r="G49" s="13">
        <v>606.77</v>
      </c>
      <c r="H49" s="83">
        <f t="shared" si="7"/>
        <v>3.0022979600000004</v>
      </c>
      <c r="I49" s="13">
        <f>F49/2*G49</f>
        <v>1501.1489800000002</v>
      </c>
      <c r="J49" s="23"/>
      <c r="L49" s="19"/>
      <c r="M49" s="20"/>
      <c r="N49" s="21"/>
    </row>
    <row r="50" spans="1:14" ht="15.75" hidden="1" customHeight="1">
      <c r="A50" s="40">
        <v>13</v>
      </c>
      <c r="B50" s="79" t="s">
        <v>54</v>
      </c>
      <c r="C50" s="80" t="s">
        <v>100</v>
      </c>
      <c r="D50" s="79" t="s">
        <v>138</v>
      </c>
      <c r="E50" s="81">
        <v>1349.3</v>
      </c>
      <c r="F50" s="82">
        <f>SUM(E50*5/1000)</f>
        <v>6.7465000000000002</v>
      </c>
      <c r="G50" s="13">
        <v>1213.55</v>
      </c>
      <c r="H50" s="83">
        <f t="shared" si="7"/>
        <v>8.1872150749999992</v>
      </c>
      <c r="I50" s="13">
        <f>F50/5*G50</f>
        <v>1637.4430149999998</v>
      </c>
      <c r="J50" s="23"/>
      <c r="L50" s="19"/>
      <c r="M50" s="20"/>
      <c r="N50" s="21"/>
    </row>
    <row r="51" spans="1:14" ht="30.75" hidden="1" customHeight="1">
      <c r="A51" s="40">
        <v>9</v>
      </c>
      <c r="B51" s="79" t="s">
        <v>107</v>
      </c>
      <c r="C51" s="80" t="s">
        <v>100</v>
      </c>
      <c r="D51" s="79" t="s">
        <v>41</v>
      </c>
      <c r="E51" s="81">
        <v>1349.3</v>
      </c>
      <c r="F51" s="82">
        <f>SUM(E51*2/1000)</f>
        <v>2.6985999999999999</v>
      </c>
      <c r="G51" s="13">
        <v>1213.55</v>
      </c>
      <c r="H51" s="83">
        <f t="shared" si="7"/>
        <v>3.2748860299999998</v>
      </c>
      <c r="I51" s="13">
        <f>F51/2*G51</f>
        <v>1637.4430149999998</v>
      </c>
      <c r="J51" s="23"/>
      <c r="L51" s="19"/>
      <c r="M51" s="20"/>
      <c r="N51" s="21"/>
    </row>
    <row r="52" spans="1:14" ht="30.75" hidden="1" customHeight="1">
      <c r="A52" s="40">
        <v>10</v>
      </c>
      <c r="B52" s="79" t="s">
        <v>108</v>
      </c>
      <c r="C52" s="80" t="s">
        <v>37</v>
      </c>
      <c r="D52" s="79" t="s">
        <v>41</v>
      </c>
      <c r="E52" s="81">
        <v>40</v>
      </c>
      <c r="F52" s="82">
        <f>SUM(E52*2/100)</f>
        <v>0.8</v>
      </c>
      <c r="G52" s="13">
        <v>2730.49</v>
      </c>
      <c r="H52" s="83">
        <f t="shared" si="7"/>
        <v>2.1843919999999999</v>
      </c>
      <c r="I52" s="13">
        <f t="shared" ref="I52:I53" si="9">F52/2*G52</f>
        <v>1092.1959999999999</v>
      </c>
      <c r="J52" s="23"/>
      <c r="L52" s="19"/>
      <c r="M52" s="20"/>
      <c r="N52" s="21"/>
    </row>
    <row r="53" spans="1:14" ht="15.75" hidden="1" customHeight="1">
      <c r="A53" s="40">
        <v>11</v>
      </c>
      <c r="B53" s="79" t="s">
        <v>38</v>
      </c>
      <c r="C53" s="80" t="s">
        <v>39</v>
      </c>
      <c r="D53" s="79" t="s">
        <v>41</v>
      </c>
      <c r="E53" s="81">
        <v>1</v>
      </c>
      <c r="F53" s="82">
        <v>0.02</v>
      </c>
      <c r="G53" s="13">
        <v>5652.13</v>
      </c>
      <c r="H53" s="83">
        <f t="shared" si="7"/>
        <v>0.11304260000000001</v>
      </c>
      <c r="I53" s="13">
        <f t="shared" si="9"/>
        <v>56.521300000000004</v>
      </c>
      <c r="J53" s="23"/>
      <c r="L53" s="19"/>
      <c r="M53" s="20"/>
      <c r="N53" s="21"/>
    </row>
    <row r="54" spans="1:14" ht="15.75" hidden="1" customHeight="1">
      <c r="A54" s="40">
        <v>13</v>
      </c>
      <c r="B54" s="79" t="s">
        <v>40</v>
      </c>
      <c r="C54" s="80" t="s">
        <v>109</v>
      </c>
      <c r="D54" s="177">
        <v>44155</v>
      </c>
      <c r="E54" s="81">
        <v>238</v>
      </c>
      <c r="F54" s="82">
        <f>SUM(E54)*3</f>
        <v>714</v>
      </c>
      <c r="G54" s="154">
        <v>89.59</v>
      </c>
      <c r="H54" s="83">
        <f t="shared" si="7"/>
        <v>63.967260000000003</v>
      </c>
      <c r="I54" s="13">
        <f>E54*G54</f>
        <v>21322.420000000002</v>
      </c>
      <c r="J54" s="23"/>
      <c r="L54" s="19"/>
      <c r="M54" s="20"/>
      <c r="N54" s="21"/>
    </row>
    <row r="55" spans="1:14" ht="15.75" customHeight="1">
      <c r="A55" s="238" t="s">
        <v>146</v>
      </c>
      <c r="B55" s="239"/>
      <c r="C55" s="239"/>
      <c r="D55" s="239"/>
      <c r="E55" s="239"/>
      <c r="F55" s="239"/>
      <c r="G55" s="239"/>
      <c r="H55" s="239"/>
      <c r="I55" s="240"/>
      <c r="J55" s="23"/>
      <c r="L55" s="19"/>
      <c r="M55" s="20"/>
      <c r="N55" s="21"/>
    </row>
    <row r="56" spans="1:14" ht="15.75" hidden="1" customHeight="1">
      <c r="A56" s="107"/>
      <c r="B56" s="47" t="s">
        <v>42</v>
      </c>
      <c r="C56" s="16"/>
      <c r="D56" s="15"/>
      <c r="E56" s="15"/>
      <c r="F56" s="15"/>
      <c r="G56" s="29"/>
      <c r="H56" s="29"/>
      <c r="I56" s="18"/>
      <c r="J56" s="23"/>
      <c r="L56" s="19"/>
      <c r="M56" s="20"/>
      <c r="N56" s="21"/>
    </row>
    <row r="57" spans="1:14" ht="31.5" hidden="1" customHeight="1">
      <c r="A57" s="40">
        <v>12</v>
      </c>
      <c r="B57" s="79" t="s">
        <v>110</v>
      </c>
      <c r="C57" s="80" t="s">
        <v>87</v>
      </c>
      <c r="D57" s="79" t="s">
        <v>111</v>
      </c>
      <c r="E57" s="81">
        <v>176.9</v>
      </c>
      <c r="F57" s="82">
        <f>SUM(E57*6/100)</f>
        <v>10.614000000000001</v>
      </c>
      <c r="G57" s="13">
        <v>1547.28</v>
      </c>
      <c r="H57" s="83">
        <f>SUM(F57*G57/1000)</f>
        <v>16.422829920000002</v>
      </c>
      <c r="I57" s="13">
        <f>G57*0.429</f>
        <v>663.78311999999994</v>
      </c>
      <c r="J57" s="23"/>
      <c r="L57" s="19"/>
      <c r="M57" s="20"/>
      <c r="N57" s="21"/>
    </row>
    <row r="58" spans="1:14" ht="15.75" hidden="1" customHeight="1">
      <c r="A58" s="40">
        <v>14</v>
      </c>
      <c r="B58" s="32" t="s">
        <v>167</v>
      </c>
      <c r="C58" s="133" t="s">
        <v>87</v>
      </c>
      <c r="D58" s="32" t="s">
        <v>187</v>
      </c>
      <c r="E58" s="147">
        <v>69.5</v>
      </c>
      <c r="F58" s="148">
        <f>E58*6/100</f>
        <v>4.17</v>
      </c>
      <c r="G58" s="134">
        <v>2110.4699999999998</v>
      </c>
      <c r="H58" s="83">
        <f>F58*G58/1000</f>
        <v>8.8006598999999994</v>
      </c>
      <c r="I58" s="13">
        <f>F58/6*G58</f>
        <v>1466.7766499999998</v>
      </c>
      <c r="J58" s="23"/>
      <c r="L58" s="19"/>
      <c r="M58" s="20"/>
      <c r="N58" s="21"/>
    </row>
    <row r="59" spans="1:14" ht="15.75" hidden="1" customHeight="1">
      <c r="A59" s="40"/>
      <c r="B59" s="79" t="s">
        <v>128</v>
      </c>
      <c r="C59" s="80" t="s">
        <v>129</v>
      </c>
      <c r="D59" s="79" t="s">
        <v>41</v>
      </c>
      <c r="E59" s="88">
        <v>8</v>
      </c>
      <c r="F59" s="13">
        <v>16</v>
      </c>
      <c r="G59" s="82">
        <v>180.78</v>
      </c>
      <c r="H59" s="83">
        <f>SUM(F59*G59/1000)</f>
        <v>2.8924799999999999</v>
      </c>
      <c r="I59" s="13">
        <v>0</v>
      </c>
      <c r="J59" s="23"/>
      <c r="L59" s="19"/>
      <c r="M59" s="20"/>
      <c r="N59" s="21"/>
    </row>
    <row r="60" spans="1:14" ht="15.75" customHeight="1">
      <c r="A60" s="40"/>
      <c r="B60" s="106" t="s">
        <v>43</v>
      </c>
      <c r="C60" s="106"/>
      <c r="D60" s="106"/>
      <c r="E60" s="106"/>
      <c r="F60" s="106"/>
      <c r="G60" s="106"/>
      <c r="H60" s="106"/>
      <c r="I60" s="35"/>
      <c r="J60" s="23"/>
      <c r="L60" s="19"/>
      <c r="M60" s="20"/>
      <c r="N60" s="21"/>
    </row>
    <row r="61" spans="1:14" ht="15.75" hidden="1" customHeight="1">
      <c r="A61" s="40">
        <v>27</v>
      </c>
      <c r="B61" s="79" t="s">
        <v>139</v>
      </c>
      <c r="C61" s="80"/>
      <c r="D61" s="79" t="s">
        <v>52</v>
      </c>
      <c r="E61" s="81">
        <v>1349.3</v>
      </c>
      <c r="F61" s="83">
        <v>13.493</v>
      </c>
      <c r="G61" s="13">
        <v>793.61</v>
      </c>
      <c r="H61" s="89">
        <f>F61*G61/1000</f>
        <v>10.708179729999999</v>
      </c>
      <c r="I61" s="13">
        <v>0</v>
      </c>
      <c r="J61" s="23"/>
      <c r="L61" s="19"/>
      <c r="M61" s="20"/>
      <c r="N61" s="21"/>
    </row>
    <row r="62" spans="1:14" ht="15.75" customHeight="1">
      <c r="A62" s="40">
        <v>11</v>
      </c>
      <c r="B62" s="90" t="s">
        <v>86</v>
      </c>
      <c r="C62" s="91" t="s">
        <v>26</v>
      </c>
      <c r="D62" s="90"/>
      <c r="E62" s="92">
        <v>270</v>
      </c>
      <c r="F62" s="93">
        <v>2400</v>
      </c>
      <c r="G62" s="94">
        <v>1.4</v>
      </c>
      <c r="H62" s="95">
        <f>F62*G62</f>
        <v>3360</v>
      </c>
      <c r="I62" s="13">
        <f>F62/12*G62</f>
        <v>280</v>
      </c>
      <c r="J62" s="23"/>
      <c r="L62" s="19"/>
      <c r="M62" s="20"/>
      <c r="N62" s="21"/>
    </row>
    <row r="63" spans="1:14" ht="15.75" customHeight="1">
      <c r="A63" s="40"/>
      <c r="B63" s="106" t="s">
        <v>44</v>
      </c>
      <c r="C63" s="16"/>
      <c r="D63" s="37"/>
      <c r="E63" s="15"/>
      <c r="F63" s="15"/>
      <c r="G63" s="29"/>
      <c r="H63" s="29"/>
      <c r="I63" s="18"/>
      <c r="J63" s="23"/>
      <c r="L63" s="19"/>
    </row>
    <row r="64" spans="1:14" ht="15.75" customHeight="1">
      <c r="A64" s="40">
        <v>12</v>
      </c>
      <c r="B64" s="145" t="s">
        <v>45</v>
      </c>
      <c r="C64" s="38" t="s">
        <v>109</v>
      </c>
      <c r="D64" s="37" t="s">
        <v>187</v>
      </c>
      <c r="E64" s="17">
        <v>40</v>
      </c>
      <c r="F64" s="134">
        <f>E64</f>
        <v>40</v>
      </c>
      <c r="G64" s="36">
        <v>303.35000000000002</v>
      </c>
      <c r="H64" s="97">
        <f t="shared" ref="H64:H71" si="10">SUM(F64*G64/1000)</f>
        <v>12.134</v>
      </c>
      <c r="I64" s="13">
        <f>G64*1</f>
        <v>303.35000000000002</v>
      </c>
    </row>
    <row r="65" spans="1:22" ht="15.75" hidden="1" customHeight="1">
      <c r="A65" s="29">
        <v>29</v>
      </c>
      <c r="B65" s="96" t="s">
        <v>46</v>
      </c>
      <c r="C65" s="16" t="s">
        <v>109</v>
      </c>
      <c r="D65" s="96" t="s">
        <v>65</v>
      </c>
      <c r="E65" s="18">
        <v>20</v>
      </c>
      <c r="F65" s="82">
        <v>20</v>
      </c>
      <c r="G65" s="13">
        <v>76.25</v>
      </c>
      <c r="H65" s="97">
        <f t="shared" si="10"/>
        <v>1.5249999999999999</v>
      </c>
      <c r="I65" s="13">
        <v>0</v>
      </c>
    </row>
    <row r="66" spans="1:22" ht="15.75" hidden="1" customHeight="1">
      <c r="A66" s="29">
        <v>25</v>
      </c>
      <c r="B66" s="96" t="s">
        <v>47</v>
      </c>
      <c r="C66" s="16" t="s">
        <v>112</v>
      </c>
      <c r="D66" s="96" t="s">
        <v>52</v>
      </c>
      <c r="E66" s="81">
        <v>18890</v>
      </c>
      <c r="F66" s="13">
        <f>SUM(E66/100)</f>
        <v>188.9</v>
      </c>
      <c r="G66" s="13">
        <v>212.15</v>
      </c>
      <c r="H66" s="97">
        <f t="shared" si="10"/>
        <v>40.075135000000003</v>
      </c>
      <c r="I66" s="13">
        <f>F66*G66</f>
        <v>40075.135000000002</v>
      </c>
    </row>
    <row r="67" spans="1:22" ht="15.75" hidden="1" customHeight="1">
      <c r="A67" s="29">
        <v>26</v>
      </c>
      <c r="B67" s="96" t="s">
        <v>48</v>
      </c>
      <c r="C67" s="16" t="s">
        <v>113</v>
      </c>
      <c r="D67" s="96"/>
      <c r="E67" s="81">
        <v>18890</v>
      </c>
      <c r="F67" s="13">
        <f>SUM(E67/1000)</f>
        <v>18.89</v>
      </c>
      <c r="G67" s="13">
        <v>165.21</v>
      </c>
      <c r="H67" s="97">
        <f t="shared" si="10"/>
        <v>3.1208169000000003</v>
      </c>
      <c r="I67" s="13">
        <f t="shared" ref="I67:I70" si="11">F67*G67</f>
        <v>3120.8169000000003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9"/>
    </row>
    <row r="68" spans="1:22" ht="15.75" hidden="1" customHeight="1">
      <c r="A68" s="29">
        <v>27</v>
      </c>
      <c r="B68" s="96" t="s">
        <v>49</v>
      </c>
      <c r="C68" s="16" t="s">
        <v>75</v>
      </c>
      <c r="D68" s="96" t="s">
        <v>52</v>
      </c>
      <c r="E68" s="81">
        <v>3004</v>
      </c>
      <c r="F68" s="13">
        <f>SUM(E68/100)</f>
        <v>30.04</v>
      </c>
      <c r="G68" s="13">
        <v>2074.63</v>
      </c>
      <c r="H68" s="97">
        <f t="shared" si="10"/>
        <v>62.321885200000004</v>
      </c>
      <c r="I68" s="13">
        <f t="shared" si="11"/>
        <v>62321.885200000004</v>
      </c>
      <c r="J68" s="25"/>
      <c r="K68" s="25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2" ht="15.75" hidden="1" customHeight="1">
      <c r="A69" s="29">
        <v>28</v>
      </c>
      <c r="B69" s="98" t="s">
        <v>114</v>
      </c>
      <c r="C69" s="16" t="s">
        <v>33</v>
      </c>
      <c r="D69" s="96"/>
      <c r="E69" s="81">
        <v>15.8</v>
      </c>
      <c r="F69" s="13">
        <f>SUM(E69)</f>
        <v>15.8</v>
      </c>
      <c r="G69" s="13">
        <v>42.67</v>
      </c>
      <c r="H69" s="97">
        <f t="shared" si="10"/>
        <v>0.67418600000000006</v>
      </c>
      <c r="I69" s="13">
        <f t="shared" si="11"/>
        <v>674.18600000000004</v>
      </c>
      <c r="J69" s="3"/>
      <c r="K69" s="3"/>
      <c r="L69" s="3"/>
      <c r="M69" s="3"/>
      <c r="N69" s="3"/>
      <c r="O69" s="3"/>
      <c r="P69" s="3"/>
      <c r="Q69" s="3"/>
      <c r="S69" s="3"/>
      <c r="T69" s="3"/>
      <c r="U69" s="3"/>
    </row>
    <row r="70" spans="1:22" ht="15.75" hidden="1" customHeight="1">
      <c r="A70" s="29">
        <v>29</v>
      </c>
      <c r="B70" s="98" t="s">
        <v>115</v>
      </c>
      <c r="C70" s="16" t="s">
        <v>33</v>
      </c>
      <c r="D70" s="96"/>
      <c r="E70" s="81">
        <v>15.8</v>
      </c>
      <c r="F70" s="13">
        <f>SUM(E70)</f>
        <v>15.8</v>
      </c>
      <c r="G70" s="13">
        <v>39.81</v>
      </c>
      <c r="H70" s="97">
        <f t="shared" si="10"/>
        <v>0.62899800000000006</v>
      </c>
      <c r="I70" s="13">
        <f t="shared" si="11"/>
        <v>628.99800000000005</v>
      </c>
      <c r="J70" s="5"/>
      <c r="K70" s="5"/>
      <c r="L70" s="5"/>
      <c r="M70" s="5"/>
      <c r="N70" s="5"/>
      <c r="O70" s="5"/>
      <c r="P70" s="5"/>
      <c r="Q70" s="5"/>
      <c r="R70" s="213"/>
      <c r="S70" s="213"/>
      <c r="T70" s="213"/>
      <c r="U70" s="213"/>
    </row>
    <row r="71" spans="1:22" ht="15.75" hidden="1" customHeight="1">
      <c r="A71" s="29">
        <v>16</v>
      </c>
      <c r="B71" s="96" t="s">
        <v>55</v>
      </c>
      <c r="C71" s="16" t="s">
        <v>56</v>
      </c>
      <c r="D71" s="96" t="s">
        <v>52</v>
      </c>
      <c r="E71" s="18">
        <v>15</v>
      </c>
      <c r="F71" s="82">
        <v>15</v>
      </c>
      <c r="G71" s="13">
        <v>49.88</v>
      </c>
      <c r="H71" s="97">
        <f t="shared" si="10"/>
        <v>0.74820000000000009</v>
      </c>
      <c r="I71" s="13">
        <f>G71*15</f>
        <v>748.2</v>
      </c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2" ht="15.75" customHeight="1">
      <c r="A72" s="29"/>
      <c r="B72" s="156" t="s">
        <v>168</v>
      </c>
      <c r="C72" s="38"/>
      <c r="D72" s="37"/>
      <c r="E72" s="17"/>
      <c r="F72" s="112"/>
      <c r="G72" s="36"/>
      <c r="H72" s="97"/>
      <c r="I72" s="13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1:22" ht="27.75" customHeight="1">
      <c r="A73" s="29">
        <v>13</v>
      </c>
      <c r="B73" s="37" t="s">
        <v>169</v>
      </c>
      <c r="C73" s="40" t="s">
        <v>170</v>
      </c>
      <c r="D73" s="37"/>
      <c r="E73" s="17">
        <v>5162.6000000000004</v>
      </c>
      <c r="F73" s="36">
        <f>E73*12</f>
        <v>61951.200000000004</v>
      </c>
      <c r="G73" s="36">
        <v>2.37</v>
      </c>
      <c r="H73" s="97"/>
      <c r="I73" s="13">
        <f>G73*F73/12</f>
        <v>12235.362000000001</v>
      </c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</row>
    <row r="74" spans="1:22" ht="15.75" customHeight="1">
      <c r="A74" s="107"/>
      <c r="B74" s="106" t="s">
        <v>116</v>
      </c>
      <c r="C74" s="106"/>
      <c r="D74" s="106"/>
      <c r="E74" s="106"/>
      <c r="F74" s="106"/>
      <c r="G74" s="106"/>
      <c r="H74" s="106"/>
      <c r="I74" s="18"/>
    </row>
    <row r="75" spans="1:22" ht="15.75" customHeight="1">
      <c r="A75" s="29">
        <v>14</v>
      </c>
      <c r="B75" s="79" t="s">
        <v>117</v>
      </c>
      <c r="C75" s="16"/>
      <c r="D75" s="96"/>
      <c r="E75" s="74"/>
      <c r="F75" s="13">
        <v>1</v>
      </c>
      <c r="G75" s="13">
        <v>267.2</v>
      </c>
      <c r="H75" s="97">
        <f>G75*F75/1000</f>
        <v>0.26719999999999999</v>
      </c>
      <c r="I75" s="13">
        <f>G75</f>
        <v>267.2</v>
      </c>
    </row>
    <row r="76" spans="1:22" ht="21" customHeight="1">
      <c r="A76" s="29"/>
      <c r="B76" s="48" t="s">
        <v>70</v>
      </c>
      <c r="C76" s="48"/>
      <c r="D76" s="48"/>
      <c r="E76" s="18"/>
      <c r="F76" s="18"/>
      <c r="G76" s="29"/>
      <c r="H76" s="29"/>
      <c r="I76" s="18"/>
    </row>
    <row r="77" spans="1:22" ht="33" hidden="1" customHeight="1">
      <c r="A77" s="29">
        <v>16</v>
      </c>
      <c r="B77" s="37" t="s">
        <v>176</v>
      </c>
      <c r="C77" s="38" t="s">
        <v>109</v>
      </c>
      <c r="D77" s="37" t="s">
        <v>220</v>
      </c>
      <c r="E77" s="17">
        <v>2</v>
      </c>
      <c r="F77" s="36">
        <f>E77</f>
        <v>2</v>
      </c>
      <c r="G77" s="36">
        <v>2112.2800000000002</v>
      </c>
      <c r="H77" s="174"/>
      <c r="I77" s="18">
        <f>G77*1</f>
        <v>2112.2800000000002</v>
      </c>
    </row>
    <row r="78" spans="1:22" ht="17.25" customHeight="1">
      <c r="A78" s="29">
        <v>15</v>
      </c>
      <c r="B78" s="96" t="s">
        <v>71</v>
      </c>
      <c r="C78" s="16" t="s">
        <v>73</v>
      </c>
      <c r="D78" s="96" t="s">
        <v>388</v>
      </c>
      <c r="E78" s="18">
        <v>10</v>
      </c>
      <c r="F78" s="13">
        <v>1</v>
      </c>
      <c r="G78" s="121">
        <v>684.19</v>
      </c>
      <c r="H78" s="97">
        <f t="shared" ref="H78:H82" si="12">SUM(F78*G78/1000)</f>
        <v>0.68419000000000008</v>
      </c>
      <c r="I78" s="13">
        <f>G78*0.2</f>
        <v>136.83800000000002</v>
      </c>
    </row>
    <row r="79" spans="1:22" ht="19.5" customHeight="1">
      <c r="A79" s="29">
        <v>16</v>
      </c>
      <c r="B79" s="96" t="s">
        <v>130</v>
      </c>
      <c r="C79" s="16" t="s">
        <v>31</v>
      </c>
      <c r="D79" s="96" t="s">
        <v>149</v>
      </c>
      <c r="E79" s="18">
        <v>1</v>
      </c>
      <c r="F79" s="13">
        <v>1</v>
      </c>
      <c r="G79" s="121">
        <v>136.19999999999999</v>
      </c>
      <c r="H79" s="97">
        <f>F79*G79/1000</f>
        <v>0.13619999999999999</v>
      </c>
      <c r="I79" s="13">
        <f>G79*1</f>
        <v>136.19999999999999</v>
      </c>
    </row>
    <row r="80" spans="1:22" ht="18" hidden="1" customHeight="1">
      <c r="A80" s="29"/>
      <c r="B80" s="96" t="s">
        <v>131</v>
      </c>
      <c r="C80" s="16" t="s">
        <v>31</v>
      </c>
      <c r="D80" s="96"/>
      <c r="E80" s="18">
        <v>1</v>
      </c>
      <c r="F80" s="13">
        <v>1</v>
      </c>
      <c r="G80" s="13">
        <v>120.26</v>
      </c>
      <c r="H80" s="97">
        <f>F80*G80/1000</f>
        <v>0.12026000000000001</v>
      </c>
      <c r="I80" s="13">
        <v>0</v>
      </c>
    </row>
    <row r="81" spans="1:9" ht="24" hidden="1" customHeight="1">
      <c r="A81" s="29">
        <v>19</v>
      </c>
      <c r="B81" s="96" t="s">
        <v>72</v>
      </c>
      <c r="C81" s="16" t="s">
        <v>31</v>
      </c>
      <c r="D81" s="96"/>
      <c r="E81" s="18">
        <v>2</v>
      </c>
      <c r="F81" s="94">
        <v>2</v>
      </c>
      <c r="G81" s="13">
        <v>852.99</v>
      </c>
      <c r="H81" s="97">
        <f>F81*G81/1000</f>
        <v>1.7059800000000001</v>
      </c>
      <c r="I81" s="13">
        <f>G81</f>
        <v>852.99</v>
      </c>
    </row>
    <row r="82" spans="1:9" ht="22.5" hidden="1" customHeight="1">
      <c r="A82" s="29">
        <v>10</v>
      </c>
      <c r="B82" s="96" t="s">
        <v>82</v>
      </c>
      <c r="C82" s="16" t="s">
        <v>109</v>
      </c>
      <c r="D82" s="96"/>
      <c r="E82" s="18">
        <v>1</v>
      </c>
      <c r="F82" s="82">
        <f>SUM(E82)</f>
        <v>1</v>
      </c>
      <c r="G82" s="13">
        <v>358.51</v>
      </c>
      <c r="H82" s="97">
        <f t="shared" si="12"/>
        <v>0.35851</v>
      </c>
      <c r="I82" s="13">
        <f>G82</f>
        <v>358.51</v>
      </c>
    </row>
    <row r="83" spans="1:9" ht="35.25" customHeight="1">
      <c r="A83" s="29">
        <v>17</v>
      </c>
      <c r="B83" s="37" t="s">
        <v>171</v>
      </c>
      <c r="C83" s="38" t="s">
        <v>109</v>
      </c>
      <c r="D83" s="37" t="s">
        <v>181</v>
      </c>
      <c r="E83" s="17">
        <v>1</v>
      </c>
      <c r="F83" s="36">
        <f>E83*12</f>
        <v>12</v>
      </c>
      <c r="G83" s="36">
        <v>55.55</v>
      </c>
      <c r="H83" s="97"/>
      <c r="I83" s="13">
        <f>G83*1</f>
        <v>55.55</v>
      </c>
    </row>
    <row r="84" spans="1:9" ht="22.5" hidden="1" customHeight="1">
      <c r="A84" s="29"/>
      <c r="B84" s="49" t="s">
        <v>74</v>
      </c>
      <c r="C84" s="38"/>
      <c r="D84" s="29"/>
      <c r="E84" s="18"/>
      <c r="F84" s="18"/>
      <c r="G84" s="36"/>
      <c r="H84" s="36"/>
      <c r="I84" s="18"/>
    </row>
    <row r="85" spans="1:9" ht="19.5" hidden="1" customHeight="1">
      <c r="A85" s="29">
        <v>39</v>
      </c>
      <c r="B85" s="51" t="s">
        <v>118</v>
      </c>
      <c r="C85" s="16" t="s">
        <v>75</v>
      </c>
      <c r="D85" s="96"/>
      <c r="E85" s="18"/>
      <c r="F85" s="13">
        <v>1.35</v>
      </c>
      <c r="G85" s="13">
        <v>2759.44</v>
      </c>
      <c r="H85" s="97">
        <f t="shared" ref="H85" si="13">SUM(F85*G85/1000)</f>
        <v>3.725244</v>
      </c>
      <c r="I85" s="13">
        <v>0</v>
      </c>
    </row>
    <row r="86" spans="1:9" ht="15.75" customHeight="1">
      <c r="A86" s="222" t="s">
        <v>147</v>
      </c>
      <c r="B86" s="223"/>
      <c r="C86" s="223"/>
      <c r="D86" s="223"/>
      <c r="E86" s="223"/>
      <c r="F86" s="223"/>
      <c r="G86" s="223"/>
      <c r="H86" s="223"/>
      <c r="I86" s="224"/>
    </row>
    <row r="87" spans="1:9" ht="15.75" customHeight="1">
      <c r="A87" s="29">
        <v>18</v>
      </c>
      <c r="B87" s="32" t="s">
        <v>119</v>
      </c>
      <c r="C87" s="38" t="s">
        <v>53</v>
      </c>
      <c r="D87" s="62"/>
      <c r="E87" s="36">
        <v>5162.6000000000004</v>
      </c>
      <c r="F87" s="36">
        <f>SUM(E87*12)</f>
        <v>61951.200000000004</v>
      </c>
      <c r="G87" s="36">
        <v>3.22</v>
      </c>
      <c r="H87" s="99">
        <f>SUM(F87*G87/1000)</f>
        <v>199.48286400000003</v>
      </c>
      <c r="I87" s="13">
        <f>F87/12*G87</f>
        <v>16623.572000000004</v>
      </c>
    </row>
    <row r="88" spans="1:9" ht="31.5" customHeight="1">
      <c r="A88" s="29">
        <v>19</v>
      </c>
      <c r="B88" s="37" t="s">
        <v>172</v>
      </c>
      <c r="C88" s="109" t="s">
        <v>173</v>
      </c>
      <c r="D88" s="37"/>
      <c r="E88" s="17">
        <v>5162.6000000000004</v>
      </c>
      <c r="F88" s="36">
        <f>E88*12</f>
        <v>61951.200000000004</v>
      </c>
      <c r="G88" s="36">
        <v>3.64</v>
      </c>
      <c r="H88" s="97">
        <f>F88*G88/1000</f>
        <v>225.50236800000002</v>
      </c>
      <c r="I88" s="13">
        <f>F88/12*G88</f>
        <v>18791.864000000001</v>
      </c>
    </row>
    <row r="89" spans="1:9" ht="15.75" customHeight="1">
      <c r="A89" s="107"/>
      <c r="B89" s="39" t="s">
        <v>77</v>
      </c>
      <c r="C89" s="40"/>
      <c r="D89" s="15"/>
      <c r="E89" s="15"/>
      <c r="F89" s="15"/>
      <c r="G89" s="18"/>
      <c r="H89" s="18"/>
      <c r="I89" s="31">
        <f>I88+I87+I83+I79+I78+I75+I73+I62+I44+I41+I40+I39+I38+I21+I20+I18+I17+I16+I64</f>
        <v>84147.796793333328</v>
      </c>
    </row>
    <row r="90" spans="1:9" ht="15.75" customHeight="1">
      <c r="A90" s="225" t="s">
        <v>58</v>
      </c>
      <c r="B90" s="226"/>
      <c r="C90" s="226"/>
      <c r="D90" s="226"/>
      <c r="E90" s="226"/>
      <c r="F90" s="226"/>
      <c r="G90" s="226"/>
      <c r="H90" s="226"/>
      <c r="I90" s="227"/>
    </row>
    <row r="91" spans="1:9" ht="16.5" customHeight="1">
      <c r="A91" s="29">
        <v>20</v>
      </c>
      <c r="B91" s="63" t="s">
        <v>226</v>
      </c>
      <c r="C91" s="64" t="s">
        <v>159</v>
      </c>
      <c r="D91" s="34" t="s">
        <v>270</v>
      </c>
      <c r="E91" s="34"/>
      <c r="F91" s="192">
        <v>28</v>
      </c>
      <c r="G91" s="192">
        <v>295.36</v>
      </c>
      <c r="H91" s="99"/>
      <c r="I91" s="13">
        <v>0</v>
      </c>
    </row>
    <row r="92" spans="1:9" ht="20.25" customHeight="1">
      <c r="A92" s="29">
        <v>21</v>
      </c>
      <c r="B92" s="63" t="s">
        <v>131</v>
      </c>
      <c r="C92" s="64" t="s">
        <v>109</v>
      </c>
      <c r="D92" s="34" t="s">
        <v>383</v>
      </c>
      <c r="E92" s="34"/>
      <c r="F92" s="192">
        <v>1</v>
      </c>
      <c r="G92" s="192">
        <v>186.47</v>
      </c>
      <c r="H92" s="99"/>
      <c r="I92" s="13">
        <f>G92*1</f>
        <v>186.47</v>
      </c>
    </row>
    <row r="93" spans="1:9" ht="20.25" customHeight="1">
      <c r="A93" s="29">
        <v>22</v>
      </c>
      <c r="B93" s="191" t="s">
        <v>364</v>
      </c>
      <c r="C93" s="40" t="s">
        <v>89</v>
      </c>
      <c r="D93" s="34" t="s">
        <v>378</v>
      </c>
      <c r="E93" s="34"/>
      <c r="F93" s="192">
        <v>0.03</v>
      </c>
      <c r="G93" s="192">
        <v>3880.23</v>
      </c>
      <c r="H93" s="99"/>
      <c r="I93" s="13">
        <f>G93*0.03</f>
        <v>116.40689999999999</v>
      </c>
    </row>
    <row r="94" spans="1:9" ht="20.25" customHeight="1">
      <c r="A94" s="29">
        <v>23</v>
      </c>
      <c r="B94" s="63" t="s">
        <v>365</v>
      </c>
      <c r="C94" s="100" t="s">
        <v>366</v>
      </c>
      <c r="D94" s="34" t="s">
        <v>387</v>
      </c>
      <c r="E94" s="34"/>
      <c r="F94" s="192">
        <v>1</v>
      </c>
      <c r="G94" s="192">
        <v>165.94</v>
      </c>
      <c r="H94" s="99"/>
      <c r="I94" s="13">
        <f>G94*1</f>
        <v>165.94</v>
      </c>
    </row>
    <row r="95" spans="1:9" ht="16.5" customHeight="1">
      <c r="A95" s="29">
        <v>24</v>
      </c>
      <c r="B95" s="155" t="s">
        <v>367</v>
      </c>
      <c r="C95" s="64" t="s">
        <v>109</v>
      </c>
      <c r="D95" s="34" t="s">
        <v>384</v>
      </c>
      <c r="E95" s="34"/>
      <c r="F95" s="192">
        <v>1</v>
      </c>
      <c r="G95" s="192">
        <v>224.24</v>
      </c>
      <c r="H95" s="99"/>
      <c r="I95" s="13">
        <f>G95*1</f>
        <v>224.24</v>
      </c>
    </row>
    <row r="96" spans="1:9" ht="16.5" customHeight="1">
      <c r="A96" s="29">
        <v>25</v>
      </c>
      <c r="B96" s="63" t="s">
        <v>368</v>
      </c>
      <c r="C96" s="100" t="s">
        <v>369</v>
      </c>
      <c r="D96" s="34" t="s">
        <v>382</v>
      </c>
      <c r="E96" s="34"/>
      <c r="F96" s="192">
        <v>1</v>
      </c>
      <c r="G96" s="192">
        <v>182.26</v>
      </c>
      <c r="H96" s="99"/>
      <c r="I96" s="13">
        <f>G96*1</f>
        <v>182.26</v>
      </c>
    </row>
    <row r="97" spans="1:9" ht="16.5" customHeight="1">
      <c r="A97" s="29">
        <v>26</v>
      </c>
      <c r="B97" s="63" t="s">
        <v>370</v>
      </c>
      <c r="C97" s="100" t="s">
        <v>109</v>
      </c>
      <c r="D97" s="34" t="s">
        <v>383</v>
      </c>
      <c r="E97" s="34"/>
      <c r="F97" s="192">
        <v>1</v>
      </c>
      <c r="G97" s="192">
        <v>453</v>
      </c>
      <c r="H97" s="99"/>
      <c r="I97" s="13">
        <f>G97*1</f>
        <v>453</v>
      </c>
    </row>
    <row r="98" spans="1:9" ht="16.5" customHeight="1">
      <c r="A98" s="29">
        <v>27</v>
      </c>
      <c r="B98" s="63" t="s">
        <v>371</v>
      </c>
      <c r="C98" s="210" t="s">
        <v>372</v>
      </c>
      <c r="D98" s="34" t="s">
        <v>377</v>
      </c>
      <c r="E98" s="34"/>
      <c r="F98" s="192">
        <v>0.3</v>
      </c>
      <c r="G98" s="192">
        <v>6573.84</v>
      </c>
      <c r="H98" s="99"/>
      <c r="I98" s="13">
        <f>G98*0.3</f>
        <v>1972.152</v>
      </c>
    </row>
    <row r="99" spans="1:9" ht="16.5" customHeight="1">
      <c r="A99" s="29">
        <v>28</v>
      </c>
      <c r="B99" s="63" t="s">
        <v>140</v>
      </c>
      <c r="C99" s="64" t="s">
        <v>79</v>
      </c>
      <c r="D99" s="34" t="s">
        <v>379</v>
      </c>
      <c r="E99" s="34"/>
      <c r="F99" s="192">
        <v>5</v>
      </c>
      <c r="G99" s="192">
        <v>231.54</v>
      </c>
      <c r="H99" s="99"/>
      <c r="I99" s="13">
        <f>G99*1</f>
        <v>231.54</v>
      </c>
    </row>
    <row r="100" spans="1:9" ht="16.5" customHeight="1">
      <c r="A100" s="29">
        <v>29</v>
      </c>
      <c r="B100" s="63" t="s">
        <v>373</v>
      </c>
      <c r="C100" s="64" t="s">
        <v>51</v>
      </c>
      <c r="D100" s="34" t="s">
        <v>378</v>
      </c>
      <c r="E100" s="34"/>
      <c r="F100" s="192">
        <v>0.01</v>
      </c>
      <c r="G100" s="192">
        <v>60434.25</v>
      </c>
      <c r="H100" s="99"/>
      <c r="I100" s="13">
        <f>G100*0.01</f>
        <v>604.34249999999997</v>
      </c>
    </row>
    <row r="101" spans="1:9" ht="16.5" customHeight="1">
      <c r="A101" s="29">
        <v>30</v>
      </c>
      <c r="B101" s="155" t="s">
        <v>288</v>
      </c>
      <c r="C101" s="100" t="s">
        <v>217</v>
      </c>
      <c r="D101" s="34" t="s">
        <v>380</v>
      </c>
      <c r="E101" s="34"/>
      <c r="F101" s="192">
        <v>0.2</v>
      </c>
      <c r="G101" s="192">
        <v>16727.16</v>
      </c>
      <c r="H101" s="99"/>
      <c r="I101" s="13">
        <f>G101*0.1</f>
        <v>1672.7160000000001</v>
      </c>
    </row>
    <row r="102" spans="1:9" ht="33.75" customHeight="1">
      <c r="A102" s="29">
        <v>31</v>
      </c>
      <c r="B102" s="155" t="s">
        <v>374</v>
      </c>
      <c r="C102" s="100" t="s">
        <v>73</v>
      </c>
      <c r="D102" s="202" t="s">
        <v>381</v>
      </c>
      <c r="E102" s="34"/>
      <c r="F102" s="192">
        <v>0.2</v>
      </c>
      <c r="G102" s="192">
        <v>12171.02</v>
      </c>
      <c r="H102" s="99"/>
      <c r="I102" s="13">
        <f>G102*0.2</f>
        <v>2434.2040000000002</v>
      </c>
    </row>
    <row r="103" spans="1:9" ht="49.5" customHeight="1">
      <c r="A103" s="29">
        <v>32</v>
      </c>
      <c r="B103" s="63" t="s">
        <v>353</v>
      </c>
      <c r="C103" s="64" t="s">
        <v>190</v>
      </c>
      <c r="D103" s="203" t="s">
        <v>386</v>
      </c>
      <c r="E103" s="34"/>
      <c r="F103" s="192">
        <v>0.6</v>
      </c>
      <c r="G103" s="192">
        <v>12149.78</v>
      </c>
      <c r="H103" s="99"/>
      <c r="I103" s="13">
        <f>G103*0.5</f>
        <v>6074.89</v>
      </c>
    </row>
    <row r="104" spans="1:9" ht="33.75" customHeight="1">
      <c r="A104" s="29">
        <v>33</v>
      </c>
      <c r="B104" s="63" t="s">
        <v>375</v>
      </c>
      <c r="C104" s="64" t="s">
        <v>190</v>
      </c>
      <c r="D104" s="202" t="s">
        <v>385</v>
      </c>
      <c r="E104" s="34"/>
      <c r="F104" s="192">
        <v>1</v>
      </c>
      <c r="G104" s="192">
        <v>2844.6</v>
      </c>
      <c r="H104" s="99"/>
      <c r="I104" s="13">
        <f>G104*1</f>
        <v>2844.6</v>
      </c>
    </row>
    <row r="105" spans="1:9" ht="15.75" customHeight="1">
      <c r="A105" s="29"/>
      <c r="B105" s="45" t="s">
        <v>50</v>
      </c>
      <c r="C105" s="41"/>
      <c r="D105" s="53"/>
      <c r="E105" s="41">
        <v>1</v>
      </c>
      <c r="F105" s="41"/>
      <c r="G105" s="41"/>
      <c r="H105" s="41"/>
      <c r="I105" s="31">
        <f>SUM(I91:I104)</f>
        <v>17162.761399999999</v>
      </c>
    </row>
    <row r="106" spans="1:9" ht="15.75" customHeight="1">
      <c r="A106" s="29"/>
      <c r="B106" s="51" t="s">
        <v>76</v>
      </c>
      <c r="C106" s="15"/>
      <c r="D106" s="15"/>
      <c r="E106" s="42"/>
      <c r="F106" s="42"/>
      <c r="G106" s="43"/>
      <c r="H106" s="43"/>
      <c r="I106" s="17">
        <v>0</v>
      </c>
    </row>
    <row r="107" spans="1:9" ht="15.75" customHeight="1">
      <c r="A107" s="54"/>
      <c r="B107" s="46" t="s">
        <v>141</v>
      </c>
      <c r="C107" s="34"/>
      <c r="D107" s="34"/>
      <c r="E107" s="34"/>
      <c r="F107" s="34"/>
      <c r="G107" s="34"/>
      <c r="H107" s="34"/>
      <c r="I107" s="44">
        <f>I89+I105</f>
        <v>101310.55819333333</v>
      </c>
    </row>
    <row r="108" spans="1:9" ht="15.75">
      <c r="A108" s="219" t="s">
        <v>389</v>
      </c>
      <c r="B108" s="219"/>
      <c r="C108" s="219"/>
      <c r="D108" s="219"/>
      <c r="E108" s="219"/>
      <c r="F108" s="219"/>
      <c r="G108" s="219"/>
      <c r="H108" s="219"/>
      <c r="I108" s="219"/>
    </row>
    <row r="109" spans="1:9" ht="15.75">
      <c r="A109" s="60"/>
      <c r="B109" s="220" t="s">
        <v>390</v>
      </c>
      <c r="C109" s="220"/>
      <c r="D109" s="220"/>
      <c r="E109" s="220"/>
      <c r="F109" s="220"/>
      <c r="G109" s="220"/>
      <c r="H109" s="77"/>
      <c r="I109" s="3"/>
    </row>
    <row r="110" spans="1:9">
      <c r="A110" s="102"/>
      <c r="B110" s="218" t="s">
        <v>6</v>
      </c>
      <c r="C110" s="218"/>
      <c r="D110" s="218"/>
      <c r="E110" s="218"/>
      <c r="F110" s="218"/>
      <c r="G110" s="218"/>
      <c r="H110" s="24"/>
      <c r="I110" s="5"/>
    </row>
    <row r="111" spans="1:9">
      <c r="A111" s="10"/>
      <c r="B111" s="10"/>
      <c r="C111" s="10"/>
      <c r="D111" s="10"/>
      <c r="E111" s="10"/>
      <c r="F111" s="10"/>
      <c r="G111" s="10"/>
      <c r="H111" s="10"/>
      <c r="I111" s="10"/>
    </row>
    <row r="112" spans="1:9" ht="15.75">
      <c r="A112" s="221" t="s">
        <v>7</v>
      </c>
      <c r="B112" s="221"/>
      <c r="C112" s="221"/>
      <c r="D112" s="221"/>
      <c r="E112" s="221"/>
      <c r="F112" s="221"/>
      <c r="G112" s="221"/>
      <c r="H112" s="221"/>
      <c r="I112" s="221"/>
    </row>
    <row r="113" spans="1:9" ht="15.75">
      <c r="A113" s="221" t="s">
        <v>8</v>
      </c>
      <c r="B113" s="221"/>
      <c r="C113" s="221"/>
      <c r="D113" s="221"/>
      <c r="E113" s="221"/>
      <c r="F113" s="221"/>
      <c r="G113" s="221"/>
      <c r="H113" s="221"/>
      <c r="I113" s="221"/>
    </row>
    <row r="114" spans="1:9" ht="15.75">
      <c r="A114" s="215" t="s">
        <v>59</v>
      </c>
      <c r="B114" s="215"/>
      <c r="C114" s="215"/>
      <c r="D114" s="215"/>
      <c r="E114" s="215"/>
      <c r="F114" s="215"/>
      <c r="G114" s="215"/>
      <c r="H114" s="215"/>
      <c r="I114" s="215"/>
    </row>
    <row r="115" spans="1:9" ht="15.75">
      <c r="A115" s="11"/>
    </row>
    <row r="116" spans="1:9" ht="15.75">
      <c r="A116" s="216" t="s">
        <v>9</v>
      </c>
      <c r="B116" s="216"/>
      <c r="C116" s="216"/>
      <c r="D116" s="216"/>
      <c r="E116" s="216"/>
      <c r="F116" s="216"/>
      <c r="G116" s="216"/>
      <c r="H116" s="216"/>
      <c r="I116" s="216"/>
    </row>
    <row r="117" spans="1:9" ht="15.75">
      <c r="A117" s="4"/>
    </row>
    <row r="118" spans="1:9" ht="15.75">
      <c r="B118" s="103" t="s">
        <v>10</v>
      </c>
      <c r="C118" s="217" t="s">
        <v>219</v>
      </c>
      <c r="D118" s="217"/>
      <c r="E118" s="217"/>
      <c r="F118" s="75"/>
      <c r="I118" s="101"/>
    </row>
    <row r="119" spans="1:9">
      <c r="A119" s="102"/>
      <c r="C119" s="218" t="s">
        <v>11</v>
      </c>
      <c r="D119" s="218"/>
      <c r="E119" s="218"/>
      <c r="F119" s="24"/>
      <c r="I119" s="104" t="s">
        <v>12</v>
      </c>
    </row>
    <row r="120" spans="1:9" ht="15.75">
      <c r="A120" s="25"/>
      <c r="C120" s="12"/>
      <c r="D120" s="12"/>
      <c r="G120" s="12"/>
      <c r="H120" s="12"/>
    </row>
    <row r="121" spans="1:9" ht="15.75">
      <c r="B121" s="103" t="s">
        <v>13</v>
      </c>
      <c r="C121" s="212"/>
      <c r="D121" s="212"/>
      <c r="E121" s="212"/>
      <c r="F121" s="76"/>
      <c r="I121" s="101"/>
    </row>
    <row r="122" spans="1:9">
      <c r="A122" s="102"/>
      <c r="C122" s="213" t="s">
        <v>11</v>
      </c>
      <c r="D122" s="213"/>
      <c r="E122" s="213"/>
      <c r="F122" s="102"/>
      <c r="I122" s="104" t="s">
        <v>12</v>
      </c>
    </row>
    <row r="123" spans="1:9" ht="15.75">
      <c r="A123" s="4" t="s">
        <v>14</v>
      </c>
    </row>
    <row r="124" spans="1:9">
      <c r="A124" s="214" t="s">
        <v>15</v>
      </c>
      <c r="B124" s="214"/>
      <c r="C124" s="214"/>
      <c r="D124" s="214"/>
      <c r="E124" s="214"/>
      <c r="F124" s="214"/>
      <c r="G124" s="214"/>
      <c r="H124" s="214"/>
      <c r="I124" s="214"/>
    </row>
    <row r="125" spans="1:9" ht="45" customHeight="1">
      <c r="A125" s="211" t="s">
        <v>16</v>
      </c>
      <c r="B125" s="211"/>
      <c r="C125" s="211"/>
      <c r="D125" s="211"/>
      <c r="E125" s="211"/>
      <c r="F125" s="211"/>
      <c r="G125" s="211"/>
      <c r="H125" s="211"/>
      <c r="I125" s="211"/>
    </row>
    <row r="126" spans="1:9" ht="30" customHeight="1">
      <c r="A126" s="211" t="s">
        <v>17</v>
      </c>
      <c r="B126" s="211"/>
      <c r="C126" s="211"/>
      <c r="D126" s="211"/>
      <c r="E126" s="211"/>
      <c r="F126" s="211"/>
      <c r="G126" s="211"/>
      <c r="H126" s="211"/>
      <c r="I126" s="211"/>
    </row>
    <row r="127" spans="1:9" ht="30" customHeight="1">
      <c r="A127" s="211" t="s">
        <v>21</v>
      </c>
      <c r="B127" s="211"/>
      <c r="C127" s="211"/>
      <c r="D127" s="211"/>
      <c r="E127" s="211"/>
      <c r="F127" s="211"/>
      <c r="G127" s="211"/>
      <c r="H127" s="211"/>
      <c r="I127" s="211"/>
    </row>
    <row r="128" spans="1:9" ht="15" customHeight="1">
      <c r="A128" s="211" t="s">
        <v>20</v>
      </c>
      <c r="B128" s="211"/>
      <c r="C128" s="211"/>
      <c r="D128" s="211"/>
      <c r="E128" s="211"/>
      <c r="F128" s="211"/>
      <c r="G128" s="211"/>
      <c r="H128" s="211"/>
      <c r="I128" s="211"/>
    </row>
  </sheetData>
  <autoFilter ref="I12:I65"/>
  <mergeCells count="29">
    <mergeCell ref="A14:I14"/>
    <mergeCell ref="A15:I15"/>
    <mergeCell ref="A29:I29"/>
    <mergeCell ref="A45:I45"/>
    <mergeCell ref="A55:I55"/>
    <mergeCell ref="A3:I3"/>
    <mergeCell ref="A4:I4"/>
    <mergeCell ref="A5:I5"/>
    <mergeCell ref="A8:I8"/>
    <mergeCell ref="A10:I10"/>
    <mergeCell ref="R70:U70"/>
    <mergeCell ref="C122:E122"/>
    <mergeCell ref="A90:I90"/>
    <mergeCell ref="A108:I108"/>
    <mergeCell ref="B109:G109"/>
    <mergeCell ref="B110:G110"/>
    <mergeCell ref="A112:I112"/>
    <mergeCell ref="A113:I113"/>
    <mergeCell ref="A114:I114"/>
    <mergeCell ref="A116:I116"/>
    <mergeCell ref="C118:E118"/>
    <mergeCell ref="C119:E119"/>
    <mergeCell ref="C121:E121"/>
    <mergeCell ref="A86:I86"/>
    <mergeCell ref="A124:I124"/>
    <mergeCell ref="A125:I125"/>
    <mergeCell ref="A126:I126"/>
    <mergeCell ref="A127:I127"/>
    <mergeCell ref="A128:I128"/>
  </mergeCells>
  <pageMargins left="0.70866141732283472" right="0.23622047244094491" top="0.27559055118110237" bottom="0.27559055118110237" header="0.31496062992125984" footer="0.31496062992125984"/>
  <pageSetup paperSize="9" scale="61" orientation="portrait" r:id="rId1"/>
  <rowBreaks count="1" manualBreakCount="1">
    <brk id="110" max="8" man="1"/>
  </rowBreaks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21"/>
  <sheetViews>
    <sheetView tabSelected="1" topLeftCell="A93" workbookViewId="0">
      <selection activeCell="B102" sqref="B102:G102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2.42578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158</v>
      </c>
      <c r="I1" s="26"/>
      <c r="J1" s="1"/>
      <c r="K1" s="1"/>
      <c r="L1" s="1"/>
      <c r="M1" s="1"/>
    </row>
    <row r="2" spans="1:13" ht="15.75" customHeight="1">
      <c r="A2" s="28" t="s">
        <v>60</v>
      </c>
      <c r="J2" s="2"/>
      <c r="K2" s="2"/>
      <c r="L2" s="2"/>
      <c r="M2" s="2"/>
    </row>
    <row r="3" spans="1:13" ht="15.75" customHeight="1">
      <c r="A3" s="228" t="s">
        <v>157</v>
      </c>
      <c r="B3" s="228"/>
      <c r="C3" s="228"/>
      <c r="D3" s="228"/>
      <c r="E3" s="228"/>
      <c r="F3" s="228"/>
      <c r="G3" s="228"/>
      <c r="H3" s="228"/>
      <c r="I3" s="228"/>
      <c r="J3" s="3"/>
      <c r="K3" s="3"/>
      <c r="L3" s="3"/>
    </row>
    <row r="4" spans="1:13" ht="31.5" customHeight="1">
      <c r="A4" s="229" t="s">
        <v>120</v>
      </c>
      <c r="B4" s="229"/>
      <c r="C4" s="229"/>
      <c r="D4" s="229"/>
      <c r="E4" s="229"/>
      <c r="F4" s="229"/>
      <c r="G4" s="229"/>
      <c r="H4" s="229"/>
      <c r="I4" s="229"/>
    </row>
    <row r="5" spans="1:13" ht="15.75" customHeight="1">
      <c r="A5" s="228" t="s">
        <v>391</v>
      </c>
      <c r="B5" s="232"/>
      <c r="C5" s="232"/>
      <c r="D5" s="232"/>
      <c r="E5" s="232"/>
      <c r="F5" s="232"/>
      <c r="G5" s="232"/>
      <c r="H5" s="232"/>
      <c r="I5" s="232"/>
      <c r="J5" s="2"/>
      <c r="K5" s="2"/>
      <c r="L5" s="2"/>
      <c r="M5" s="2"/>
    </row>
    <row r="6" spans="1:13" ht="15.75" customHeight="1">
      <c r="A6" s="2"/>
      <c r="B6" s="105"/>
      <c r="C6" s="105"/>
      <c r="D6" s="105"/>
      <c r="E6" s="105"/>
      <c r="F6" s="105"/>
      <c r="G6" s="105"/>
      <c r="H6" s="105"/>
      <c r="I6" s="30">
        <v>44561</v>
      </c>
      <c r="J6" s="2"/>
      <c r="K6" s="2"/>
      <c r="L6" s="2"/>
      <c r="M6" s="2"/>
    </row>
    <row r="7" spans="1:13" ht="15.75" customHeight="1">
      <c r="B7" s="103"/>
      <c r="C7" s="103"/>
      <c r="D7" s="103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30" t="s">
        <v>221</v>
      </c>
      <c r="B8" s="230"/>
      <c r="C8" s="230"/>
      <c r="D8" s="230"/>
      <c r="E8" s="230"/>
      <c r="F8" s="230"/>
      <c r="G8" s="230"/>
      <c r="H8" s="230"/>
      <c r="I8" s="230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31" t="s">
        <v>133</v>
      </c>
      <c r="B10" s="231"/>
      <c r="C10" s="231"/>
      <c r="D10" s="231"/>
      <c r="E10" s="231"/>
      <c r="F10" s="231"/>
      <c r="G10" s="231"/>
      <c r="H10" s="231"/>
      <c r="I10" s="231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33" t="s">
        <v>57</v>
      </c>
      <c r="B14" s="233"/>
      <c r="C14" s="233"/>
      <c r="D14" s="233"/>
      <c r="E14" s="233"/>
      <c r="F14" s="233"/>
      <c r="G14" s="233"/>
      <c r="H14" s="233"/>
      <c r="I14" s="233"/>
      <c r="J14" s="8"/>
      <c r="K14" s="8"/>
      <c r="L14" s="8"/>
      <c r="M14" s="8"/>
    </row>
    <row r="15" spans="1:13" ht="15.75" customHeight="1">
      <c r="A15" s="234" t="s">
        <v>4</v>
      </c>
      <c r="B15" s="234"/>
      <c r="C15" s="234"/>
      <c r="D15" s="234"/>
      <c r="E15" s="234"/>
      <c r="F15" s="234"/>
      <c r="G15" s="234"/>
      <c r="H15" s="234"/>
      <c r="I15" s="234"/>
      <c r="J15" s="8"/>
      <c r="K15" s="8"/>
      <c r="L15" s="8"/>
      <c r="M15" s="8"/>
    </row>
    <row r="16" spans="1:13" ht="15.75" customHeight="1">
      <c r="A16" s="29">
        <v>1</v>
      </c>
      <c r="B16" s="32" t="s">
        <v>81</v>
      </c>
      <c r="C16" s="133" t="s">
        <v>87</v>
      </c>
      <c r="D16" s="32" t="s">
        <v>178</v>
      </c>
      <c r="E16" s="146">
        <v>129.88</v>
      </c>
      <c r="F16" s="134">
        <f>SUM(E16*156/100)</f>
        <v>202.61279999999999</v>
      </c>
      <c r="G16" s="134">
        <v>239.2</v>
      </c>
      <c r="H16" s="83">
        <f t="shared" ref="H16:H26" si="0">SUM(F16*G16/1000)</f>
        <v>48.464981759999993</v>
      </c>
      <c r="I16" s="13">
        <f>F16/12*G16</f>
        <v>4038.7484799999997</v>
      </c>
      <c r="J16" s="8"/>
      <c r="K16" s="8"/>
      <c r="L16" s="8"/>
      <c r="M16" s="8"/>
    </row>
    <row r="17" spans="1:13" ht="15.75" customHeight="1">
      <c r="A17" s="29">
        <v>2</v>
      </c>
      <c r="B17" s="32" t="s">
        <v>83</v>
      </c>
      <c r="C17" s="133" t="s">
        <v>87</v>
      </c>
      <c r="D17" s="32" t="s">
        <v>179</v>
      </c>
      <c r="E17" s="146">
        <v>519.52</v>
      </c>
      <c r="F17" s="134">
        <f>SUM(E17*104/100)</f>
        <v>540.30079999999998</v>
      </c>
      <c r="G17" s="134">
        <v>239.2</v>
      </c>
      <c r="H17" s="83">
        <f t="shared" si="0"/>
        <v>129.23995135999999</v>
      </c>
      <c r="I17" s="13">
        <f>F17/12*G17</f>
        <v>10769.995946666666</v>
      </c>
      <c r="J17" s="22"/>
      <c r="K17" s="8"/>
      <c r="L17" s="8"/>
      <c r="M17" s="8"/>
    </row>
    <row r="18" spans="1:13" ht="15.75" customHeight="1">
      <c r="A18" s="29">
        <v>3</v>
      </c>
      <c r="B18" s="32" t="s">
        <v>84</v>
      </c>
      <c r="C18" s="133" t="s">
        <v>87</v>
      </c>
      <c r="D18" s="32" t="s">
        <v>187</v>
      </c>
      <c r="E18" s="146">
        <f>SUM(E16+E17)</f>
        <v>649.4</v>
      </c>
      <c r="F18" s="134">
        <f>SUM(E18*18/100)</f>
        <v>116.892</v>
      </c>
      <c r="G18" s="134">
        <v>688.14</v>
      </c>
      <c r="H18" s="83">
        <f t="shared" si="0"/>
        <v>80.438060879999995</v>
      </c>
      <c r="I18" s="13">
        <f>F18/18*G18</f>
        <v>4468.7811599999995</v>
      </c>
      <c r="J18" s="22"/>
      <c r="K18" s="8"/>
      <c r="L18" s="8"/>
      <c r="M18" s="8"/>
    </row>
    <row r="19" spans="1:13" ht="15.75" hidden="1" customHeight="1">
      <c r="A19" s="29">
        <v>4</v>
      </c>
      <c r="B19" s="79" t="s">
        <v>88</v>
      </c>
      <c r="C19" s="80" t="s">
        <v>89</v>
      </c>
      <c r="D19" s="79" t="s">
        <v>90</v>
      </c>
      <c r="E19" s="81">
        <v>124.8</v>
      </c>
      <c r="F19" s="82">
        <f>SUM(E19/10)</f>
        <v>12.48</v>
      </c>
      <c r="G19" s="82">
        <v>170.16</v>
      </c>
      <c r="H19" s="83">
        <f t="shared" si="0"/>
        <v>2.1235967999999996</v>
      </c>
      <c r="I19" s="13">
        <f>F19/2*G19</f>
        <v>1061.7983999999999</v>
      </c>
      <c r="J19" s="22"/>
      <c r="K19" s="8"/>
      <c r="L19" s="8"/>
      <c r="M19" s="8"/>
    </row>
    <row r="20" spans="1:13" ht="15.75" customHeight="1">
      <c r="A20" s="29">
        <v>4</v>
      </c>
      <c r="B20" s="32" t="s">
        <v>93</v>
      </c>
      <c r="C20" s="133" t="s">
        <v>87</v>
      </c>
      <c r="D20" s="32" t="s">
        <v>187</v>
      </c>
      <c r="E20" s="146">
        <v>57.5</v>
      </c>
      <c r="F20" s="134">
        <f>SUM(E20*12/100)</f>
        <v>6.9</v>
      </c>
      <c r="G20" s="134">
        <v>297.19</v>
      </c>
      <c r="H20" s="83">
        <f t="shared" si="0"/>
        <v>2.050611</v>
      </c>
      <c r="I20" s="13">
        <f>F20*G20/12</f>
        <v>170.88424999999998</v>
      </c>
      <c r="J20" s="22"/>
      <c r="K20" s="8"/>
      <c r="L20" s="8"/>
      <c r="M20" s="8"/>
    </row>
    <row r="21" spans="1:13" ht="20.25" customHeight="1">
      <c r="A21" s="29">
        <v>5</v>
      </c>
      <c r="B21" s="32" t="s">
        <v>94</v>
      </c>
      <c r="C21" s="133" t="s">
        <v>87</v>
      </c>
      <c r="D21" s="32" t="s">
        <v>187</v>
      </c>
      <c r="E21" s="146">
        <v>13.41</v>
      </c>
      <c r="F21" s="134">
        <f>SUM(E21*12/100)</f>
        <v>1.6092000000000002</v>
      </c>
      <c r="G21" s="134">
        <v>294.77999999999997</v>
      </c>
      <c r="H21" s="83">
        <f t="shared" si="0"/>
        <v>0.47435997600000002</v>
      </c>
      <c r="I21" s="13">
        <f>F21*G21/12</f>
        <v>39.529997999999999</v>
      </c>
      <c r="J21" s="22"/>
      <c r="K21" s="8"/>
      <c r="L21" s="8"/>
      <c r="M21" s="8"/>
    </row>
    <row r="22" spans="1:13" ht="21.75" hidden="1" customHeight="1">
      <c r="A22" s="29">
        <v>7</v>
      </c>
      <c r="B22" s="79" t="s">
        <v>95</v>
      </c>
      <c r="C22" s="80" t="s">
        <v>51</v>
      </c>
      <c r="D22" s="79" t="s">
        <v>90</v>
      </c>
      <c r="E22" s="81">
        <v>820.5</v>
      </c>
      <c r="F22" s="82">
        <f>SUM(E22/100)</f>
        <v>8.2050000000000001</v>
      </c>
      <c r="G22" s="82">
        <v>269.26</v>
      </c>
      <c r="H22" s="83">
        <f t="shared" si="0"/>
        <v>2.2092782999999998</v>
      </c>
      <c r="I22" s="13">
        <f t="shared" ref="I22:I26" si="1">F22*G22</f>
        <v>2209.2782999999999</v>
      </c>
      <c r="J22" s="22"/>
      <c r="K22" s="8"/>
      <c r="L22" s="8"/>
      <c r="M22" s="8"/>
    </row>
    <row r="23" spans="1:13" ht="22.5" hidden="1" customHeight="1">
      <c r="A23" s="29">
        <v>8</v>
      </c>
      <c r="B23" s="79" t="s">
        <v>96</v>
      </c>
      <c r="C23" s="80" t="s">
        <v>51</v>
      </c>
      <c r="D23" s="79" t="s">
        <v>90</v>
      </c>
      <c r="E23" s="84">
        <v>60.25</v>
      </c>
      <c r="F23" s="82">
        <f>SUM(E23/100)</f>
        <v>0.60250000000000004</v>
      </c>
      <c r="G23" s="82">
        <v>44.29</v>
      </c>
      <c r="H23" s="83">
        <f t="shared" si="0"/>
        <v>2.6684724999999999E-2</v>
      </c>
      <c r="I23" s="13">
        <f t="shared" si="1"/>
        <v>26.684725</v>
      </c>
      <c r="J23" s="22"/>
      <c r="K23" s="8"/>
      <c r="L23" s="8"/>
      <c r="M23" s="8"/>
    </row>
    <row r="24" spans="1:13" ht="13.5" hidden="1" customHeight="1">
      <c r="A24" s="29">
        <v>9</v>
      </c>
      <c r="B24" s="79" t="s">
        <v>91</v>
      </c>
      <c r="C24" s="80" t="s">
        <v>51</v>
      </c>
      <c r="D24" s="79" t="s">
        <v>92</v>
      </c>
      <c r="E24" s="81">
        <v>19.149999999999999</v>
      </c>
      <c r="F24" s="82">
        <f>E24/100</f>
        <v>0.19149999999999998</v>
      </c>
      <c r="G24" s="82">
        <v>389.72</v>
      </c>
      <c r="H24" s="83">
        <f t="shared" si="0"/>
        <v>7.4631379999999997E-2</v>
      </c>
      <c r="I24" s="13">
        <f t="shared" si="1"/>
        <v>74.631379999999993</v>
      </c>
      <c r="J24" s="22"/>
      <c r="K24" s="8"/>
      <c r="L24" s="8"/>
      <c r="M24" s="8"/>
    </row>
    <row r="25" spans="1:13" ht="15.75" hidden="1" customHeight="1">
      <c r="A25" s="29">
        <v>10</v>
      </c>
      <c r="B25" s="79" t="s">
        <v>98</v>
      </c>
      <c r="C25" s="80" t="s">
        <v>51</v>
      </c>
      <c r="D25" s="79" t="s">
        <v>52</v>
      </c>
      <c r="E25" s="81">
        <v>31.5</v>
      </c>
      <c r="F25" s="82">
        <v>0.32</v>
      </c>
      <c r="G25" s="82">
        <v>216.12</v>
      </c>
      <c r="H25" s="83">
        <f t="shared" si="0"/>
        <v>6.9158399999999995E-2</v>
      </c>
      <c r="I25" s="13">
        <f t="shared" si="1"/>
        <v>69.1584</v>
      </c>
      <c r="J25" s="22"/>
      <c r="K25" s="8"/>
      <c r="L25" s="8"/>
      <c r="M25" s="8"/>
    </row>
    <row r="26" spans="1:13" ht="18" hidden="1" customHeight="1">
      <c r="A26" s="29">
        <v>11</v>
      </c>
      <c r="B26" s="79" t="s">
        <v>97</v>
      </c>
      <c r="C26" s="80" t="s">
        <v>51</v>
      </c>
      <c r="D26" s="79" t="s">
        <v>90</v>
      </c>
      <c r="E26" s="81">
        <v>37.5</v>
      </c>
      <c r="F26" s="82">
        <f>SUM(E26/100)</f>
        <v>0.375</v>
      </c>
      <c r="G26" s="82">
        <v>520.79999999999995</v>
      </c>
      <c r="H26" s="83">
        <f t="shared" si="0"/>
        <v>0.19529999999999997</v>
      </c>
      <c r="I26" s="13">
        <f t="shared" si="1"/>
        <v>195.29999999999998</v>
      </c>
      <c r="J26" s="22"/>
      <c r="K26" s="8"/>
      <c r="L26" s="8"/>
      <c r="M26" s="8"/>
    </row>
    <row r="27" spans="1:13" ht="15.75" hidden="1" customHeight="1">
      <c r="A27" s="29">
        <v>6</v>
      </c>
      <c r="B27" s="32" t="s">
        <v>177</v>
      </c>
      <c r="C27" s="133" t="s">
        <v>26</v>
      </c>
      <c r="D27" s="32" t="s">
        <v>182</v>
      </c>
      <c r="E27" s="169">
        <v>4.88</v>
      </c>
      <c r="F27" s="134">
        <f>E27*258</f>
        <v>1259.04</v>
      </c>
      <c r="G27" s="134">
        <v>10.39</v>
      </c>
      <c r="H27" s="83">
        <f t="shared" ref="H27" si="2">SUM(F27*G27/1000)</f>
        <v>13.081425600000001</v>
      </c>
      <c r="I27" s="13">
        <f>F27/12*G27</f>
        <v>1090.1188</v>
      </c>
      <c r="J27" s="22"/>
      <c r="K27" s="8"/>
      <c r="L27" s="8"/>
      <c r="M27" s="8"/>
    </row>
    <row r="28" spans="1:13" ht="15.75" customHeight="1">
      <c r="A28" s="234" t="s">
        <v>80</v>
      </c>
      <c r="B28" s="234"/>
      <c r="C28" s="234"/>
      <c r="D28" s="234"/>
      <c r="E28" s="234"/>
      <c r="F28" s="234"/>
      <c r="G28" s="234"/>
      <c r="H28" s="234"/>
      <c r="I28" s="234"/>
      <c r="J28" s="22"/>
      <c r="K28" s="8"/>
      <c r="L28" s="8"/>
      <c r="M28" s="8"/>
    </row>
    <row r="29" spans="1:13" ht="15" hidden="1" customHeight="1">
      <c r="A29" s="40"/>
      <c r="B29" s="50" t="s">
        <v>29</v>
      </c>
      <c r="C29" s="50"/>
      <c r="D29" s="50"/>
      <c r="E29" s="50"/>
      <c r="F29" s="50"/>
      <c r="G29" s="50"/>
      <c r="H29" s="50"/>
      <c r="I29" s="18"/>
      <c r="J29" s="22"/>
      <c r="K29" s="8"/>
      <c r="L29" s="8"/>
      <c r="M29" s="8"/>
    </row>
    <row r="30" spans="1:13" ht="27.75" hidden="1" customHeight="1">
      <c r="A30" s="40">
        <v>6</v>
      </c>
      <c r="B30" s="135" t="s">
        <v>99</v>
      </c>
      <c r="C30" s="136" t="s">
        <v>100</v>
      </c>
      <c r="D30" s="135" t="s">
        <v>162</v>
      </c>
      <c r="E30" s="138">
        <v>1304.45</v>
      </c>
      <c r="F30" s="138">
        <f>SUM(E30*52/1000)</f>
        <v>67.831400000000002</v>
      </c>
      <c r="G30" s="138">
        <v>212.62</v>
      </c>
      <c r="H30" s="83">
        <f t="shared" ref="H30:H35" si="3">SUM(F30*G30/1000)</f>
        <v>14.422312268000001</v>
      </c>
      <c r="I30" s="13">
        <f>F30/6*G30</f>
        <v>2403.7187113333334</v>
      </c>
      <c r="J30" s="22"/>
      <c r="K30" s="8"/>
      <c r="L30" s="8"/>
      <c r="M30" s="8"/>
    </row>
    <row r="31" spans="1:13" ht="27.75" hidden="1" customHeight="1">
      <c r="A31" s="40">
        <v>7</v>
      </c>
      <c r="B31" s="135" t="s">
        <v>137</v>
      </c>
      <c r="C31" s="136" t="s">
        <v>100</v>
      </c>
      <c r="D31" s="135" t="s">
        <v>163</v>
      </c>
      <c r="E31" s="138">
        <v>287.83999999999997</v>
      </c>
      <c r="F31" s="138">
        <f>SUM(E31*52/1000)</f>
        <v>14.967679999999998</v>
      </c>
      <c r="G31" s="138">
        <v>352.77</v>
      </c>
      <c r="H31" s="83">
        <f t="shared" si="3"/>
        <v>5.2801484735999997</v>
      </c>
      <c r="I31" s="13">
        <f t="shared" ref="I31:I33" si="4">F31/6*G31</f>
        <v>880.02474559999985</v>
      </c>
      <c r="J31" s="22"/>
      <c r="K31" s="8"/>
      <c r="L31" s="8"/>
      <c r="M31" s="8"/>
    </row>
    <row r="32" spans="1:13" ht="24" hidden="1" customHeight="1">
      <c r="A32" s="40">
        <v>16</v>
      </c>
      <c r="B32" s="135" t="s">
        <v>28</v>
      </c>
      <c r="C32" s="136" t="s">
        <v>100</v>
      </c>
      <c r="D32" s="135" t="s">
        <v>52</v>
      </c>
      <c r="E32" s="138">
        <v>1304.45</v>
      </c>
      <c r="F32" s="138">
        <f>SUM(E32/1000)</f>
        <v>1.3044500000000001</v>
      </c>
      <c r="G32" s="138">
        <v>4119.68</v>
      </c>
      <c r="H32" s="83">
        <f t="shared" si="3"/>
        <v>5.3739165760000009</v>
      </c>
      <c r="I32" s="13">
        <f>F32*G32</f>
        <v>5373.9165760000005</v>
      </c>
      <c r="J32" s="22"/>
      <c r="K32" s="8"/>
      <c r="L32" s="8"/>
      <c r="M32" s="8"/>
    </row>
    <row r="33" spans="1:14" ht="23.25" hidden="1" customHeight="1">
      <c r="A33" s="40">
        <v>8</v>
      </c>
      <c r="B33" s="135" t="s">
        <v>103</v>
      </c>
      <c r="C33" s="136" t="s">
        <v>31</v>
      </c>
      <c r="D33" s="135" t="s">
        <v>61</v>
      </c>
      <c r="E33" s="140">
        <v>0.33333333333333331</v>
      </c>
      <c r="F33" s="138">
        <f>155/3</f>
        <v>51.666666666666664</v>
      </c>
      <c r="G33" s="138">
        <v>77.33</v>
      </c>
      <c r="H33" s="83">
        <f t="shared" si="3"/>
        <v>3.9953833333333333</v>
      </c>
      <c r="I33" s="13">
        <f t="shared" si="4"/>
        <v>665.89722222222213</v>
      </c>
      <c r="J33" s="23"/>
    </row>
    <row r="34" spans="1:14" ht="21" hidden="1" customHeight="1">
      <c r="A34" s="40">
        <v>4</v>
      </c>
      <c r="B34" s="135" t="s">
        <v>62</v>
      </c>
      <c r="C34" s="136" t="s">
        <v>33</v>
      </c>
      <c r="D34" s="135" t="s">
        <v>61</v>
      </c>
      <c r="E34" s="139">
        <v>0.2</v>
      </c>
      <c r="F34" s="138">
        <f>SUM(E34*155)</f>
        <v>31</v>
      </c>
      <c r="G34" s="138">
        <v>275.45</v>
      </c>
      <c r="H34" s="83">
        <f t="shared" si="3"/>
        <v>8.538949999999998</v>
      </c>
      <c r="I34" s="13">
        <v>0</v>
      </c>
      <c r="J34" s="23"/>
    </row>
    <row r="35" spans="1:14" ht="28.5" hidden="1" customHeight="1">
      <c r="A35" s="29">
        <v>8</v>
      </c>
      <c r="B35" s="135" t="s">
        <v>63</v>
      </c>
      <c r="C35" s="136" t="s">
        <v>33</v>
      </c>
      <c r="D35" s="135" t="s">
        <v>164</v>
      </c>
      <c r="E35" s="137"/>
      <c r="F35" s="138">
        <v>2</v>
      </c>
      <c r="G35" s="138">
        <v>260.95</v>
      </c>
      <c r="H35" s="83">
        <f t="shared" si="3"/>
        <v>0.52190000000000003</v>
      </c>
      <c r="I35" s="13">
        <v>0</v>
      </c>
      <c r="J35" s="23"/>
    </row>
    <row r="36" spans="1:14" ht="27.75" hidden="1" customHeight="1">
      <c r="A36" s="29"/>
      <c r="B36" s="135" t="s">
        <v>64</v>
      </c>
      <c r="C36" s="136" t="s">
        <v>32</v>
      </c>
      <c r="D36" s="135" t="s">
        <v>164</v>
      </c>
      <c r="E36" s="137"/>
      <c r="F36" s="138">
        <v>1</v>
      </c>
      <c r="G36" s="138">
        <v>1549.92</v>
      </c>
      <c r="H36" s="94"/>
      <c r="I36" s="13"/>
      <c r="J36" s="23"/>
    </row>
    <row r="37" spans="1:14" ht="15.75" customHeight="1">
      <c r="A37" s="40"/>
      <c r="B37" s="48" t="s">
        <v>5</v>
      </c>
      <c r="C37" s="48"/>
      <c r="D37" s="48"/>
      <c r="E37" s="13"/>
      <c r="F37" s="13"/>
      <c r="G37" s="14"/>
      <c r="H37" s="14"/>
      <c r="I37" s="18"/>
      <c r="J37" s="23"/>
    </row>
    <row r="38" spans="1:14" ht="36" customHeight="1">
      <c r="A38" s="33">
        <v>6</v>
      </c>
      <c r="B38" s="149" t="s">
        <v>27</v>
      </c>
      <c r="C38" s="133" t="s">
        <v>32</v>
      </c>
      <c r="D38" s="32" t="s">
        <v>392</v>
      </c>
      <c r="E38" s="146"/>
      <c r="F38" s="134">
        <v>8</v>
      </c>
      <c r="G38" s="134">
        <v>2083</v>
      </c>
      <c r="H38" s="83">
        <f t="shared" ref="H38:H45" si="5">SUM(F38*G38/1000)</f>
        <v>16.664000000000001</v>
      </c>
      <c r="I38" s="13">
        <f>G38*1.5</f>
        <v>3124.5</v>
      </c>
      <c r="J38" s="23"/>
    </row>
    <row r="39" spans="1:14" ht="15.75" customHeight="1">
      <c r="A39" s="33">
        <v>7</v>
      </c>
      <c r="B39" s="149" t="s">
        <v>121</v>
      </c>
      <c r="C39" s="150" t="s">
        <v>30</v>
      </c>
      <c r="D39" s="149" t="s">
        <v>183</v>
      </c>
      <c r="E39" s="151">
        <v>287.83999999999997</v>
      </c>
      <c r="F39" s="151">
        <f>SUM(E39*30/1000)</f>
        <v>8.6351999999999993</v>
      </c>
      <c r="G39" s="151">
        <v>2868.09</v>
      </c>
      <c r="H39" s="83">
        <f t="shared" si="5"/>
        <v>24.766530767999999</v>
      </c>
      <c r="I39" s="13">
        <f>F39/6*G39</f>
        <v>4127.7551279999998</v>
      </c>
      <c r="J39" s="23"/>
    </row>
    <row r="40" spans="1:14" ht="31.5" customHeight="1">
      <c r="A40" s="33">
        <v>8</v>
      </c>
      <c r="B40" s="149" t="s">
        <v>165</v>
      </c>
      <c r="C40" s="150" t="s">
        <v>30</v>
      </c>
      <c r="D40" s="32" t="s">
        <v>184</v>
      </c>
      <c r="E40" s="146">
        <v>287.83999999999997</v>
      </c>
      <c r="F40" s="151">
        <f>E40*155/1000</f>
        <v>44.615199999999994</v>
      </c>
      <c r="G40" s="134">
        <v>478.42</v>
      </c>
      <c r="H40" s="83">
        <f>G40*F40/1000</f>
        <v>21.344803983999999</v>
      </c>
      <c r="I40" s="13">
        <f>F40/6*G40</f>
        <v>3557.4673306666664</v>
      </c>
      <c r="J40" s="23"/>
    </row>
    <row r="41" spans="1:14" ht="15.75" hidden="1" customHeight="1">
      <c r="A41" s="33">
        <v>7</v>
      </c>
      <c r="B41" s="149" t="s">
        <v>165</v>
      </c>
      <c r="C41" s="150" t="s">
        <v>30</v>
      </c>
      <c r="D41" s="32" t="s">
        <v>194</v>
      </c>
      <c r="E41" s="146">
        <v>287.83999999999997</v>
      </c>
      <c r="F41" s="151">
        <f>E41*155/1000</f>
        <v>44.615199999999994</v>
      </c>
      <c r="G41" s="134">
        <v>478.42</v>
      </c>
      <c r="H41" s="83">
        <f>G41*F41/1000</f>
        <v>21.344803983999999</v>
      </c>
      <c r="I41" s="13">
        <v>0</v>
      </c>
      <c r="J41" s="23"/>
    </row>
    <row r="42" spans="1:14" ht="48.75" customHeight="1">
      <c r="A42" s="33">
        <v>9</v>
      </c>
      <c r="B42" s="32" t="s">
        <v>78</v>
      </c>
      <c r="C42" s="133" t="s">
        <v>100</v>
      </c>
      <c r="D42" s="32" t="s">
        <v>185</v>
      </c>
      <c r="E42" s="134">
        <v>130.6</v>
      </c>
      <c r="F42" s="151">
        <f>SUM(E42*35/1000)</f>
        <v>4.5709999999999997</v>
      </c>
      <c r="G42" s="134">
        <v>7915.6</v>
      </c>
      <c r="H42" s="83">
        <f t="shared" si="5"/>
        <v>36.182207599999998</v>
      </c>
      <c r="I42" s="13">
        <f>F42/6*G42</f>
        <v>6030.367933333333</v>
      </c>
      <c r="J42" s="23"/>
    </row>
    <row r="43" spans="1:14" ht="19.5" hidden="1" customHeight="1">
      <c r="A43" s="33">
        <v>11</v>
      </c>
      <c r="B43" s="32" t="s">
        <v>106</v>
      </c>
      <c r="C43" s="133" t="s">
        <v>100</v>
      </c>
      <c r="D43" s="149"/>
      <c r="E43" s="134">
        <v>287.83999999999997</v>
      </c>
      <c r="F43" s="151">
        <f>SUM(E43*45/1000)</f>
        <v>12.9528</v>
      </c>
      <c r="G43" s="134">
        <v>584.74</v>
      </c>
      <c r="H43" s="83">
        <f t="shared" si="5"/>
        <v>7.5740202719999994</v>
      </c>
      <c r="I43" s="13">
        <f>G43*F43/45*1</f>
        <v>168.3115616</v>
      </c>
      <c r="J43" s="23"/>
      <c r="L43" s="19"/>
      <c r="M43" s="20"/>
      <c r="N43" s="21"/>
    </row>
    <row r="44" spans="1:14" ht="15.75" hidden="1" customHeight="1">
      <c r="A44" s="33">
        <v>12</v>
      </c>
      <c r="B44" s="149" t="s">
        <v>68</v>
      </c>
      <c r="C44" s="150" t="s">
        <v>33</v>
      </c>
      <c r="D44" s="149"/>
      <c r="E44" s="152"/>
      <c r="F44" s="151">
        <v>0.9</v>
      </c>
      <c r="G44" s="151">
        <v>800</v>
      </c>
      <c r="H44" s="83">
        <f t="shared" si="5"/>
        <v>0.72</v>
      </c>
      <c r="I44" s="13">
        <f>G44*F44/45*1</f>
        <v>16</v>
      </c>
      <c r="J44" s="23"/>
      <c r="L44" s="19"/>
      <c r="M44" s="20"/>
      <c r="N44" s="21"/>
    </row>
    <row r="45" spans="1:14" ht="30.75" customHeight="1">
      <c r="A45" s="141">
        <v>10</v>
      </c>
      <c r="B45" s="149" t="s">
        <v>166</v>
      </c>
      <c r="C45" s="150" t="s">
        <v>100</v>
      </c>
      <c r="D45" s="149" t="s">
        <v>186</v>
      </c>
      <c r="E45" s="152">
        <v>0.6</v>
      </c>
      <c r="F45" s="151">
        <v>0.01</v>
      </c>
      <c r="G45" s="151">
        <v>18798.34</v>
      </c>
      <c r="H45" s="95">
        <f t="shared" si="5"/>
        <v>0.18798340000000002</v>
      </c>
      <c r="I45" s="114">
        <f>F45/6*G45</f>
        <v>31.33056666666667</v>
      </c>
      <c r="J45" s="23"/>
      <c r="L45" s="19"/>
      <c r="M45" s="20"/>
      <c r="N45" s="21"/>
    </row>
    <row r="46" spans="1:14" ht="15.75" customHeight="1">
      <c r="A46" s="238" t="s">
        <v>134</v>
      </c>
      <c r="B46" s="239"/>
      <c r="C46" s="239"/>
      <c r="D46" s="239"/>
      <c r="E46" s="239"/>
      <c r="F46" s="239"/>
      <c r="G46" s="239"/>
      <c r="H46" s="239"/>
      <c r="I46" s="240"/>
      <c r="J46" s="23"/>
      <c r="L46" s="19"/>
      <c r="M46" s="20"/>
      <c r="N46" s="21"/>
    </row>
    <row r="47" spans="1:14" ht="15.75" hidden="1" customHeight="1">
      <c r="A47" s="40">
        <v>9</v>
      </c>
      <c r="B47" s="79" t="s">
        <v>126</v>
      </c>
      <c r="C47" s="80" t="s">
        <v>100</v>
      </c>
      <c r="D47" s="79" t="s">
        <v>41</v>
      </c>
      <c r="E47" s="81">
        <v>1369</v>
      </c>
      <c r="F47" s="82">
        <f>SUM(E47*2/1000)</f>
        <v>2.738</v>
      </c>
      <c r="G47" s="13">
        <v>849.49</v>
      </c>
      <c r="H47" s="83">
        <f t="shared" ref="H47:H55" si="6">SUM(F47*G47/1000)</f>
        <v>2.3259036200000001</v>
      </c>
      <c r="I47" s="13">
        <f t="shared" ref="I47:I49" si="7">F47/2*G47</f>
        <v>1162.95181</v>
      </c>
      <c r="J47" s="23"/>
      <c r="L47" s="19"/>
      <c r="M47" s="20"/>
      <c r="N47" s="21"/>
    </row>
    <row r="48" spans="1:14" ht="15.75" hidden="1" customHeight="1">
      <c r="A48" s="40">
        <v>10</v>
      </c>
      <c r="B48" s="79" t="s">
        <v>34</v>
      </c>
      <c r="C48" s="80" t="s">
        <v>100</v>
      </c>
      <c r="D48" s="79" t="s">
        <v>41</v>
      </c>
      <c r="E48" s="81">
        <v>1418</v>
      </c>
      <c r="F48" s="82">
        <f>SUM(E48*2/1000)</f>
        <v>2.8359999999999999</v>
      </c>
      <c r="G48" s="13">
        <v>579.48</v>
      </c>
      <c r="H48" s="83">
        <f t="shared" si="6"/>
        <v>1.6434052799999999</v>
      </c>
      <c r="I48" s="13">
        <f t="shared" si="7"/>
        <v>821.70263999999997</v>
      </c>
      <c r="J48" s="23"/>
      <c r="L48" s="19"/>
      <c r="M48" s="20"/>
      <c r="N48" s="21"/>
    </row>
    <row r="49" spans="1:14" ht="15.75" hidden="1" customHeight="1">
      <c r="A49" s="40">
        <v>11</v>
      </c>
      <c r="B49" s="79" t="s">
        <v>35</v>
      </c>
      <c r="C49" s="80" t="s">
        <v>100</v>
      </c>
      <c r="D49" s="79" t="s">
        <v>41</v>
      </c>
      <c r="E49" s="81">
        <v>4985.21</v>
      </c>
      <c r="F49" s="82">
        <f>SUM(E49*2/1000)</f>
        <v>9.9704200000000007</v>
      </c>
      <c r="G49" s="13">
        <v>579.48</v>
      </c>
      <c r="H49" s="83">
        <f t="shared" si="6"/>
        <v>5.7776589816000001</v>
      </c>
      <c r="I49" s="13">
        <f t="shared" si="7"/>
        <v>2888.8294908000003</v>
      </c>
      <c r="J49" s="23"/>
      <c r="L49" s="19"/>
      <c r="M49" s="20"/>
      <c r="N49" s="21"/>
    </row>
    <row r="50" spans="1:14" ht="15.75" hidden="1" customHeight="1">
      <c r="A50" s="40">
        <v>12</v>
      </c>
      <c r="B50" s="79" t="s">
        <v>36</v>
      </c>
      <c r="C50" s="80" t="s">
        <v>100</v>
      </c>
      <c r="D50" s="79" t="s">
        <v>41</v>
      </c>
      <c r="E50" s="81">
        <v>2474</v>
      </c>
      <c r="F50" s="82">
        <f>SUM(E50*2/1000)</f>
        <v>4.9480000000000004</v>
      </c>
      <c r="G50" s="13">
        <v>606.77</v>
      </c>
      <c r="H50" s="83">
        <f t="shared" si="6"/>
        <v>3.0022979600000004</v>
      </c>
      <c r="I50" s="13">
        <f>F50/2*G50</f>
        <v>1501.1489800000002</v>
      </c>
      <c r="J50" s="23"/>
      <c r="L50" s="19"/>
      <c r="M50" s="20"/>
      <c r="N50" s="21"/>
    </row>
    <row r="51" spans="1:14" ht="15.75" customHeight="1">
      <c r="A51" s="40">
        <v>11</v>
      </c>
      <c r="B51" s="32" t="s">
        <v>54</v>
      </c>
      <c r="C51" s="133" t="s">
        <v>100</v>
      </c>
      <c r="D51" s="32" t="s">
        <v>181</v>
      </c>
      <c r="E51" s="146">
        <v>5162.6000000000004</v>
      </c>
      <c r="F51" s="134">
        <f>SUM(E51*5/1000)</f>
        <v>25.812999999999999</v>
      </c>
      <c r="G51" s="36">
        <v>1655.27</v>
      </c>
      <c r="H51" s="83">
        <f t="shared" si="6"/>
        <v>42.727484509999996</v>
      </c>
      <c r="I51" s="13">
        <f>F51/5*G51</f>
        <v>8545.496901999999</v>
      </c>
      <c r="J51" s="23"/>
      <c r="L51" s="19"/>
      <c r="M51" s="20"/>
      <c r="N51" s="21"/>
    </row>
    <row r="52" spans="1:14" ht="30.75" hidden="1" customHeight="1">
      <c r="A52" s="40">
        <v>9</v>
      </c>
      <c r="B52" s="79" t="s">
        <v>107</v>
      </c>
      <c r="C52" s="80" t="s">
        <v>100</v>
      </c>
      <c r="D52" s="79" t="s">
        <v>41</v>
      </c>
      <c r="E52" s="81">
        <v>1349.3</v>
      </c>
      <c r="F52" s="82">
        <f>SUM(E52*2/1000)</f>
        <v>2.6985999999999999</v>
      </c>
      <c r="G52" s="13">
        <v>1213.55</v>
      </c>
      <c r="H52" s="83">
        <f t="shared" si="6"/>
        <v>3.2748860299999998</v>
      </c>
      <c r="I52" s="13">
        <f>F52/2*G52</f>
        <v>1637.4430149999998</v>
      </c>
      <c r="J52" s="23"/>
      <c r="L52" s="19"/>
      <c r="M52" s="20"/>
      <c r="N52" s="21"/>
    </row>
    <row r="53" spans="1:14" ht="30.75" hidden="1" customHeight="1">
      <c r="A53" s="40">
        <v>10</v>
      </c>
      <c r="B53" s="79" t="s">
        <v>108</v>
      </c>
      <c r="C53" s="80" t="s">
        <v>37</v>
      </c>
      <c r="D53" s="79" t="s">
        <v>41</v>
      </c>
      <c r="E53" s="81">
        <v>40</v>
      </c>
      <c r="F53" s="82">
        <f>SUM(E53*2/100)</f>
        <v>0.8</v>
      </c>
      <c r="G53" s="13">
        <v>2730.49</v>
      </c>
      <c r="H53" s="83">
        <f t="shared" si="6"/>
        <v>2.1843919999999999</v>
      </c>
      <c r="I53" s="13">
        <f t="shared" ref="I53:I54" si="8">F53/2*G53</f>
        <v>1092.1959999999999</v>
      </c>
      <c r="J53" s="23"/>
      <c r="L53" s="19"/>
      <c r="M53" s="20"/>
      <c r="N53" s="21"/>
    </row>
    <row r="54" spans="1:14" ht="15.75" hidden="1" customHeight="1">
      <c r="A54" s="40">
        <v>11</v>
      </c>
      <c r="B54" s="79" t="s">
        <v>38</v>
      </c>
      <c r="C54" s="80" t="s">
        <v>39</v>
      </c>
      <c r="D54" s="79" t="s">
        <v>41</v>
      </c>
      <c r="E54" s="81">
        <v>1</v>
      </c>
      <c r="F54" s="82">
        <v>0.02</v>
      </c>
      <c r="G54" s="13">
        <v>5652.13</v>
      </c>
      <c r="H54" s="83">
        <f t="shared" si="6"/>
        <v>0.11304260000000001</v>
      </c>
      <c r="I54" s="13">
        <f t="shared" si="8"/>
        <v>56.521300000000004</v>
      </c>
      <c r="J54" s="23"/>
      <c r="L54" s="19"/>
      <c r="M54" s="20"/>
      <c r="N54" s="21"/>
    </row>
    <row r="55" spans="1:14" ht="15.75" hidden="1" customHeight="1">
      <c r="A55" s="40">
        <v>12</v>
      </c>
      <c r="B55" s="79" t="s">
        <v>40</v>
      </c>
      <c r="C55" s="80" t="s">
        <v>109</v>
      </c>
      <c r="D55" s="79" t="s">
        <v>69</v>
      </c>
      <c r="E55" s="81">
        <v>238</v>
      </c>
      <c r="F55" s="82">
        <f>SUM(E55)*3</f>
        <v>714</v>
      </c>
      <c r="G55" s="13">
        <v>65.67</v>
      </c>
      <c r="H55" s="83">
        <f t="shared" si="6"/>
        <v>46.888380000000005</v>
      </c>
      <c r="I55" s="13">
        <f>E55*G55</f>
        <v>15629.460000000001</v>
      </c>
      <c r="J55" s="23"/>
      <c r="L55" s="19"/>
      <c r="M55" s="20"/>
      <c r="N55" s="21"/>
    </row>
    <row r="56" spans="1:14" ht="15.75" customHeight="1">
      <c r="A56" s="238" t="s">
        <v>135</v>
      </c>
      <c r="B56" s="239"/>
      <c r="C56" s="239"/>
      <c r="D56" s="239"/>
      <c r="E56" s="239"/>
      <c r="F56" s="239"/>
      <c r="G56" s="239"/>
      <c r="H56" s="239"/>
      <c r="I56" s="240"/>
      <c r="J56" s="23"/>
      <c r="L56" s="19"/>
      <c r="M56" s="20"/>
      <c r="N56" s="21"/>
    </row>
    <row r="57" spans="1:14" ht="15.75" customHeight="1">
      <c r="A57" s="107"/>
      <c r="B57" s="47" t="s">
        <v>42</v>
      </c>
      <c r="C57" s="16"/>
      <c r="D57" s="15"/>
      <c r="E57" s="15"/>
      <c r="F57" s="15"/>
      <c r="G57" s="29"/>
      <c r="H57" s="29"/>
      <c r="I57" s="18"/>
      <c r="J57" s="23"/>
      <c r="L57" s="19"/>
      <c r="M57" s="20"/>
      <c r="N57" s="21"/>
    </row>
    <row r="58" spans="1:14" ht="31.5" customHeight="1">
      <c r="A58" s="40">
        <v>12</v>
      </c>
      <c r="B58" s="32" t="s">
        <v>110</v>
      </c>
      <c r="C58" s="133" t="s">
        <v>87</v>
      </c>
      <c r="D58" s="32"/>
      <c r="E58" s="146">
        <v>128.5</v>
      </c>
      <c r="F58" s="134">
        <f>SUM(E58*6/100)</f>
        <v>7.71</v>
      </c>
      <c r="G58" s="36">
        <v>2110.4699999999998</v>
      </c>
      <c r="H58" s="83">
        <f>SUM(F58*G58/1000)</f>
        <v>16.271723699999999</v>
      </c>
      <c r="I58" s="13">
        <f>G58*1.935</f>
        <v>4083.7594499999996</v>
      </c>
      <c r="J58" s="23"/>
      <c r="L58" s="19"/>
      <c r="M58" s="20"/>
      <c r="N58" s="21"/>
    </row>
    <row r="59" spans="1:14" ht="18" hidden="1" customHeight="1">
      <c r="A59" s="40">
        <v>16</v>
      </c>
      <c r="B59" s="32" t="s">
        <v>167</v>
      </c>
      <c r="C59" s="133" t="s">
        <v>87</v>
      </c>
      <c r="D59" s="32" t="s">
        <v>187</v>
      </c>
      <c r="E59" s="147">
        <v>69.5</v>
      </c>
      <c r="F59" s="148">
        <f>E59*6/100</f>
        <v>4.17</v>
      </c>
      <c r="G59" s="134">
        <v>2110.4699999999998</v>
      </c>
      <c r="H59" s="83">
        <f>F59*G59/1000</f>
        <v>8.8006598999999994</v>
      </c>
      <c r="I59" s="13">
        <f>F59/6*G59</f>
        <v>1466.7766499999998</v>
      </c>
      <c r="J59" s="23"/>
      <c r="L59" s="19"/>
      <c r="M59" s="20"/>
      <c r="N59" s="21"/>
    </row>
    <row r="60" spans="1:14" ht="40.5" customHeight="1">
      <c r="A60" s="40">
        <v>13</v>
      </c>
      <c r="B60" s="32" t="s">
        <v>160</v>
      </c>
      <c r="C60" s="133" t="s">
        <v>161</v>
      </c>
      <c r="D60" s="32" t="s">
        <v>395</v>
      </c>
      <c r="E60" s="180"/>
      <c r="F60" s="36">
        <v>8</v>
      </c>
      <c r="G60" s="151">
        <v>1645</v>
      </c>
      <c r="H60" s="94"/>
      <c r="I60" s="13">
        <f>G60*1</f>
        <v>1645</v>
      </c>
      <c r="J60" s="23"/>
      <c r="L60" s="19"/>
      <c r="M60" s="20"/>
      <c r="N60" s="21"/>
    </row>
    <row r="61" spans="1:14" ht="18" customHeight="1">
      <c r="A61" s="40"/>
      <c r="B61" s="106" t="s">
        <v>43</v>
      </c>
      <c r="C61" s="106"/>
      <c r="D61" s="106"/>
      <c r="E61" s="106"/>
      <c r="F61" s="106"/>
      <c r="G61" s="106"/>
      <c r="H61" s="106"/>
      <c r="I61" s="35"/>
      <c r="J61" s="23"/>
      <c r="L61" s="19"/>
      <c r="M61" s="20"/>
      <c r="N61" s="21"/>
    </row>
    <row r="62" spans="1:14" ht="15.75" hidden="1" customHeight="1">
      <c r="A62" s="40">
        <v>27</v>
      </c>
      <c r="B62" s="79" t="s">
        <v>139</v>
      </c>
      <c r="C62" s="80"/>
      <c r="D62" s="79" t="s">
        <v>52</v>
      </c>
      <c r="E62" s="81">
        <v>1349.3</v>
      </c>
      <c r="F62" s="83">
        <v>13.493</v>
      </c>
      <c r="G62" s="13">
        <v>793.61</v>
      </c>
      <c r="H62" s="89">
        <f>F62*G62/1000</f>
        <v>10.708179729999999</v>
      </c>
      <c r="I62" s="13">
        <v>0</v>
      </c>
      <c r="J62" s="23"/>
      <c r="L62" s="19"/>
      <c r="M62" s="20"/>
      <c r="N62" s="21"/>
    </row>
    <row r="63" spans="1:14" ht="15.75" customHeight="1">
      <c r="A63" s="40">
        <v>14</v>
      </c>
      <c r="B63" s="108" t="s">
        <v>86</v>
      </c>
      <c r="C63" s="109" t="s">
        <v>26</v>
      </c>
      <c r="D63" s="108" t="s">
        <v>187</v>
      </c>
      <c r="E63" s="110">
        <v>200</v>
      </c>
      <c r="F63" s="111">
        <f>E63*12</f>
        <v>2400</v>
      </c>
      <c r="G63" s="112">
        <v>1.4</v>
      </c>
      <c r="H63" s="95">
        <f>F63*G63</f>
        <v>3360</v>
      </c>
      <c r="I63" s="13">
        <f>F63/12*G63</f>
        <v>280</v>
      </c>
      <c r="J63" s="23"/>
      <c r="L63" s="19"/>
      <c r="M63" s="20"/>
      <c r="N63" s="21"/>
    </row>
    <row r="64" spans="1:14" ht="15.75" customHeight="1">
      <c r="A64" s="40"/>
      <c r="B64" s="106" t="s">
        <v>44</v>
      </c>
      <c r="C64" s="16"/>
      <c r="D64" s="37"/>
      <c r="E64" s="15"/>
      <c r="F64" s="15"/>
      <c r="G64" s="29"/>
      <c r="H64" s="29"/>
      <c r="I64" s="18"/>
      <c r="J64" s="23"/>
      <c r="L64" s="19"/>
    </row>
    <row r="65" spans="1:22" ht="15.75" customHeight="1">
      <c r="A65" s="40">
        <v>15</v>
      </c>
      <c r="B65" s="145" t="s">
        <v>45</v>
      </c>
      <c r="C65" s="38" t="s">
        <v>109</v>
      </c>
      <c r="D65" s="37" t="s">
        <v>187</v>
      </c>
      <c r="E65" s="17">
        <v>40</v>
      </c>
      <c r="F65" s="134">
        <f>E65</f>
        <v>40</v>
      </c>
      <c r="G65" s="36">
        <v>303.35000000000002</v>
      </c>
      <c r="H65" s="97">
        <f t="shared" ref="H65:H72" si="9">SUM(F65*G65/1000)</f>
        <v>12.134</v>
      </c>
      <c r="I65" s="13">
        <f>G65*1</f>
        <v>303.35000000000002</v>
      </c>
    </row>
    <row r="66" spans="1:22" ht="15.75" hidden="1" customHeight="1">
      <c r="A66" s="29">
        <v>29</v>
      </c>
      <c r="B66" s="96" t="s">
        <v>46</v>
      </c>
      <c r="C66" s="16" t="s">
        <v>109</v>
      </c>
      <c r="D66" s="96" t="s">
        <v>65</v>
      </c>
      <c r="E66" s="18">
        <v>20</v>
      </c>
      <c r="F66" s="82">
        <v>20</v>
      </c>
      <c r="G66" s="13">
        <v>76.25</v>
      </c>
      <c r="H66" s="97">
        <f t="shared" si="9"/>
        <v>1.5249999999999999</v>
      </c>
      <c r="I66" s="13">
        <v>0</v>
      </c>
    </row>
    <row r="67" spans="1:22" ht="15.75" hidden="1" customHeight="1">
      <c r="A67" s="29">
        <v>25</v>
      </c>
      <c r="B67" s="96" t="s">
        <v>47</v>
      </c>
      <c r="C67" s="16" t="s">
        <v>112</v>
      </c>
      <c r="D67" s="96" t="s">
        <v>52</v>
      </c>
      <c r="E67" s="81">
        <v>18890</v>
      </c>
      <c r="F67" s="13">
        <f>SUM(E67/100)</f>
        <v>188.9</v>
      </c>
      <c r="G67" s="13">
        <v>212.15</v>
      </c>
      <c r="H67" s="97">
        <f t="shared" si="9"/>
        <v>40.075135000000003</v>
      </c>
      <c r="I67" s="13">
        <f>F67*G67</f>
        <v>40075.135000000002</v>
      </c>
    </row>
    <row r="68" spans="1:22" ht="15.75" hidden="1" customHeight="1">
      <c r="A68" s="29">
        <v>26</v>
      </c>
      <c r="B68" s="96" t="s">
        <v>48</v>
      </c>
      <c r="C68" s="16" t="s">
        <v>113</v>
      </c>
      <c r="D68" s="96"/>
      <c r="E68" s="81">
        <v>18890</v>
      </c>
      <c r="F68" s="13">
        <f>SUM(E68/1000)</f>
        <v>18.89</v>
      </c>
      <c r="G68" s="13">
        <v>165.21</v>
      </c>
      <c r="H68" s="97">
        <f t="shared" si="9"/>
        <v>3.1208169000000003</v>
      </c>
      <c r="I68" s="13">
        <f t="shared" ref="I68:I71" si="10">F68*G68</f>
        <v>3120.8169000000003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9"/>
    </row>
    <row r="69" spans="1:22" ht="15.75" hidden="1" customHeight="1">
      <c r="A69" s="29">
        <v>27</v>
      </c>
      <c r="B69" s="96" t="s">
        <v>49</v>
      </c>
      <c r="C69" s="16" t="s">
        <v>75</v>
      </c>
      <c r="D69" s="96" t="s">
        <v>52</v>
      </c>
      <c r="E69" s="81">
        <v>3004</v>
      </c>
      <c r="F69" s="13">
        <f>SUM(E69/100)</f>
        <v>30.04</v>
      </c>
      <c r="G69" s="13">
        <v>2074.63</v>
      </c>
      <c r="H69" s="97">
        <f t="shared" si="9"/>
        <v>62.321885200000004</v>
      </c>
      <c r="I69" s="13">
        <f t="shared" si="10"/>
        <v>62321.885200000004</v>
      </c>
      <c r="J69" s="25"/>
      <c r="K69" s="25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2" ht="15.75" hidden="1" customHeight="1">
      <c r="A70" s="29">
        <v>28</v>
      </c>
      <c r="B70" s="98" t="s">
        <v>114</v>
      </c>
      <c r="C70" s="16" t="s">
        <v>33</v>
      </c>
      <c r="D70" s="96"/>
      <c r="E70" s="81">
        <v>15.8</v>
      </c>
      <c r="F70" s="13">
        <f>SUM(E70)</f>
        <v>15.8</v>
      </c>
      <c r="G70" s="13">
        <v>42.67</v>
      </c>
      <c r="H70" s="97">
        <f t="shared" si="9"/>
        <v>0.67418600000000006</v>
      </c>
      <c r="I70" s="13">
        <f t="shared" si="10"/>
        <v>674.18600000000004</v>
      </c>
      <c r="J70" s="3"/>
      <c r="K70" s="3"/>
      <c r="L70" s="3"/>
      <c r="M70" s="3"/>
      <c r="N70" s="3"/>
      <c r="O70" s="3"/>
      <c r="P70" s="3"/>
      <c r="Q70" s="3"/>
      <c r="S70" s="3"/>
      <c r="T70" s="3"/>
      <c r="U70" s="3"/>
    </row>
    <row r="71" spans="1:22" ht="15.75" hidden="1" customHeight="1">
      <c r="A71" s="29">
        <v>29</v>
      </c>
      <c r="B71" s="98" t="s">
        <v>115</v>
      </c>
      <c r="C71" s="16" t="s">
        <v>33</v>
      </c>
      <c r="D71" s="96"/>
      <c r="E71" s="81">
        <v>15.8</v>
      </c>
      <c r="F71" s="13">
        <f>SUM(E71)</f>
        <v>15.8</v>
      </c>
      <c r="G71" s="13">
        <v>39.81</v>
      </c>
      <c r="H71" s="97">
        <f t="shared" si="9"/>
        <v>0.62899800000000006</v>
      </c>
      <c r="I71" s="13">
        <f t="shared" si="10"/>
        <v>628.99800000000005</v>
      </c>
      <c r="J71" s="5"/>
      <c r="K71" s="5"/>
      <c r="L71" s="5"/>
      <c r="M71" s="5"/>
      <c r="N71" s="5"/>
      <c r="O71" s="5"/>
      <c r="P71" s="5"/>
      <c r="Q71" s="5"/>
      <c r="R71" s="213"/>
      <c r="S71" s="213"/>
      <c r="T71" s="213"/>
      <c r="U71" s="213"/>
    </row>
    <row r="72" spans="1:22" ht="20.25" hidden="1" customHeight="1">
      <c r="A72" s="29">
        <v>16</v>
      </c>
      <c r="B72" s="96" t="s">
        <v>55</v>
      </c>
      <c r="C72" s="16" t="s">
        <v>56</v>
      </c>
      <c r="D72" s="96" t="s">
        <v>52</v>
      </c>
      <c r="E72" s="18">
        <v>15</v>
      </c>
      <c r="F72" s="82">
        <v>15</v>
      </c>
      <c r="G72" s="13">
        <v>49.88</v>
      </c>
      <c r="H72" s="97">
        <f t="shared" si="9"/>
        <v>0.74820000000000009</v>
      </c>
      <c r="I72" s="13">
        <f>G72*15</f>
        <v>748.2</v>
      </c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1:22" ht="20.25" customHeight="1">
      <c r="A73" s="29"/>
      <c r="B73" s="144" t="s">
        <v>168</v>
      </c>
      <c r="C73" s="120"/>
      <c r="D73" s="142"/>
      <c r="E73" s="143"/>
      <c r="F73" s="123"/>
      <c r="G73" s="121"/>
      <c r="H73" s="97"/>
      <c r="I73" s="13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</row>
    <row r="74" spans="1:22" ht="29.25" customHeight="1">
      <c r="A74" s="29">
        <v>16</v>
      </c>
      <c r="B74" s="37" t="s">
        <v>169</v>
      </c>
      <c r="C74" s="40" t="s">
        <v>170</v>
      </c>
      <c r="D74" s="37"/>
      <c r="E74" s="17">
        <v>5162.6000000000004</v>
      </c>
      <c r="F74" s="36">
        <f>E74*12</f>
        <v>61951.200000000004</v>
      </c>
      <c r="G74" s="36">
        <v>2.37</v>
      </c>
      <c r="H74" s="97"/>
      <c r="I74" s="13">
        <f>G74*61951.2/12</f>
        <v>12235.362000000001</v>
      </c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</row>
    <row r="75" spans="1:22" ht="19.5" hidden="1" customHeight="1">
      <c r="A75" s="107"/>
      <c r="B75" s="106" t="s">
        <v>116</v>
      </c>
      <c r="C75" s="106"/>
      <c r="D75" s="106"/>
      <c r="E75" s="106"/>
      <c r="F75" s="106"/>
      <c r="G75" s="106"/>
      <c r="H75" s="106"/>
      <c r="I75" s="18"/>
    </row>
    <row r="76" spans="1:22" ht="17.25" hidden="1" customHeight="1">
      <c r="A76" s="29">
        <v>11</v>
      </c>
      <c r="B76" s="79" t="s">
        <v>117</v>
      </c>
      <c r="C76" s="16"/>
      <c r="D76" s="96"/>
      <c r="E76" s="74"/>
      <c r="F76" s="13">
        <v>1</v>
      </c>
      <c r="G76" s="13">
        <v>27865.200000000001</v>
      </c>
      <c r="H76" s="97">
        <f>G76*F76/1000</f>
        <v>27.865200000000002</v>
      </c>
      <c r="I76" s="13">
        <f>G76</f>
        <v>27865.200000000001</v>
      </c>
    </row>
    <row r="77" spans="1:22" ht="15.75" customHeight="1">
      <c r="A77" s="29"/>
      <c r="B77" s="48" t="s">
        <v>70</v>
      </c>
      <c r="C77" s="48"/>
      <c r="D77" s="48"/>
      <c r="E77" s="18"/>
      <c r="F77" s="18"/>
      <c r="G77" s="29"/>
      <c r="H77" s="29"/>
      <c r="I77" s="18"/>
    </row>
    <row r="78" spans="1:22" ht="29.25" hidden="1" customHeight="1">
      <c r="A78" s="29">
        <v>21</v>
      </c>
      <c r="B78" s="37" t="s">
        <v>176</v>
      </c>
      <c r="C78" s="38" t="s">
        <v>109</v>
      </c>
      <c r="D78" s="37" t="s">
        <v>197</v>
      </c>
      <c r="E78" s="17">
        <v>2</v>
      </c>
      <c r="F78" s="36">
        <f>E78</f>
        <v>2</v>
      </c>
      <c r="G78" s="36">
        <v>2112.2800000000002</v>
      </c>
      <c r="H78" s="174"/>
      <c r="I78" s="18">
        <f>G78*1</f>
        <v>2112.2800000000002</v>
      </c>
    </row>
    <row r="79" spans="1:22" ht="20.25" hidden="1" customHeight="1">
      <c r="A79" s="29">
        <v>22</v>
      </c>
      <c r="B79" s="37" t="s">
        <v>71</v>
      </c>
      <c r="C79" s="38" t="s">
        <v>73</v>
      </c>
      <c r="D79" s="37"/>
      <c r="E79" s="17">
        <v>8</v>
      </c>
      <c r="F79" s="36">
        <f>E79/10</f>
        <v>0.8</v>
      </c>
      <c r="G79" s="36">
        <v>684.19</v>
      </c>
      <c r="H79" s="97">
        <f t="shared" ref="H79:H83" si="11">SUM(F79*G79/1000)</f>
        <v>0.54735200000000006</v>
      </c>
      <c r="I79" s="13">
        <f>G79*0.4</f>
        <v>273.67600000000004</v>
      </c>
    </row>
    <row r="80" spans="1:22" ht="17.25" hidden="1" customHeight="1">
      <c r="A80" s="29"/>
      <c r="B80" s="96" t="s">
        <v>130</v>
      </c>
      <c r="C80" s="16" t="s">
        <v>31</v>
      </c>
      <c r="D80" s="96"/>
      <c r="E80" s="18">
        <v>1</v>
      </c>
      <c r="F80" s="13">
        <v>1</v>
      </c>
      <c r="G80" s="13">
        <v>99.85</v>
      </c>
      <c r="H80" s="97">
        <f>F80*G80/1000</f>
        <v>9.9849999999999994E-2</v>
      </c>
      <c r="I80" s="13">
        <v>0</v>
      </c>
    </row>
    <row r="81" spans="1:9" ht="21" hidden="1" customHeight="1">
      <c r="A81" s="29"/>
      <c r="B81" s="96" t="s">
        <v>131</v>
      </c>
      <c r="C81" s="16" t="s">
        <v>31</v>
      </c>
      <c r="D81" s="96"/>
      <c r="E81" s="18">
        <v>1</v>
      </c>
      <c r="F81" s="13">
        <v>1</v>
      </c>
      <c r="G81" s="13">
        <v>120.26</v>
      </c>
      <c r="H81" s="97">
        <f>F81*G81/1000</f>
        <v>0.12026000000000001</v>
      </c>
      <c r="I81" s="13">
        <v>0</v>
      </c>
    </row>
    <row r="82" spans="1:9" ht="17.25" hidden="1" customHeight="1">
      <c r="A82" s="29">
        <v>19</v>
      </c>
      <c r="B82" s="96" t="s">
        <v>72</v>
      </c>
      <c r="C82" s="16" t="s">
        <v>31</v>
      </c>
      <c r="D82" s="96"/>
      <c r="E82" s="18">
        <v>2</v>
      </c>
      <c r="F82" s="94">
        <v>2</v>
      </c>
      <c r="G82" s="13">
        <v>852.99</v>
      </c>
      <c r="H82" s="97">
        <f>F82*G82/1000</f>
        <v>1.7059800000000001</v>
      </c>
      <c r="I82" s="13">
        <f>G82</f>
        <v>852.99</v>
      </c>
    </row>
    <row r="83" spans="1:9" ht="18.75" hidden="1" customHeight="1">
      <c r="A83" s="29">
        <v>10</v>
      </c>
      <c r="B83" s="96" t="s">
        <v>82</v>
      </c>
      <c r="C83" s="16" t="s">
        <v>109</v>
      </c>
      <c r="D83" s="96"/>
      <c r="E83" s="18">
        <v>1</v>
      </c>
      <c r="F83" s="82">
        <f>SUM(E83)</f>
        <v>1</v>
      </c>
      <c r="G83" s="13">
        <v>358.51</v>
      </c>
      <c r="H83" s="97">
        <f t="shared" si="11"/>
        <v>0.35851</v>
      </c>
      <c r="I83" s="13">
        <f>G83</f>
        <v>358.51</v>
      </c>
    </row>
    <row r="84" spans="1:9" ht="31.5" customHeight="1">
      <c r="A84" s="29">
        <v>17</v>
      </c>
      <c r="B84" s="37" t="s">
        <v>171</v>
      </c>
      <c r="C84" s="38" t="s">
        <v>109</v>
      </c>
      <c r="D84" s="37" t="s">
        <v>181</v>
      </c>
      <c r="E84" s="17">
        <v>1</v>
      </c>
      <c r="F84" s="36">
        <f>E84*12</f>
        <v>12</v>
      </c>
      <c r="G84" s="36">
        <v>55.55</v>
      </c>
      <c r="H84" s="97"/>
      <c r="I84" s="13">
        <f>G84*1</f>
        <v>55.55</v>
      </c>
    </row>
    <row r="85" spans="1:9" ht="18.75" hidden="1" customHeight="1">
      <c r="A85" s="29"/>
      <c r="B85" s="49" t="s">
        <v>74</v>
      </c>
      <c r="C85" s="38"/>
      <c r="D85" s="29"/>
      <c r="E85" s="18"/>
      <c r="F85" s="18"/>
      <c r="G85" s="36"/>
      <c r="H85" s="36"/>
      <c r="I85" s="18"/>
    </row>
    <row r="86" spans="1:9" ht="16.5" hidden="1" customHeight="1">
      <c r="A86" s="29">
        <v>39</v>
      </c>
      <c r="B86" s="51" t="s">
        <v>118</v>
      </c>
      <c r="C86" s="16" t="s">
        <v>75</v>
      </c>
      <c r="D86" s="96"/>
      <c r="E86" s="18"/>
      <c r="F86" s="13">
        <v>1.35</v>
      </c>
      <c r="G86" s="13">
        <v>2759.44</v>
      </c>
      <c r="H86" s="97">
        <f t="shared" ref="H86" si="12">SUM(F86*G86/1000)</f>
        <v>3.725244</v>
      </c>
      <c r="I86" s="13">
        <v>0</v>
      </c>
    </row>
    <row r="87" spans="1:9" ht="15.75" customHeight="1">
      <c r="A87" s="222" t="s">
        <v>136</v>
      </c>
      <c r="B87" s="223"/>
      <c r="C87" s="223"/>
      <c r="D87" s="223"/>
      <c r="E87" s="223"/>
      <c r="F87" s="223"/>
      <c r="G87" s="223"/>
      <c r="H87" s="223"/>
      <c r="I87" s="224"/>
    </row>
    <row r="88" spans="1:9" ht="15.75" customHeight="1">
      <c r="A88" s="29">
        <v>18</v>
      </c>
      <c r="B88" s="32" t="s">
        <v>119</v>
      </c>
      <c r="C88" s="38" t="s">
        <v>53</v>
      </c>
      <c r="D88" s="62"/>
      <c r="E88" s="36">
        <v>5162.6000000000004</v>
      </c>
      <c r="F88" s="36">
        <f>SUM(E88*12)</f>
        <v>61951.200000000004</v>
      </c>
      <c r="G88" s="36">
        <v>3.22</v>
      </c>
      <c r="H88" s="99">
        <f>SUM(F88*G88/1000)</f>
        <v>199.48286400000003</v>
      </c>
      <c r="I88" s="13">
        <f>F88/12*G88</f>
        <v>16623.572000000004</v>
      </c>
    </row>
    <row r="89" spans="1:9" ht="31.5" customHeight="1">
      <c r="A89" s="29">
        <v>19</v>
      </c>
      <c r="B89" s="37" t="s">
        <v>172</v>
      </c>
      <c r="C89" s="109" t="s">
        <v>173</v>
      </c>
      <c r="D89" s="37"/>
      <c r="E89" s="17">
        <v>5162.6000000000004</v>
      </c>
      <c r="F89" s="36">
        <f>E89*12</f>
        <v>61951.200000000004</v>
      </c>
      <c r="G89" s="36">
        <v>3.64</v>
      </c>
      <c r="H89" s="97">
        <f>F89*G89/1000</f>
        <v>225.50236800000002</v>
      </c>
      <c r="I89" s="13">
        <f>F89/12*G89</f>
        <v>18791.864000000001</v>
      </c>
    </row>
    <row r="90" spans="1:9" ht="15.75" customHeight="1">
      <c r="A90" s="107"/>
      <c r="B90" s="39" t="s">
        <v>77</v>
      </c>
      <c r="C90" s="40"/>
      <c r="D90" s="15"/>
      <c r="E90" s="15"/>
      <c r="F90" s="15"/>
      <c r="G90" s="18"/>
      <c r="H90" s="18"/>
      <c r="I90" s="31">
        <f>I89+I88+I84+I74+I65+I63+I60+I58+I51+I45+I42+I40+I39+I38+I21+I20+I18+I17+I16</f>
        <v>98923.315145333327</v>
      </c>
    </row>
    <row r="91" spans="1:9" ht="15.75" customHeight="1">
      <c r="A91" s="225" t="s">
        <v>58</v>
      </c>
      <c r="B91" s="226"/>
      <c r="C91" s="226"/>
      <c r="D91" s="226"/>
      <c r="E91" s="226"/>
      <c r="F91" s="226"/>
      <c r="G91" s="226"/>
      <c r="H91" s="226"/>
      <c r="I91" s="227"/>
    </row>
    <row r="92" spans="1:9" ht="21" customHeight="1">
      <c r="A92" s="29">
        <v>20</v>
      </c>
      <c r="B92" s="63" t="s">
        <v>198</v>
      </c>
      <c r="C92" s="64" t="s">
        <v>39</v>
      </c>
      <c r="D92" s="202" t="s">
        <v>187</v>
      </c>
      <c r="E92" s="34"/>
      <c r="F92" s="33">
        <v>0.08</v>
      </c>
      <c r="G92" s="33">
        <v>28224.75</v>
      </c>
      <c r="H92" s="99"/>
      <c r="I92" s="13">
        <v>0</v>
      </c>
    </row>
    <row r="93" spans="1:9" ht="21" customHeight="1">
      <c r="A93" s="29">
        <v>21</v>
      </c>
      <c r="B93" s="63" t="s">
        <v>226</v>
      </c>
      <c r="C93" s="64" t="s">
        <v>159</v>
      </c>
      <c r="D93" s="202" t="s">
        <v>309</v>
      </c>
      <c r="E93" s="34"/>
      <c r="F93" s="192">
        <v>34</v>
      </c>
      <c r="G93" s="192">
        <v>295.36</v>
      </c>
      <c r="H93" s="99"/>
      <c r="I93" s="13">
        <v>0</v>
      </c>
    </row>
    <row r="94" spans="1:9" ht="19.5" customHeight="1">
      <c r="A94" s="29">
        <v>22</v>
      </c>
      <c r="B94" s="155" t="s">
        <v>393</v>
      </c>
      <c r="C94" s="100" t="s">
        <v>109</v>
      </c>
      <c r="D94" s="202" t="s">
        <v>397</v>
      </c>
      <c r="E94" s="34"/>
      <c r="F94" s="192">
        <v>1</v>
      </c>
      <c r="G94" s="192">
        <v>368.33</v>
      </c>
      <c r="H94" s="99"/>
      <c r="I94" s="13">
        <f>G94*1</f>
        <v>368.33</v>
      </c>
    </row>
    <row r="95" spans="1:9" ht="17.25" customHeight="1">
      <c r="A95" s="29">
        <v>23</v>
      </c>
      <c r="B95" s="155" t="s">
        <v>394</v>
      </c>
      <c r="C95" s="100" t="s">
        <v>73</v>
      </c>
      <c r="D95" s="202" t="s">
        <v>398</v>
      </c>
      <c r="E95" s="34"/>
      <c r="F95" s="192">
        <v>0.2</v>
      </c>
      <c r="G95" s="192">
        <v>4735.37</v>
      </c>
      <c r="H95" s="99"/>
      <c r="I95" s="13">
        <f>G95*0.2</f>
        <v>947.07400000000007</v>
      </c>
    </row>
    <row r="96" spans="1:9" ht="17.25" customHeight="1">
      <c r="A96" s="29">
        <v>24</v>
      </c>
      <c r="B96" s="63" t="s">
        <v>227</v>
      </c>
      <c r="C96" s="64" t="s">
        <v>159</v>
      </c>
      <c r="D96" s="202" t="s">
        <v>229</v>
      </c>
      <c r="E96" s="34"/>
      <c r="F96" s="192">
        <v>14</v>
      </c>
      <c r="G96" s="192">
        <v>295.36</v>
      </c>
      <c r="H96" s="99"/>
      <c r="I96" s="13">
        <f>G96*3</f>
        <v>886.08</v>
      </c>
    </row>
    <row r="97" spans="1:9" ht="35.25" customHeight="1">
      <c r="A97" s="29">
        <v>25</v>
      </c>
      <c r="B97" s="155" t="s">
        <v>367</v>
      </c>
      <c r="C97" s="64" t="s">
        <v>109</v>
      </c>
      <c r="D97" s="202" t="s">
        <v>396</v>
      </c>
      <c r="E97" s="34"/>
      <c r="F97" s="192">
        <v>2</v>
      </c>
      <c r="G97" s="192">
        <v>224.24</v>
      </c>
      <c r="H97" s="99"/>
      <c r="I97" s="13">
        <f>G97*1</f>
        <v>224.24</v>
      </c>
    </row>
    <row r="98" spans="1:9" ht="15.75" customHeight="1">
      <c r="A98" s="29"/>
      <c r="B98" s="45" t="s">
        <v>50</v>
      </c>
      <c r="C98" s="41"/>
      <c r="D98" s="53"/>
      <c r="E98" s="41">
        <v>1</v>
      </c>
      <c r="F98" s="41"/>
      <c r="G98" s="41"/>
      <c r="H98" s="41"/>
      <c r="I98" s="31">
        <f>SUM(I92:I97)</f>
        <v>2425.7240000000002</v>
      </c>
    </row>
    <row r="99" spans="1:9" ht="15.75" customHeight="1">
      <c r="A99" s="29"/>
      <c r="B99" s="51" t="s">
        <v>76</v>
      </c>
      <c r="C99" s="15"/>
      <c r="D99" s="15"/>
      <c r="E99" s="42"/>
      <c r="F99" s="42"/>
      <c r="G99" s="43"/>
      <c r="H99" s="43"/>
      <c r="I99" s="17">
        <v>0</v>
      </c>
    </row>
    <row r="100" spans="1:9" ht="15.75" customHeight="1">
      <c r="A100" s="54"/>
      <c r="B100" s="46" t="s">
        <v>141</v>
      </c>
      <c r="C100" s="34"/>
      <c r="D100" s="34"/>
      <c r="E100" s="34"/>
      <c r="F100" s="34"/>
      <c r="G100" s="34"/>
      <c r="H100" s="34"/>
      <c r="I100" s="44">
        <f>I90+I98</f>
        <v>101349.03914533333</v>
      </c>
    </row>
    <row r="101" spans="1:9" ht="15.75">
      <c r="A101" s="219" t="s">
        <v>399</v>
      </c>
      <c r="B101" s="219"/>
      <c r="C101" s="219"/>
      <c r="D101" s="219"/>
      <c r="E101" s="219"/>
      <c r="F101" s="219"/>
      <c r="G101" s="219"/>
      <c r="H101" s="219"/>
      <c r="I101" s="219"/>
    </row>
    <row r="102" spans="1:9" ht="15.75">
      <c r="A102" s="60"/>
      <c r="B102" s="220" t="s">
        <v>400</v>
      </c>
      <c r="C102" s="220"/>
      <c r="D102" s="220"/>
      <c r="E102" s="220"/>
      <c r="F102" s="220"/>
      <c r="G102" s="220"/>
      <c r="H102" s="77"/>
      <c r="I102" s="3"/>
    </row>
    <row r="103" spans="1:9">
      <c r="A103" s="102"/>
      <c r="B103" s="218" t="s">
        <v>6</v>
      </c>
      <c r="C103" s="218"/>
      <c r="D103" s="218"/>
      <c r="E103" s="218"/>
      <c r="F103" s="218"/>
      <c r="G103" s="218"/>
      <c r="H103" s="24"/>
      <c r="I103" s="5"/>
    </row>
    <row r="104" spans="1:9">
      <c r="A104" s="10"/>
      <c r="B104" s="10"/>
      <c r="C104" s="10"/>
      <c r="D104" s="10"/>
      <c r="E104" s="10"/>
      <c r="F104" s="10"/>
      <c r="G104" s="10"/>
      <c r="H104" s="10"/>
      <c r="I104" s="10"/>
    </row>
    <row r="105" spans="1:9" ht="15.75">
      <c r="A105" s="221" t="s">
        <v>7</v>
      </c>
      <c r="B105" s="221"/>
      <c r="C105" s="221"/>
      <c r="D105" s="221"/>
      <c r="E105" s="221"/>
      <c r="F105" s="221"/>
      <c r="G105" s="221"/>
      <c r="H105" s="221"/>
      <c r="I105" s="221"/>
    </row>
    <row r="106" spans="1:9" ht="15.75">
      <c r="A106" s="221" t="s">
        <v>8</v>
      </c>
      <c r="B106" s="221"/>
      <c r="C106" s="221"/>
      <c r="D106" s="221"/>
      <c r="E106" s="221"/>
      <c r="F106" s="221"/>
      <c r="G106" s="221"/>
      <c r="H106" s="221"/>
      <c r="I106" s="221"/>
    </row>
    <row r="107" spans="1:9" ht="15.75">
      <c r="A107" s="215" t="s">
        <v>59</v>
      </c>
      <c r="B107" s="215"/>
      <c r="C107" s="215"/>
      <c r="D107" s="215"/>
      <c r="E107" s="215"/>
      <c r="F107" s="215"/>
      <c r="G107" s="215"/>
      <c r="H107" s="215"/>
      <c r="I107" s="215"/>
    </row>
    <row r="108" spans="1:9" ht="15.75">
      <c r="A108" s="11"/>
    </row>
    <row r="109" spans="1:9" ht="15.75">
      <c r="A109" s="216" t="s">
        <v>9</v>
      </c>
      <c r="B109" s="216"/>
      <c r="C109" s="216"/>
      <c r="D109" s="216"/>
      <c r="E109" s="216"/>
      <c r="F109" s="216"/>
      <c r="G109" s="216"/>
      <c r="H109" s="216"/>
      <c r="I109" s="216"/>
    </row>
    <row r="110" spans="1:9" ht="15.75">
      <c r="A110" s="4"/>
    </row>
    <row r="111" spans="1:9" ht="15.75">
      <c r="B111" s="103" t="s">
        <v>10</v>
      </c>
      <c r="C111" s="217" t="s">
        <v>219</v>
      </c>
      <c r="D111" s="217"/>
      <c r="E111" s="217"/>
      <c r="F111" s="75"/>
      <c r="I111" s="101"/>
    </row>
    <row r="112" spans="1:9">
      <c r="A112" s="102"/>
      <c r="C112" s="218" t="s">
        <v>11</v>
      </c>
      <c r="D112" s="218"/>
      <c r="E112" s="218"/>
      <c r="F112" s="24"/>
      <c r="I112" s="104" t="s">
        <v>12</v>
      </c>
    </row>
    <row r="113" spans="1:9" ht="15.75">
      <c r="A113" s="25"/>
      <c r="C113" s="12"/>
      <c r="D113" s="12"/>
      <c r="G113" s="12"/>
      <c r="H113" s="12"/>
    </row>
    <row r="114" spans="1:9" ht="15.75">
      <c r="B114" s="103" t="s">
        <v>13</v>
      </c>
      <c r="C114" s="212"/>
      <c r="D114" s="212"/>
      <c r="E114" s="212"/>
      <c r="F114" s="76"/>
      <c r="I114" s="101"/>
    </row>
    <row r="115" spans="1:9">
      <c r="A115" s="102"/>
      <c r="C115" s="213" t="s">
        <v>11</v>
      </c>
      <c r="D115" s="213"/>
      <c r="E115" s="213"/>
      <c r="F115" s="102"/>
      <c r="I115" s="104" t="s">
        <v>12</v>
      </c>
    </row>
    <row r="116" spans="1:9" ht="15.75">
      <c r="A116" s="4" t="s">
        <v>14</v>
      </c>
    </row>
    <row r="117" spans="1:9">
      <c r="A117" s="214" t="s">
        <v>15</v>
      </c>
      <c r="B117" s="214"/>
      <c r="C117" s="214"/>
      <c r="D117" s="214"/>
      <c r="E117" s="214"/>
      <c r="F117" s="214"/>
      <c r="G117" s="214"/>
      <c r="H117" s="214"/>
      <c r="I117" s="214"/>
    </row>
    <row r="118" spans="1:9" ht="45" customHeight="1">
      <c r="A118" s="211" t="s">
        <v>16</v>
      </c>
      <c r="B118" s="211"/>
      <c r="C118" s="211"/>
      <c r="D118" s="211"/>
      <c r="E118" s="211"/>
      <c r="F118" s="211"/>
      <c r="G118" s="211"/>
      <c r="H118" s="211"/>
      <c r="I118" s="211"/>
    </row>
    <row r="119" spans="1:9" ht="30" customHeight="1">
      <c r="A119" s="211" t="s">
        <v>17</v>
      </c>
      <c r="B119" s="211"/>
      <c r="C119" s="211"/>
      <c r="D119" s="211"/>
      <c r="E119" s="211"/>
      <c r="F119" s="211"/>
      <c r="G119" s="211"/>
      <c r="H119" s="211"/>
      <c r="I119" s="211"/>
    </row>
    <row r="120" spans="1:9" ht="30" customHeight="1">
      <c r="A120" s="211" t="s">
        <v>21</v>
      </c>
      <c r="B120" s="211"/>
      <c r="C120" s="211"/>
      <c r="D120" s="211"/>
      <c r="E120" s="211"/>
      <c r="F120" s="211"/>
      <c r="G120" s="211"/>
      <c r="H120" s="211"/>
      <c r="I120" s="211"/>
    </row>
    <row r="121" spans="1:9" ht="15" customHeight="1">
      <c r="A121" s="211" t="s">
        <v>20</v>
      </c>
      <c r="B121" s="211"/>
      <c r="C121" s="211"/>
      <c r="D121" s="211"/>
      <c r="E121" s="211"/>
      <c r="F121" s="211"/>
      <c r="G121" s="211"/>
      <c r="H121" s="211"/>
      <c r="I121" s="211"/>
    </row>
  </sheetData>
  <autoFilter ref="I12:I66"/>
  <mergeCells count="29">
    <mergeCell ref="A14:I14"/>
    <mergeCell ref="A15:I15"/>
    <mergeCell ref="A28:I28"/>
    <mergeCell ref="A46:I46"/>
    <mergeCell ref="A56:I56"/>
    <mergeCell ref="A3:I3"/>
    <mergeCell ref="A4:I4"/>
    <mergeCell ref="A5:I5"/>
    <mergeCell ref="A8:I8"/>
    <mergeCell ref="A10:I10"/>
    <mergeCell ref="R71:U71"/>
    <mergeCell ref="C115:E115"/>
    <mergeCell ref="A91:I91"/>
    <mergeCell ref="A101:I101"/>
    <mergeCell ref="B102:G102"/>
    <mergeCell ref="B103:G103"/>
    <mergeCell ref="A105:I105"/>
    <mergeCell ref="A106:I106"/>
    <mergeCell ref="A107:I107"/>
    <mergeCell ref="A109:I109"/>
    <mergeCell ref="C111:E111"/>
    <mergeCell ref="C112:E112"/>
    <mergeCell ref="C114:E114"/>
    <mergeCell ref="A87:I87"/>
    <mergeCell ref="A117:I117"/>
    <mergeCell ref="A118:I118"/>
    <mergeCell ref="A119:I119"/>
    <mergeCell ref="A120:I120"/>
    <mergeCell ref="A121:I121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20"/>
  <sheetViews>
    <sheetView topLeftCell="A89" workbookViewId="0">
      <selection activeCell="A108" sqref="A108:I10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1.140625" hidden="1" customWidth="1"/>
    <col min="6" max="6" width="11.28515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158</v>
      </c>
      <c r="I1" s="26"/>
      <c r="J1" s="1"/>
      <c r="K1" s="1"/>
      <c r="L1" s="1"/>
      <c r="M1" s="1"/>
    </row>
    <row r="2" spans="1:13" ht="15.75" customHeight="1">
      <c r="A2" s="28" t="s">
        <v>60</v>
      </c>
      <c r="J2" s="2"/>
      <c r="K2" s="2"/>
      <c r="L2" s="2"/>
      <c r="M2" s="2"/>
    </row>
    <row r="3" spans="1:13" ht="15.75" customHeight="1">
      <c r="A3" s="228" t="s">
        <v>142</v>
      </c>
      <c r="B3" s="228"/>
      <c r="C3" s="228"/>
      <c r="D3" s="228"/>
      <c r="E3" s="228"/>
      <c r="F3" s="228"/>
      <c r="G3" s="228"/>
      <c r="H3" s="228"/>
      <c r="I3" s="228"/>
      <c r="J3" s="3"/>
      <c r="K3" s="3"/>
      <c r="L3" s="3"/>
    </row>
    <row r="4" spans="1:13" ht="31.5" customHeight="1">
      <c r="A4" s="229" t="s">
        <v>120</v>
      </c>
      <c r="B4" s="229"/>
      <c r="C4" s="229"/>
      <c r="D4" s="229"/>
      <c r="E4" s="229"/>
      <c r="F4" s="229"/>
      <c r="G4" s="229"/>
      <c r="H4" s="229"/>
      <c r="I4" s="229"/>
    </row>
    <row r="5" spans="1:13" ht="15.75" customHeight="1">
      <c r="A5" s="228" t="s">
        <v>238</v>
      </c>
      <c r="B5" s="232"/>
      <c r="C5" s="232"/>
      <c r="D5" s="232"/>
      <c r="E5" s="232"/>
      <c r="F5" s="232"/>
      <c r="G5" s="232"/>
      <c r="H5" s="232"/>
      <c r="I5" s="232"/>
      <c r="J5" s="2"/>
      <c r="K5" s="2"/>
      <c r="L5" s="2"/>
      <c r="M5" s="2"/>
    </row>
    <row r="6" spans="1:13" ht="15.75" customHeight="1">
      <c r="A6" s="2"/>
      <c r="B6" s="161"/>
      <c r="C6" s="161"/>
      <c r="D6" s="161"/>
      <c r="E6" s="161"/>
      <c r="F6" s="161"/>
      <c r="G6" s="161"/>
      <c r="H6" s="161"/>
      <c r="I6" s="30">
        <v>44255</v>
      </c>
      <c r="J6" s="2"/>
      <c r="K6" s="2"/>
      <c r="L6" s="2"/>
      <c r="M6" s="2"/>
    </row>
    <row r="7" spans="1:13" ht="15.75" customHeight="1">
      <c r="B7" s="159"/>
      <c r="C7" s="159"/>
      <c r="D7" s="159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30" t="s">
        <v>224</v>
      </c>
      <c r="B8" s="230"/>
      <c r="C8" s="230"/>
      <c r="D8" s="230"/>
      <c r="E8" s="230"/>
      <c r="F8" s="230"/>
      <c r="G8" s="230"/>
      <c r="H8" s="230"/>
      <c r="I8" s="230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31" t="s">
        <v>133</v>
      </c>
      <c r="B10" s="231"/>
      <c r="C10" s="231"/>
      <c r="D10" s="231"/>
      <c r="E10" s="231"/>
      <c r="F10" s="231"/>
      <c r="G10" s="231"/>
      <c r="H10" s="231"/>
      <c r="I10" s="231"/>
      <c r="J10" s="2"/>
      <c r="K10" s="2"/>
      <c r="L10" s="2"/>
      <c r="M10" s="2"/>
    </row>
    <row r="11" spans="1:13" ht="15.75">
      <c r="A11" s="4"/>
    </row>
    <row r="12" spans="1:13" ht="53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33" t="s">
        <v>57</v>
      </c>
      <c r="B14" s="233"/>
      <c r="C14" s="233"/>
      <c r="D14" s="233"/>
      <c r="E14" s="233"/>
      <c r="F14" s="233"/>
      <c r="G14" s="233"/>
      <c r="H14" s="233"/>
      <c r="I14" s="233"/>
      <c r="J14" s="8"/>
      <c r="K14" s="8"/>
      <c r="L14" s="8"/>
      <c r="M14" s="8"/>
    </row>
    <row r="15" spans="1:13" ht="15.75" customHeight="1">
      <c r="A15" s="234" t="s">
        <v>4</v>
      </c>
      <c r="B15" s="234"/>
      <c r="C15" s="234"/>
      <c r="D15" s="234"/>
      <c r="E15" s="234"/>
      <c r="F15" s="234"/>
      <c r="G15" s="234"/>
      <c r="H15" s="234"/>
      <c r="I15" s="234"/>
      <c r="J15" s="8"/>
      <c r="K15" s="8"/>
      <c r="L15" s="8"/>
      <c r="M15" s="8"/>
    </row>
    <row r="16" spans="1:13" ht="15.75" customHeight="1">
      <c r="A16" s="29">
        <v>1</v>
      </c>
      <c r="B16" s="32" t="s">
        <v>81</v>
      </c>
      <c r="C16" s="133" t="s">
        <v>87</v>
      </c>
      <c r="D16" s="32" t="s">
        <v>178</v>
      </c>
      <c r="E16" s="146">
        <v>129.88</v>
      </c>
      <c r="F16" s="134">
        <f>SUM(E16*156/100)</f>
        <v>202.61279999999999</v>
      </c>
      <c r="G16" s="134">
        <v>239.2</v>
      </c>
      <c r="H16" s="83">
        <f t="shared" ref="H16:H26" si="0">SUM(F16*G16/1000)</f>
        <v>48.464981759999993</v>
      </c>
      <c r="I16" s="13">
        <f>F16/12*G16</f>
        <v>4038.7484799999997</v>
      </c>
      <c r="J16" s="8"/>
      <c r="K16" s="8"/>
      <c r="L16" s="8"/>
      <c r="M16" s="8"/>
    </row>
    <row r="17" spans="1:13" ht="15.75" customHeight="1">
      <c r="A17" s="29">
        <v>2</v>
      </c>
      <c r="B17" s="32" t="s">
        <v>83</v>
      </c>
      <c r="C17" s="133" t="s">
        <v>87</v>
      </c>
      <c r="D17" s="32" t="s">
        <v>179</v>
      </c>
      <c r="E17" s="146">
        <v>519.52</v>
      </c>
      <c r="F17" s="134">
        <f>SUM(E17*104/100)</f>
        <v>540.30079999999998</v>
      </c>
      <c r="G17" s="134">
        <v>239.2</v>
      </c>
      <c r="H17" s="83">
        <f t="shared" si="0"/>
        <v>129.23995135999999</v>
      </c>
      <c r="I17" s="13">
        <f>F17/12*G17</f>
        <v>10769.995946666666</v>
      </c>
      <c r="J17" s="22"/>
      <c r="K17" s="8"/>
      <c r="L17" s="8"/>
      <c r="M17" s="8"/>
    </row>
    <row r="18" spans="1:13" ht="15.75" customHeight="1">
      <c r="A18" s="29">
        <v>3</v>
      </c>
      <c r="B18" s="32" t="s">
        <v>84</v>
      </c>
      <c r="C18" s="133" t="s">
        <v>87</v>
      </c>
      <c r="D18" s="32" t="s">
        <v>187</v>
      </c>
      <c r="E18" s="146">
        <f>SUM(E16+E17)</f>
        <v>649.4</v>
      </c>
      <c r="F18" s="134">
        <f>SUM(E18*18/100)</f>
        <v>116.892</v>
      </c>
      <c r="G18" s="134">
        <v>688.14</v>
      </c>
      <c r="H18" s="83">
        <f t="shared" si="0"/>
        <v>80.438060879999995</v>
      </c>
      <c r="I18" s="13">
        <f>F18/18*G18</f>
        <v>4468.7811599999995</v>
      </c>
      <c r="J18" s="22"/>
      <c r="K18" s="8"/>
      <c r="L18" s="8"/>
      <c r="M18" s="8"/>
    </row>
    <row r="19" spans="1:13" ht="15.75" hidden="1" customHeight="1">
      <c r="A19" s="29"/>
      <c r="B19" s="32" t="s">
        <v>88</v>
      </c>
      <c r="C19" s="133" t="s">
        <v>89</v>
      </c>
      <c r="D19" s="32" t="s">
        <v>90</v>
      </c>
      <c r="E19" s="146">
        <v>124.8</v>
      </c>
      <c r="F19" s="134">
        <f>SUM(E19/10)</f>
        <v>12.48</v>
      </c>
      <c r="G19" s="134">
        <v>232.1</v>
      </c>
      <c r="H19" s="83">
        <f t="shared" si="0"/>
        <v>2.8966080000000001</v>
      </c>
      <c r="I19" s="13">
        <f>F19/2*G19</f>
        <v>1448.3040000000001</v>
      </c>
      <c r="J19" s="22"/>
      <c r="K19" s="8"/>
      <c r="L19" s="8"/>
      <c r="M19" s="8"/>
    </row>
    <row r="20" spans="1:13" ht="17.25" customHeight="1">
      <c r="A20" s="29">
        <v>4</v>
      </c>
      <c r="B20" s="32" t="s">
        <v>93</v>
      </c>
      <c r="C20" s="133" t="s">
        <v>87</v>
      </c>
      <c r="D20" s="32" t="s">
        <v>181</v>
      </c>
      <c r="E20" s="146">
        <v>57.5</v>
      </c>
      <c r="F20" s="134">
        <f>SUM(E20*12/100)</f>
        <v>6.9</v>
      </c>
      <c r="G20" s="134">
        <v>297.19</v>
      </c>
      <c r="H20" s="83">
        <f t="shared" si="0"/>
        <v>2.050611</v>
      </c>
      <c r="I20" s="13">
        <f>F20*G20/12</f>
        <v>170.88424999999998</v>
      </c>
      <c r="J20" s="22"/>
      <c r="K20" s="8"/>
      <c r="L20" s="8"/>
      <c r="M20" s="8"/>
    </row>
    <row r="21" spans="1:13" ht="15" customHeight="1">
      <c r="A21" s="29">
        <v>5</v>
      </c>
      <c r="B21" s="32" t="s">
        <v>94</v>
      </c>
      <c r="C21" s="133" t="s">
        <v>87</v>
      </c>
      <c r="D21" s="32" t="s">
        <v>181</v>
      </c>
      <c r="E21" s="146">
        <v>13.41</v>
      </c>
      <c r="F21" s="134">
        <f>SUM(E21*12/100)</f>
        <v>1.6092000000000002</v>
      </c>
      <c r="G21" s="134">
        <v>294.77999999999997</v>
      </c>
      <c r="H21" s="83">
        <f t="shared" si="0"/>
        <v>0.47435997600000002</v>
      </c>
      <c r="I21" s="13">
        <f>F21*G21/12</f>
        <v>39.529997999999999</v>
      </c>
      <c r="J21" s="22"/>
      <c r="K21" s="8"/>
      <c r="L21" s="8"/>
      <c r="M21" s="8"/>
    </row>
    <row r="22" spans="1:13" ht="30" hidden="1" customHeight="1">
      <c r="A22" s="29"/>
      <c r="B22" s="32" t="s">
        <v>95</v>
      </c>
      <c r="C22" s="133" t="s">
        <v>51</v>
      </c>
      <c r="D22" s="32" t="s">
        <v>90</v>
      </c>
      <c r="E22" s="146">
        <v>820.5</v>
      </c>
      <c r="F22" s="134">
        <f>SUM(E22/100)</f>
        <v>8.2050000000000001</v>
      </c>
      <c r="G22" s="134">
        <v>367.27</v>
      </c>
      <c r="H22" s="83">
        <f t="shared" si="0"/>
        <v>3.0134503500000003</v>
      </c>
      <c r="I22" s="13">
        <f t="shared" ref="I22:I26" si="1">F22*G22</f>
        <v>3013.4503500000001</v>
      </c>
      <c r="J22" s="22"/>
      <c r="K22" s="8"/>
      <c r="L22" s="8"/>
      <c r="M22" s="8"/>
    </row>
    <row r="23" spans="1:13" ht="30.75" hidden="1" customHeight="1">
      <c r="A23" s="29"/>
      <c r="B23" s="32" t="s">
        <v>96</v>
      </c>
      <c r="C23" s="133" t="s">
        <v>51</v>
      </c>
      <c r="D23" s="32" t="s">
        <v>90</v>
      </c>
      <c r="E23" s="153">
        <v>60.25</v>
      </c>
      <c r="F23" s="134">
        <f>SUM(E23/100)</f>
        <v>0.60250000000000004</v>
      </c>
      <c r="G23" s="134">
        <v>60.41</v>
      </c>
      <c r="H23" s="83">
        <f t="shared" si="0"/>
        <v>3.6397025E-2</v>
      </c>
      <c r="I23" s="13">
        <f t="shared" si="1"/>
        <v>36.397024999999999</v>
      </c>
      <c r="J23" s="22"/>
      <c r="K23" s="8"/>
      <c r="L23" s="8"/>
      <c r="M23" s="8"/>
    </row>
    <row r="24" spans="1:13" ht="28.5" hidden="1" customHeight="1">
      <c r="A24" s="29"/>
      <c r="B24" s="32" t="s">
        <v>91</v>
      </c>
      <c r="C24" s="133" t="s">
        <v>51</v>
      </c>
      <c r="D24" s="32" t="s">
        <v>92</v>
      </c>
      <c r="E24" s="146">
        <v>19.149999999999999</v>
      </c>
      <c r="F24" s="134">
        <f>E24/100</f>
        <v>0.19149999999999998</v>
      </c>
      <c r="G24" s="134">
        <v>531.55999999999995</v>
      </c>
      <c r="H24" s="83">
        <f t="shared" si="0"/>
        <v>0.10179373999999997</v>
      </c>
      <c r="I24" s="13">
        <f t="shared" si="1"/>
        <v>101.79373999999997</v>
      </c>
      <c r="J24" s="22"/>
      <c r="K24" s="8"/>
      <c r="L24" s="8"/>
      <c r="M24" s="8"/>
    </row>
    <row r="25" spans="1:13" ht="22.5" hidden="1" customHeight="1">
      <c r="A25" s="40">
        <v>6</v>
      </c>
      <c r="B25" s="32" t="s">
        <v>98</v>
      </c>
      <c r="C25" s="133" t="s">
        <v>51</v>
      </c>
      <c r="D25" s="32" t="s">
        <v>52</v>
      </c>
      <c r="E25" s="146">
        <v>31.5</v>
      </c>
      <c r="F25" s="134">
        <v>0.32</v>
      </c>
      <c r="G25" s="134">
        <v>294.77999999999997</v>
      </c>
      <c r="H25" s="83">
        <f t="shared" si="0"/>
        <v>9.43296E-2</v>
      </c>
      <c r="I25" s="13">
        <f t="shared" si="1"/>
        <v>94.329599999999999</v>
      </c>
      <c r="J25" s="22"/>
      <c r="K25" s="8"/>
      <c r="L25" s="8"/>
      <c r="M25" s="8"/>
    </row>
    <row r="26" spans="1:13" ht="17.25" hidden="1" customHeight="1">
      <c r="A26" s="40"/>
      <c r="B26" s="32" t="s">
        <v>97</v>
      </c>
      <c r="C26" s="133" t="s">
        <v>51</v>
      </c>
      <c r="D26" s="32" t="s">
        <v>90</v>
      </c>
      <c r="E26" s="146">
        <v>37.5</v>
      </c>
      <c r="F26" s="134">
        <f>SUM(E26/100)</f>
        <v>0.375</v>
      </c>
      <c r="G26" s="134">
        <v>710.37</v>
      </c>
      <c r="H26" s="83">
        <f t="shared" si="0"/>
        <v>0.26638875000000001</v>
      </c>
      <c r="I26" s="13">
        <f t="shared" si="1"/>
        <v>266.38875000000002</v>
      </c>
      <c r="J26" s="22"/>
      <c r="K26" s="8"/>
      <c r="L26" s="8"/>
      <c r="M26" s="8"/>
    </row>
    <row r="27" spans="1:13" ht="15.75" customHeight="1">
      <c r="A27" s="40">
        <v>6</v>
      </c>
      <c r="B27" s="32" t="s">
        <v>177</v>
      </c>
      <c r="C27" s="133" t="s">
        <v>26</v>
      </c>
      <c r="D27" s="32" t="s">
        <v>182</v>
      </c>
      <c r="E27" s="169">
        <v>4.88</v>
      </c>
      <c r="F27" s="134">
        <f>E27*258</f>
        <v>1259.04</v>
      </c>
      <c r="G27" s="134">
        <v>10.39</v>
      </c>
      <c r="H27" s="83">
        <f t="shared" ref="H27" si="2">SUM(F27*G27/1000)</f>
        <v>13.081425600000001</v>
      </c>
      <c r="I27" s="13">
        <f>F27/12*G27</f>
        <v>1090.1188</v>
      </c>
      <c r="J27" s="22"/>
      <c r="K27" s="8"/>
      <c r="L27" s="8"/>
      <c r="M27" s="8"/>
    </row>
    <row r="28" spans="1:13" ht="15.75" customHeight="1">
      <c r="A28" s="235" t="s">
        <v>80</v>
      </c>
      <c r="B28" s="236"/>
      <c r="C28" s="236"/>
      <c r="D28" s="236"/>
      <c r="E28" s="236"/>
      <c r="F28" s="236"/>
      <c r="G28" s="236"/>
      <c r="H28" s="236"/>
      <c r="I28" s="237"/>
      <c r="J28" s="22"/>
      <c r="K28" s="8"/>
      <c r="L28" s="8"/>
      <c r="M28" s="8"/>
    </row>
    <row r="29" spans="1:13" ht="15.75" customHeight="1">
      <c r="A29" s="40"/>
      <c r="B29" s="50" t="s">
        <v>29</v>
      </c>
      <c r="C29" s="50"/>
      <c r="D29" s="50"/>
      <c r="E29" s="50"/>
      <c r="F29" s="50"/>
      <c r="G29" s="50"/>
      <c r="H29" s="50"/>
      <c r="I29" s="18"/>
      <c r="J29" s="22"/>
      <c r="K29" s="8"/>
      <c r="L29" s="8"/>
      <c r="M29" s="8"/>
    </row>
    <row r="30" spans="1:13" ht="15.75" hidden="1" customHeight="1">
      <c r="A30" s="40">
        <v>2</v>
      </c>
      <c r="B30" s="79" t="s">
        <v>99</v>
      </c>
      <c r="C30" s="80" t="s">
        <v>100</v>
      </c>
      <c r="D30" s="79" t="s">
        <v>101</v>
      </c>
      <c r="E30" s="82">
        <v>1304.45</v>
      </c>
      <c r="F30" s="82">
        <f>SUM(E30*52/1000)</f>
        <v>67.831400000000002</v>
      </c>
      <c r="G30" s="82">
        <v>155.88999999999999</v>
      </c>
      <c r="H30" s="83">
        <f t="shared" ref="H30:H35" si="3">SUM(F30*G30/1000)</f>
        <v>10.574236945999999</v>
      </c>
      <c r="I30" s="13">
        <f>F30/6*G30</f>
        <v>1762.3728243333333</v>
      </c>
      <c r="J30" s="22"/>
      <c r="K30" s="8"/>
      <c r="L30" s="8"/>
      <c r="M30" s="8"/>
    </row>
    <row r="31" spans="1:13" ht="15.75" hidden="1" customHeight="1">
      <c r="A31" s="40">
        <v>3</v>
      </c>
      <c r="B31" s="79" t="s">
        <v>137</v>
      </c>
      <c r="C31" s="80" t="s">
        <v>100</v>
      </c>
      <c r="D31" s="79" t="s">
        <v>102</v>
      </c>
      <c r="E31" s="82">
        <v>287.83999999999997</v>
      </c>
      <c r="F31" s="82">
        <f>SUM(E31*78/1000)</f>
        <v>22.451519999999995</v>
      </c>
      <c r="G31" s="82">
        <v>258.63</v>
      </c>
      <c r="H31" s="83">
        <f t="shared" si="3"/>
        <v>5.8066366175999979</v>
      </c>
      <c r="I31" s="13">
        <f t="shared" ref="I31:I33" si="4">F31/6*G31</f>
        <v>967.77276959999972</v>
      </c>
      <c r="J31" s="22"/>
      <c r="K31" s="8"/>
      <c r="L31" s="8"/>
      <c r="M31" s="8"/>
    </row>
    <row r="32" spans="1:13" ht="31.5" hidden="1" customHeight="1">
      <c r="A32" s="40">
        <v>4</v>
      </c>
      <c r="B32" s="79" t="s">
        <v>28</v>
      </c>
      <c r="C32" s="80" t="s">
        <v>100</v>
      </c>
      <c r="D32" s="79" t="s">
        <v>52</v>
      </c>
      <c r="E32" s="82">
        <v>1304.45</v>
      </c>
      <c r="F32" s="82">
        <f>SUM(E32/1000)</f>
        <v>1.3044500000000001</v>
      </c>
      <c r="G32" s="82">
        <v>3020.33</v>
      </c>
      <c r="H32" s="83">
        <f t="shared" si="3"/>
        <v>3.9398694685</v>
      </c>
      <c r="I32" s="13">
        <f>F32*G32</f>
        <v>3939.8694685</v>
      </c>
      <c r="J32" s="22"/>
      <c r="K32" s="8"/>
      <c r="L32" s="8"/>
      <c r="M32" s="8"/>
    </row>
    <row r="33" spans="1:14" ht="15.75" hidden="1" customHeight="1">
      <c r="A33" s="40">
        <v>5</v>
      </c>
      <c r="B33" s="79" t="s">
        <v>103</v>
      </c>
      <c r="C33" s="80" t="s">
        <v>31</v>
      </c>
      <c r="D33" s="79" t="s">
        <v>61</v>
      </c>
      <c r="E33" s="86">
        <v>0.33333333333333331</v>
      </c>
      <c r="F33" s="82">
        <f>155/3</f>
        <v>51.666666666666664</v>
      </c>
      <c r="G33" s="82">
        <v>56.69</v>
      </c>
      <c r="H33" s="83">
        <f t="shared" si="3"/>
        <v>2.9289833333333331</v>
      </c>
      <c r="I33" s="13">
        <f t="shared" si="4"/>
        <v>488.16388888888883</v>
      </c>
      <c r="J33" s="22"/>
      <c r="K33" s="8"/>
      <c r="L33" s="8"/>
      <c r="M33" s="8"/>
    </row>
    <row r="34" spans="1:14" ht="15.75" hidden="1" customHeight="1">
      <c r="A34" s="40">
        <v>4</v>
      </c>
      <c r="B34" s="79" t="s">
        <v>63</v>
      </c>
      <c r="C34" s="80" t="s">
        <v>33</v>
      </c>
      <c r="D34" s="79" t="s">
        <v>65</v>
      </c>
      <c r="E34" s="81"/>
      <c r="F34" s="82">
        <v>3</v>
      </c>
      <c r="G34" s="82">
        <v>191.32</v>
      </c>
      <c r="H34" s="83">
        <f t="shared" si="3"/>
        <v>0.57396000000000003</v>
      </c>
      <c r="I34" s="13">
        <v>0</v>
      </c>
      <c r="J34" s="23"/>
    </row>
    <row r="35" spans="1:14" ht="15.75" hidden="1" customHeight="1">
      <c r="A35" s="29">
        <v>8</v>
      </c>
      <c r="B35" s="79" t="s">
        <v>64</v>
      </c>
      <c r="C35" s="80" t="s">
        <v>32</v>
      </c>
      <c r="D35" s="79" t="s">
        <v>65</v>
      </c>
      <c r="E35" s="81"/>
      <c r="F35" s="82">
        <v>2</v>
      </c>
      <c r="G35" s="82">
        <v>1136.32</v>
      </c>
      <c r="H35" s="83">
        <f t="shared" si="3"/>
        <v>2.27264</v>
      </c>
      <c r="I35" s="13">
        <v>0</v>
      </c>
      <c r="J35" s="23"/>
    </row>
    <row r="36" spans="1:14" ht="15.75" hidden="1" customHeight="1">
      <c r="A36" s="40"/>
      <c r="B36" s="48" t="s">
        <v>5</v>
      </c>
      <c r="C36" s="48"/>
      <c r="D36" s="48"/>
      <c r="E36" s="13"/>
      <c r="F36" s="13"/>
      <c r="G36" s="14"/>
      <c r="H36" s="14"/>
      <c r="I36" s="18"/>
      <c r="J36" s="23"/>
    </row>
    <row r="37" spans="1:14" ht="15.75" customHeight="1">
      <c r="A37" s="33">
        <v>7</v>
      </c>
      <c r="B37" s="149" t="s">
        <v>27</v>
      </c>
      <c r="C37" s="133" t="s">
        <v>32</v>
      </c>
      <c r="D37" s="176" t="s">
        <v>239</v>
      </c>
      <c r="E37" s="146"/>
      <c r="F37" s="134">
        <v>8</v>
      </c>
      <c r="G37" s="134">
        <v>2083</v>
      </c>
      <c r="H37" s="83">
        <f t="shared" ref="H37:H43" si="5">SUM(F37*G37/1000)</f>
        <v>16.664000000000001</v>
      </c>
      <c r="I37" s="13">
        <f>G37*1</f>
        <v>2083</v>
      </c>
      <c r="J37" s="23"/>
    </row>
    <row r="38" spans="1:14" ht="16.5" customHeight="1">
      <c r="A38" s="33">
        <v>8</v>
      </c>
      <c r="B38" s="149" t="s">
        <v>121</v>
      </c>
      <c r="C38" s="150" t="s">
        <v>30</v>
      </c>
      <c r="D38" s="32" t="s">
        <v>183</v>
      </c>
      <c r="E38" s="151">
        <v>287.83999999999997</v>
      </c>
      <c r="F38" s="151">
        <f>SUM(E38*30/1000)</f>
        <v>8.6351999999999993</v>
      </c>
      <c r="G38" s="151">
        <v>2868.09</v>
      </c>
      <c r="H38" s="83">
        <f t="shared" si="5"/>
        <v>24.766530767999999</v>
      </c>
      <c r="I38" s="13">
        <f>F38/6*G38</f>
        <v>4127.7551279999998</v>
      </c>
      <c r="J38" s="23"/>
    </row>
    <row r="39" spans="1:14" ht="33.75" customHeight="1">
      <c r="A39" s="33">
        <v>9</v>
      </c>
      <c r="B39" s="149" t="s">
        <v>165</v>
      </c>
      <c r="C39" s="150" t="s">
        <v>30</v>
      </c>
      <c r="D39" s="32" t="s">
        <v>184</v>
      </c>
      <c r="E39" s="146">
        <v>287.83999999999997</v>
      </c>
      <c r="F39" s="151">
        <f>E39*155/1000</f>
        <v>44.615199999999994</v>
      </c>
      <c r="G39" s="134">
        <v>478.42</v>
      </c>
      <c r="H39" s="83">
        <f>G39*F39/1000</f>
        <v>21.344803983999999</v>
      </c>
      <c r="I39" s="13">
        <f>F39/6*G39</f>
        <v>3557.4673306666664</v>
      </c>
      <c r="J39" s="23"/>
    </row>
    <row r="40" spans="1:14" ht="49.5" customHeight="1">
      <c r="A40" s="33">
        <v>10</v>
      </c>
      <c r="B40" s="32" t="s">
        <v>78</v>
      </c>
      <c r="C40" s="133" t="s">
        <v>100</v>
      </c>
      <c r="D40" s="149" t="s">
        <v>183</v>
      </c>
      <c r="E40" s="134">
        <v>130.6</v>
      </c>
      <c r="F40" s="151">
        <f>SUM(E40*35/1000)</f>
        <v>4.5709999999999997</v>
      </c>
      <c r="G40" s="134">
        <v>7915.6</v>
      </c>
      <c r="H40" s="83">
        <f>G40*F40/1000</f>
        <v>36.182207599999998</v>
      </c>
      <c r="I40" s="13">
        <f>G40*F40/6</f>
        <v>6030.3679333333339</v>
      </c>
      <c r="J40" s="23"/>
    </row>
    <row r="41" spans="1:14" ht="18.75" hidden="1" customHeight="1">
      <c r="A41" s="33">
        <v>11</v>
      </c>
      <c r="B41" s="32" t="s">
        <v>106</v>
      </c>
      <c r="C41" s="133" t="s">
        <v>100</v>
      </c>
      <c r="D41" s="149" t="s">
        <v>187</v>
      </c>
      <c r="E41" s="134">
        <v>287.83999999999997</v>
      </c>
      <c r="F41" s="151">
        <f>SUM(E41*45/1000)</f>
        <v>12.9528</v>
      </c>
      <c r="G41" s="134">
        <v>584.74</v>
      </c>
      <c r="H41" s="83">
        <f t="shared" si="5"/>
        <v>7.5740202719999994</v>
      </c>
      <c r="I41" s="13">
        <f>G41*F41/45</f>
        <v>168.3115616</v>
      </c>
      <c r="J41" s="23"/>
    </row>
    <row r="42" spans="1:14" ht="15.75" hidden="1" customHeight="1">
      <c r="A42" s="33">
        <v>12</v>
      </c>
      <c r="B42" s="149" t="s">
        <v>68</v>
      </c>
      <c r="C42" s="150" t="s">
        <v>33</v>
      </c>
      <c r="D42" s="149" t="s">
        <v>199</v>
      </c>
      <c r="E42" s="152"/>
      <c r="F42" s="151">
        <v>0.9</v>
      </c>
      <c r="G42" s="151">
        <v>800</v>
      </c>
      <c r="H42" s="83">
        <f t="shared" si="5"/>
        <v>0.72</v>
      </c>
      <c r="I42" s="13">
        <f>G42*F42/45</f>
        <v>16</v>
      </c>
      <c r="J42" s="23"/>
    </row>
    <row r="43" spans="1:14" ht="33.75" customHeight="1">
      <c r="A43" s="33">
        <v>11</v>
      </c>
      <c r="B43" s="149" t="s">
        <v>166</v>
      </c>
      <c r="C43" s="150" t="s">
        <v>100</v>
      </c>
      <c r="D43" s="149" t="s">
        <v>180</v>
      </c>
      <c r="E43" s="152">
        <v>0.6</v>
      </c>
      <c r="F43" s="151">
        <v>0.01</v>
      </c>
      <c r="G43" s="151">
        <v>18798.34</v>
      </c>
      <c r="H43" s="83">
        <f t="shared" si="5"/>
        <v>0.18798340000000002</v>
      </c>
      <c r="I43" s="13">
        <f>G43*F43/6</f>
        <v>31.33056666666667</v>
      </c>
      <c r="J43" s="23"/>
      <c r="L43" s="19"/>
      <c r="M43" s="20"/>
      <c r="N43" s="21"/>
    </row>
    <row r="44" spans="1:14" ht="15.75" customHeight="1">
      <c r="A44" s="33"/>
      <c r="B44" s="96"/>
      <c r="C44" s="16"/>
      <c r="D44" s="96"/>
      <c r="E44" s="18"/>
      <c r="F44" s="13"/>
      <c r="G44" s="13"/>
      <c r="H44" s="13"/>
      <c r="I44" s="13"/>
      <c r="J44" s="23"/>
      <c r="L44" s="19"/>
      <c r="M44" s="20"/>
      <c r="N44" s="21"/>
    </row>
    <row r="45" spans="1:14" ht="15.75" customHeight="1">
      <c r="A45" s="238" t="s">
        <v>134</v>
      </c>
      <c r="B45" s="239"/>
      <c r="C45" s="239"/>
      <c r="D45" s="239"/>
      <c r="E45" s="239"/>
      <c r="F45" s="239"/>
      <c r="G45" s="239"/>
      <c r="H45" s="239"/>
      <c r="I45" s="240"/>
      <c r="J45" s="23"/>
      <c r="L45" s="19"/>
      <c r="M45" s="20"/>
      <c r="N45" s="21"/>
    </row>
    <row r="46" spans="1:14" ht="15.75" hidden="1" customHeight="1">
      <c r="A46" s="40">
        <v>15</v>
      </c>
      <c r="B46" s="79" t="s">
        <v>126</v>
      </c>
      <c r="C46" s="80" t="s">
        <v>100</v>
      </c>
      <c r="D46" s="79" t="s">
        <v>41</v>
      </c>
      <c r="E46" s="81">
        <v>1369</v>
      </c>
      <c r="F46" s="82">
        <f>SUM(E46*2/1000)</f>
        <v>2.738</v>
      </c>
      <c r="G46" s="13">
        <v>849.49</v>
      </c>
      <c r="H46" s="83">
        <f t="shared" ref="H46:H54" si="6">SUM(F46*G46/1000)</f>
        <v>2.3259036200000001</v>
      </c>
      <c r="I46" s="13">
        <v>0</v>
      </c>
      <c r="J46" s="23"/>
      <c r="L46" s="19"/>
      <c r="M46" s="20"/>
      <c r="N46" s="21"/>
    </row>
    <row r="47" spans="1:14" ht="15.75" hidden="1" customHeight="1">
      <c r="A47" s="40"/>
      <c r="B47" s="79" t="s">
        <v>34</v>
      </c>
      <c r="C47" s="80" t="s">
        <v>100</v>
      </c>
      <c r="D47" s="79" t="s">
        <v>41</v>
      </c>
      <c r="E47" s="81">
        <v>1418</v>
      </c>
      <c r="F47" s="82">
        <f>SUM(E47*2/1000)</f>
        <v>2.8359999999999999</v>
      </c>
      <c r="G47" s="13">
        <v>579.48</v>
      </c>
      <c r="H47" s="83">
        <f t="shared" si="6"/>
        <v>1.6434052799999999</v>
      </c>
      <c r="I47" s="13">
        <v>0</v>
      </c>
      <c r="J47" s="23"/>
      <c r="L47" s="19"/>
      <c r="M47" s="20"/>
      <c r="N47" s="21"/>
    </row>
    <row r="48" spans="1:14" ht="15.75" hidden="1" customHeight="1">
      <c r="A48" s="40">
        <v>16</v>
      </c>
      <c r="B48" s="79" t="s">
        <v>35</v>
      </c>
      <c r="C48" s="80" t="s">
        <v>100</v>
      </c>
      <c r="D48" s="79" t="s">
        <v>41</v>
      </c>
      <c r="E48" s="81">
        <v>4985.21</v>
      </c>
      <c r="F48" s="82">
        <f>SUM(E48*2/1000)</f>
        <v>9.9704200000000007</v>
      </c>
      <c r="G48" s="13">
        <v>579.48</v>
      </c>
      <c r="H48" s="83">
        <f t="shared" si="6"/>
        <v>5.7776589816000001</v>
      </c>
      <c r="I48" s="13">
        <v>0</v>
      </c>
      <c r="J48" s="23"/>
      <c r="L48" s="19"/>
      <c r="M48" s="20"/>
      <c r="N48" s="21"/>
    </row>
    <row r="49" spans="1:14" ht="15.75" hidden="1" customHeight="1">
      <c r="A49" s="40">
        <v>17</v>
      </c>
      <c r="B49" s="79" t="s">
        <v>36</v>
      </c>
      <c r="C49" s="80" t="s">
        <v>100</v>
      </c>
      <c r="D49" s="79" t="s">
        <v>41</v>
      </c>
      <c r="E49" s="81">
        <v>2474</v>
      </c>
      <c r="F49" s="82">
        <f>SUM(E49*2/1000)</f>
        <v>4.9480000000000004</v>
      </c>
      <c r="G49" s="13">
        <v>606.77</v>
      </c>
      <c r="H49" s="83">
        <f t="shared" si="6"/>
        <v>3.0022979600000004</v>
      </c>
      <c r="I49" s="13">
        <v>0</v>
      </c>
      <c r="J49" s="23"/>
      <c r="L49" s="19"/>
      <c r="M49" s="20"/>
      <c r="N49" s="21"/>
    </row>
    <row r="50" spans="1:14" ht="15.75" customHeight="1">
      <c r="A50" s="40">
        <v>12</v>
      </c>
      <c r="B50" s="32" t="s">
        <v>54</v>
      </c>
      <c r="C50" s="133" t="s">
        <v>100</v>
      </c>
      <c r="D50" s="32" t="s">
        <v>187</v>
      </c>
      <c r="E50" s="146">
        <v>5162.6000000000004</v>
      </c>
      <c r="F50" s="134">
        <f>SUM(E50*5/1000)</f>
        <v>25.812999999999999</v>
      </c>
      <c r="G50" s="36">
        <v>1655.27</v>
      </c>
      <c r="H50" s="83">
        <f t="shared" si="6"/>
        <v>42.727484509999996</v>
      </c>
      <c r="I50" s="13">
        <f>F50/5*G50</f>
        <v>8545.496901999999</v>
      </c>
      <c r="J50" s="23"/>
      <c r="L50" s="19"/>
      <c r="M50" s="20"/>
      <c r="N50" s="21"/>
    </row>
    <row r="51" spans="1:14" ht="30.75" hidden="1" customHeight="1">
      <c r="A51" s="40">
        <v>13</v>
      </c>
      <c r="B51" s="79" t="s">
        <v>107</v>
      </c>
      <c r="C51" s="80" t="s">
        <v>100</v>
      </c>
      <c r="D51" s="79" t="s">
        <v>41</v>
      </c>
      <c r="E51" s="81">
        <v>1349.3</v>
      </c>
      <c r="F51" s="82">
        <f>SUM(E51*2/1000)</f>
        <v>2.6985999999999999</v>
      </c>
      <c r="G51" s="13">
        <v>1213.55</v>
      </c>
      <c r="H51" s="83">
        <f t="shared" si="6"/>
        <v>3.2748860299999998</v>
      </c>
      <c r="I51" s="13">
        <v>0</v>
      </c>
      <c r="J51" s="23"/>
      <c r="L51" s="19"/>
      <c r="M51" s="20"/>
      <c r="N51" s="21"/>
    </row>
    <row r="52" spans="1:14" ht="30.75" hidden="1" customHeight="1">
      <c r="A52" s="40">
        <v>14</v>
      </c>
      <c r="B52" s="79" t="s">
        <v>108</v>
      </c>
      <c r="C52" s="80" t="s">
        <v>37</v>
      </c>
      <c r="D52" s="79" t="s">
        <v>41</v>
      </c>
      <c r="E52" s="81">
        <v>40</v>
      </c>
      <c r="F52" s="82">
        <f>SUM(E52*2/100)</f>
        <v>0.8</v>
      </c>
      <c r="G52" s="13">
        <v>2730.49</v>
      </c>
      <c r="H52" s="83">
        <f t="shared" si="6"/>
        <v>2.1843919999999999</v>
      </c>
      <c r="I52" s="13">
        <v>0</v>
      </c>
      <c r="J52" s="23"/>
      <c r="L52" s="19"/>
      <c r="M52" s="20"/>
      <c r="N52" s="21"/>
    </row>
    <row r="53" spans="1:14" ht="15.75" hidden="1" customHeight="1">
      <c r="A53" s="40">
        <v>15</v>
      </c>
      <c r="B53" s="79" t="s">
        <v>38</v>
      </c>
      <c r="C53" s="80" t="s">
        <v>39</v>
      </c>
      <c r="D53" s="79" t="s">
        <v>41</v>
      </c>
      <c r="E53" s="81">
        <v>1</v>
      </c>
      <c r="F53" s="82">
        <v>0.02</v>
      </c>
      <c r="G53" s="13">
        <v>5652.13</v>
      </c>
      <c r="H53" s="83">
        <f t="shared" si="6"/>
        <v>0.11304260000000001</v>
      </c>
      <c r="I53" s="13">
        <v>0</v>
      </c>
      <c r="J53" s="23"/>
      <c r="L53" s="19"/>
      <c r="M53" s="20"/>
      <c r="N53" s="21"/>
    </row>
    <row r="54" spans="1:14" ht="15" customHeight="1">
      <c r="A54" s="40">
        <v>13</v>
      </c>
      <c r="B54" s="79" t="s">
        <v>40</v>
      </c>
      <c r="C54" s="80" t="s">
        <v>109</v>
      </c>
      <c r="D54" s="177">
        <v>44235</v>
      </c>
      <c r="E54" s="81">
        <v>238</v>
      </c>
      <c r="F54" s="82">
        <f>SUM(E54)*3</f>
        <v>714</v>
      </c>
      <c r="G54" s="166">
        <v>89.59</v>
      </c>
      <c r="H54" s="83">
        <f t="shared" si="6"/>
        <v>63.967260000000003</v>
      </c>
      <c r="I54" s="13">
        <f>E54*G54</f>
        <v>21322.420000000002</v>
      </c>
      <c r="J54" s="23"/>
      <c r="L54" s="19"/>
      <c r="M54" s="20"/>
      <c r="N54" s="21"/>
    </row>
    <row r="55" spans="1:14" ht="15.75" customHeight="1">
      <c r="A55" s="238" t="s">
        <v>135</v>
      </c>
      <c r="B55" s="239"/>
      <c r="C55" s="239"/>
      <c r="D55" s="239"/>
      <c r="E55" s="239"/>
      <c r="F55" s="239"/>
      <c r="G55" s="239"/>
      <c r="H55" s="239"/>
      <c r="I55" s="240"/>
      <c r="J55" s="23"/>
      <c r="L55" s="19"/>
      <c r="M55" s="20"/>
      <c r="N55" s="21"/>
    </row>
    <row r="56" spans="1:14" ht="15.75" customHeight="1">
      <c r="A56" s="163"/>
      <c r="B56" s="47" t="s">
        <v>42</v>
      </c>
      <c r="C56" s="16"/>
      <c r="D56" s="15"/>
      <c r="E56" s="15"/>
      <c r="F56" s="15"/>
      <c r="G56" s="29"/>
      <c r="H56" s="29"/>
      <c r="I56" s="18"/>
      <c r="J56" s="23"/>
      <c r="L56" s="19"/>
      <c r="M56" s="20"/>
      <c r="N56" s="21"/>
    </row>
    <row r="57" spans="1:14" ht="31.5" customHeight="1">
      <c r="A57" s="40">
        <v>14</v>
      </c>
      <c r="B57" s="32" t="s">
        <v>110</v>
      </c>
      <c r="C57" s="133" t="s">
        <v>87</v>
      </c>
      <c r="D57" s="176"/>
      <c r="E57" s="146">
        <v>128.5</v>
      </c>
      <c r="F57" s="134">
        <f>SUM(E57*6/100)</f>
        <v>7.71</v>
      </c>
      <c r="G57" s="36">
        <v>2110.4699999999998</v>
      </c>
      <c r="H57" s="83">
        <f>SUM(F57*G57/1000)</f>
        <v>16.271723699999999</v>
      </c>
      <c r="I57" s="13">
        <f>G57*1.085</f>
        <v>2289.8599499999996</v>
      </c>
      <c r="J57" s="23"/>
      <c r="L57" s="19"/>
      <c r="M57" s="20"/>
      <c r="N57" s="21"/>
    </row>
    <row r="58" spans="1:14" ht="15.75" hidden="1" customHeight="1">
      <c r="A58" s="40">
        <v>17</v>
      </c>
      <c r="B58" s="32" t="s">
        <v>167</v>
      </c>
      <c r="C58" s="133" t="s">
        <v>87</v>
      </c>
      <c r="D58" s="32" t="s">
        <v>111</v>
      </c>
      <c r="E58" s="147">
        <v>69.5</v>
      </c>
      <c r="F58" s="148">
        <f>E58*6/100</f>
        <v>4.17</v>
      </c>
      <c r="G58" s="134">
        <v>2110.4699999999998</v>
      </c>
      <c r="H58" s="83">
        <f>F58*G58/1000</f>
        <v>8.8006598999999994</v>
      </c>
      <c r="I58" s="13">
        <f>F58/6*G58</f>
        <v>1466.7766499999998</v>
      </c>
      <c r="J58" s="23"/>
      <c r="L58" s="19"/>
      <c r="M58" s="20"/>
      <c r="N58" s="21"/>
    </row>
    <row r="59" spans="1:14" ht="15.75" hidden="1" customHeight="1">
      <c r="A59" s="40"/>
      <c r="B59" s="79" t="s">
        <v>128</v>
      </c>
      <c r="C59" s="80" t="s">
        <v>129</v>
      </c>
      <c r="D59" s="79" t="s">
        <v>41</v>
      </c>
      <c r="E59" s="88">
        <v>8</v>
      </c>
      <c r="F59" s="13">
        <v>16</v>
      </c>
      <c r="G59" s="82">
        <v>180.78</v>
      </c>
      <c r="H59" s="83">
        <f>SUM(F59*G59/1000)</f>
        <v>2.8924799999999999</v>
      </c>
      <c r="I59" s="13">
        <v>0</v>
      </c>
      <c r="J59" s="23"/>
      <c r="L59" s="19"/>
      <c r="M59" s="20"/>
      <c r="N59" s="21"/>
    </row>
    <row r="60" spans="1:14" ht="15.75" customHeight="1">
      <c r="A60" s="40"/>
      <c r="B60" s="162" t="s">
        <v>43</v>
      </c>
      <c r="C60" s="162"/>
      <c r="D60" s="162"/>
      <c r="E60" s="162"/>
      <c r="F60" s="162"/>
      <c r="G60" s="162"/>
      <c r="H60" s="162"/>
      <c r="I60" s="35"/>
      <c r="J60" s="23"/>
      <c r="L60" s="19"/>
      <c r="M60" s="20"/>
      <c r="N60" s="21"/>
    </row>
    <row r="61" spans="1:14" ht="15.75" hidden="1" customHeight="1">
      <c r="A61" s="40">
        <v>27</v>
      </c>
      <c r="B61" s="79" t="s">
        <v>139</v>
      </c>
      <c r="C61" s="80"/>
      <c r="D61" s="79" t="s">
        <v>52</v>
      </c>
      <c r="E61" s="81">
        <v>1349.3</v>
      </c>
      <c r="F61" s="83">
        <v>13.493</v>
      </c>
      <c r="G61" s="13">
        <v>793.61</v>
      </c>
      <c r="H61" s="89">
        <f>F61*G61/1000</f>
        <v>10.708179729999999</v>
      </c>
      <c r="I61" s="13">
        <v>0</v>
      </c>
      <c r="J61" s="23"/>
      <c r="L61" s="19"/>
      <c r="M61" s="20"/>
      <c r="N61" s="21"/>
    </row>
    <row r="62" spans="1:14" ht="15.75" customHeight="1">
      <c r="A62" s="40">
        <v>15</v>
      </c>
      <c r="B62" s="108" t="s">
        <v>86</v>
      </c>
      <c r="C62" s="109" t="s">
        <v>26</v>
      </c>
      <c r="D62" s="108"/>
      <c r="E62" s="110">
        <v>200</v>
      </c>
      <c r="F62" s="111">
        <f>E62*12</f>
        <v>2400</v>
      </c>
      <c r="G62" s="112">
        <v>1.4</v>
      </c>
      <c r="H62" s="113">
        <f>F62*G62</f>
        <v>3360</v>
      </c>
      <c r="I62" s="13">
        <f>F62/12*G62</f>
        <v>280</v>
      </c>
      <c r="J62" s="23"/>
      <c r="L62" s="19"/>
      <c r="M62" s="20"/>
      <c r="N62" s="21"/>
    </row>
    <row r="63" spans="1:14" ht="15.75" customHeight="1">
      <c r="A63" s="40"/>
      <c r="B63" s="162" t="s">
        <v>44</v>
      </c>
      <c r="C63" s="16"/>
      <c r="D63" s="37"/>
      <c r="E63" s="15"/>
      <c r="F63" s="15"/>
      <c r="G63" s="29"/>
      <c r="H63" s="29"/>
      <c r="I63" s="18"/>
      <c r="J63" s="23"/>
      <c r="L63" s="19"/>
    </row>
    <row r="64" spans="1:14" ht="15.75" customHeight="1">
      <c r="A64" s="40">
        <v>16</v>
      </c>
      <c r="B64" s="145" t="s">
        <v>45</v>
      </c>
      <c r="C64" s="38" t="s">
        <v>109</v>
      </c>
      <c r="D64" s="37" t="s">
        <v>187</v>
      </c>
      <c r="E64" s="17">
        <v>40</v>
      </c>
      <c r="F64" s="134">
        <f>E64</f>
        <v>40</v>
      </c>
      <c r="G64" s="36">
        <v>303.35000000000002</v>
      </c>
      <c r="H64" s="97">
        <f t="shared" ref="H64:H71" si="7">SUM(F64*G64/1000)</f>
        <v>12.134</v>
      </c>
      <c r="I64" s="13">
        <f>G64*1</f>
        <v>303.35000000000002</v>
      </c>
    </row>
    <row r="65" spans="1:22" ht="15.75" hidden="1" customHeight="1">
      <c r="A65" s="29">
        <v>29</v>
      </c>
      <c r="B65" s="96" t="s">
        <v>46</v>
      </c>
      <c r="C65" s="16" t="s">
        <v>109</v>
      </c>
      <c r="D65" s="96" t="s">
        <v>65</v>
      </c>
      <c r="E65" s="18">
        <v>20</v>
      </c>
      <c r="F65" s="82">
        <v>20</v>
      </c>
      <c r="G65" s="13">
        <v>76.25</v>
      </c>
      <c r="H65" s="97">
        <f t="shared" si="7"/>
        <v>1.5249999999999999</v>
      </c>
      <c r="I65" s="13">
        <v>0</v>
      </c>
    </row>
    <row r="66" spans="1:22" ht="15.75" hidden="1" customHeight="1">
      <c r="A66" s="29">
        <v>8</v>
      </c>
      <c r="B66" s="96" t="s">
        <v>47</v>
      </c>
      <c r="C66" s="16" t="s">
        <v>112</v>
      </c>
      <c r="D66" s="96" t="s">
        <v>52</v>
      </c>
      <c r="E66" s="81">
        <v>18890</v>
      </c>
      <c r="F66" s="13">
        <f>SUM(E66/100)</f>
        <v>188.9</v>
      </c>
      <c r="G66" s="13">
        <v>212.15</v>
      </c>
      <c r="H66" s="97">
        <f t="shared" si="7"/>
        <v>40.075135000000003</v>
      </c>
      <c r="I66" s="13">
        <v>0</v>
      </c>
    </row>
    <row r="67" spans="1:22" ht="15.75" hidden="1" customHeight="1">
      <c r="A67" s="29">
        <v>9</v>
      </c>
      <c r="B67" s="96" t="s">
        <v>48</v>
      </c>
      <c r="C67" s="16" t="s">
        <v>113</v>
      </c>
      <c r="D67" s="96"/>
      <c r="E67" s="81">
        <v>18890</v>
      </c>
      <c r="F67" s="13">
        <f>SUM(E67/1000)</f>
        <v>18.89</v>
      </c>
      <c r="G67" s="13">
        <v>165.21</v>
      </c>
      <c r="H67" s="97">
        <f t="shared" si="7"/>
        <v>3.1208169000000003</v>
      </c>
      <c r="I67" s="13">
        <v>0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9"/>
    </row>
    <row r="68" spans="1:22" ht="15.75" hidden="1" customHeight="1">
      <c r="A68" s="29">
        <v>10</v>
      </c>
      <c r="B68" s="96" t="s">
        <v>49</v>
      </c>
      <c r="C68" s="16" t="s">
        <v>75</v>
      </c>
      <c r="D68" s="96" t="s">
        <v>52</v>
      </c>
      <c r="E68" s="81">
        <v>3004</v>
      </c>
      <c r="F68" s="13">
        <f>SUM(E68/100)</f>
        <v>30.04</v>
      </c>
      <c r="G68" s="13">
        <v>2074.63</v>
      </c>
      <c r="H68" s="97">
        <f t="shared" si="7"/>
        <v>62.321885200000004</v>
      </c>
      <c r="I68" s="13">
        <v>0</v>
      </c>
      <c r="J68" s="25"/>
      <c r="K68" s="25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2" ht="15.75" hidden="1" customHeight="1">
      <c r="A69" s="29">
        <v>11</v>
      </c>
      <c r="B69" s="98" t="s">
        <v>114</v>
      </c>
      <c r="C69" s="16" t="s">
        <v>33</v>
      </c>
      <c r="D69" s="96"/>
      <c r="E69" s="81">
        <v>15.8</v>
      </c>
      <c r="F69" s="13">
        <f>SUM(E69)</f>
        <v>15.8</v>
      </c>
      <c r="G69" s="13">
        <v>42.67</v>
      </c>
      <c r="H69" s="97">
        <f t="shared" si="7"/>
        <v>0.67418600000000006</v>
      </c>
      <c r="I69" s="13">
        <v>0</v>
      </c>
      <c r="J69" s="3"/>
      <c r="K69" s="3"/>
      <c r="L69" s="3"/>
      <c r="M69" s="3"/>
      <c r="N69" s="3"/>
      <c r="O69" s="3"/>
      <c r="P69" s="3"/>
      <c r="Q69" s="3"/>
      <c r="S69" s="3"/>
      <c r="T69" s="3"/>
      <c r="U69" s="3"/>
    </row>
    <row r="70" spans="1:22" ht="15.75" hidden="1" customHeight="1">
      <c r="A70" s="29">
        <v>12</v>
      </c>
      <c r="B70" s="98" t="s">
        <v>115</v>
      </c>
      <c r="C70" s="16" t="s">
        <v>33</v>
      </c>
      <c r="D70" s="96"/>
      <c r="E70" s="81">
        <v>15.8</v>
      </c>
      <c r="F70" s="13">
        <f>SUM(E70)</f>
        <v>15.8</v>
      </c>
      <c r="G70" s="13">
        <v>39.81</v>
      </c>
      <c r="H70" s="97">
        <f t="shared" si="7"/>
        <v>0.62899800000000006</v>
      </c>
      <c r="I70" s="13">
        <v>0</v>
      </c>
      <c r="J70" s="5"/>
      <c r="K70" s="5"/>
      <c r="L70" s="5"/>
      <c r="M70" s="5"/>
      <c r="N70" s="5"/>
      <c r="O70" s="5"/>
      <c r="P70" s="5"/>
      <c r="Q70" s="5"/>
      <c r="R70" s="213"/>
      <c r="S70" s="213"/>
      <c r="T70" s="213"/>
      <c r="U70" s="213"/>
    </row>
    <row r="71" spans="1:22" ht="15.75" hidden="1" customHeight="1">
      <c r="A71" s="29">
        <v>13</v>
      </c>
      <c r="B71" s="96" t="s">
        <v>55</v>
      </c>
      <c r="C71" s="16" t="s">
        <v>56</v>
      </c>
      <c r="D71" s="96" t="s">
        <v>52</v>
      </c>
      <c r="E71" s="18">
        <v>15</v>
      </c>
      <c r="F71" s="82">
        <v>15</v>
      </c>
      <c r="G71" s="13">
        <v>49.88</v>
      </c>
      <c r="H71" s="97">
        <f t="shared" si="7"/>
        <v>0.74820000000000009</v>
      </c>
      <c r="I71" s="13">
        <v>0</v>
      </c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2" ht="15.75" customHeight="1">
      <c r="A72" s="29"/>
      <c r="B72" s="156" t="s">
        <v>168</v>
      </c>
      <c r="C72" s="38"/>
      <c r="D72" s="37"/>
      <c r="E72" s="17"/>
      <c r="F72" s="112"/>
      <c r="G72" s="36"/>
      <c r="H72" s="97"/>
      <c r="I72" s="13"/>
    </row>
    <row r="73" spans="1:22" ht="33" customHeight="1">
      <c r="A73" s="29">
        <v>17</v>
      </c>
      <c r="B73" s="37" t="s">
        <v>169</v>
      </c>
      <c r="C73" s="40" t="s">
        <v>170</v>
      </c>
      <c r="D73" s="37"/>
      <c r="E73" s="17">
        <v>5162.6000000000004</v>
      </c>
      <c r="F73" s="36">
        <f>E73*12</f>
        <v>61951.200000000004</v>
      </c>
      <c r="G73" s="36">
        <v>2.37</v>
      </c>
      <c r="H73" s="97"/>
      <c r="I73" s="13">
        <f>G73*F73/12</f>
        <v>12235.362000000001</v>
      </c>
    </row>
    <row r="74" spans="1:22" ht="28.5" hidden="1" customHeight="1">
      <c r="A74" s="163"/>
      <c r="B74" s="162" t="s">
        <v>116</v>
      </c>
      <c r="C74" s="162"/>
      <c r="D74" s="162"/>
      <c r="E74" s="162"/>
      <c r="F74" s="162"/>
      <c r="G74" s="162"/>
      <c r="H74" s="162"/>
      <c r="I74" s="18"/>
    </row>
    <row r="75" spans="1:22" ht="26.25" hidden="1" customHeight="1">
      <c r="A75" s="29">
        <v>19</v>
      </c>
      <c r="B75" s="79" t="s">
        <v>117</v>
      </c>
      <c r="C75" s="16"/>
      <c r="D75" s="96"/>
      <c r="E75" s="74"/>
      <c r="F75" s="13">
        <v>1</v>
      </c>
      <c r="G75" s="13">
        <v>27865.200000000001</v>
      </c>
      <c r="H75" s="97">
        <f>G75*F75/1000</f>
        <v>27.865200000000002</v>
      </c>
      <c r="I75" s="13">
        <v>0</v>
      </c>
    </row>
    <row r="76" spans="1:22" ht="18.75" customHeight="1">
      <c r="A76" s="29"/>
      <c r="B76" s="48" t="s">
        <v>70</v>
      </c>
      <c r="C76" s="48"/>
      <c r="D76" s="48"/>
      <c r="E76" s="18"/>
      <c r="F76" s="18"/>
      <c r="G76" s="29"/>
      <c r="H76" s="29"/>
      <c r="I76" s="18"/>
    </row>
    <row r="77" spans="1:22" ht="36.75" hidden="1" customHeight="1">
      <c r="A77" s="29">
        <v>19</v>
      </c>
      <c r="B77" s="37" t="s">
        <v>176</v>
      </c>
      <c r="C77" s="38" t="s">
        <v>109</v>
      </c>
      <c r="D77" s="37" t="s">
        <v>200</v>
      </c>
      <c r="E77" s="17">
        <v>2</v>
      </c>
      <c r="F77" s="36">
        <f>E77</f>
        <v>2</v>
      </c>
      <c r="G77" s="36">
        <v>2112.2800000000002</v>
      </c>
      <c r="H77" s="174"/>
      <c r="I77" s="18">
        <f>G77*1</f>
        <v>2112.2800000000002</v>
      </c>
    </row>
    <row r="78" spans="1:22" ht="18" hidden="1" customHeight="1">
      <c r="A78" s="29">
        <v>20</v>
      </c>
      <c r="B78" s="96" t="s">
        <v>71</v>
      </c>
      <c r="C78" s="16" t="s">
        <v>73</v>
      </c>
      <c r="D78" s="96" t="s">
        <v>174</v>
      </c>
      <c r="E78" s="18">
        <v>10</v>
      </c>
      <c r="F78" s="13">
        <v>1</v>
      </c>
      <c r="G78" s="121">
        <v>684.19</v>
      </c>
      <c r="H78" s="97">
        <f t="shared" ref="H78:H82" si="8">SUM(F78*G78/1000)</f>
        <v>0.68419000000000008</v>
      </c>
      <c r="I78" s="13">
        <f>G78*0.4</f>
        <v>273.67600000000004</v>
      </c>
    </row>
    <row r="79" spans="1:22" ht="23.25" hidden="1" customHeight="1">
      <c r="A79" s="29"/>
      <c r="B79" s="96" t="s">
        <v>130</v>
      </c>
      <c r="C79" s="16" t="s">
        <v>31</v>
      </c>
      <c r="D79" s="96"/>
      <c r="E79" s="18">
        <v>1</v>
      </c>
      <c r="F79" s="13">
        <v>1</v>
      </c>
      <c r="G79" s="13">
        <v>99.85</v>
      </c>
      <c r="H79" s="97">
        <f>F79*G79/1000</f>
        <v>9.9849999999999994E-2</v>
      </c>
      <c r="I79" s="13">
        <v>0</v>
      </c>
    </row>
    <row r="80" spans="1:22" ht="18.75" hidden="1" customHeight="1">
      <c r="A80" s="29"/>
      <c r="B80" s="96" t="s">
        <v>131</v>
      </c>
      <c r="C80" s="16" t="s">
        <v>31</v>
      </c>
      <c r="D80" s="96"/>
      <c r="E80" s="18">
        <v>1</v>
      </c>
      <c r="F80" s="13">
        <v>1</v>
      </c>
      <c r="G80" s="13">
        <v>120.26</v>
      </c>
      <c r="H80" s="97">
        <f>F80*G80/1000</f>
        <v>0.12026000000000001</v>
      </c>
      <c r="I80" s="13">
        <v>0</v>
      </c>
    </row>
    <row r="81" spans="1:9" ht="15.75" hidden="1" customHeight="1">
      <c r="A81" s="29">
        <v>20</v>
      </c>
      <c r="B81" s="37" t="s">
        <v>72</v>
      </c>
      <c r="C81" s="38" t="s">
        <v>31</v>
      </c>
      <c r="D81" s="37" t="s">
        <v>164</v>
      </c>
      <c r="E81" s="17">
        <v>2</v>
      </c>
      <c r="F81" s="112">
        <v>2</v>
      </c>
      <c r="G81" s="36">
        <v>1163.47</v>
      </c>
      <c r="H81" s="97">
        <f>F81*G81/1000</f>
        <v>2.32694</v>
      </c>
      <c r="I81" s="13">
        <f>G81*1</f>
        <v>1163.47</v>
      </c>
    </row>
    <row r="82" spans="1:9" ht="15.75" hidden="1" customHeight="1">
      <c r="A82" s="29">
        <v>17</v>
      </c>
      <c r="B82" s="96" t="s">
        <v>82</v>
      </c>
      <c r="C82" s="16" t="s">
        <v>109</v>
      </c>
      <c r="D82" s="96"/>
      <c r="E82" s="18">
        <v>1</v>
      </c>
      <c r="F82" s="82">
        <f>SUM(E82)</f>
        <v>1</v>
      </c>
      <c r="G82" s="13">
        <v>358.51</v>
      </c>
      <c r="H82" s="97">
        <f t="shared" si="8"/>
        <v>0.35851</v>
      </c>
      <c r="I82" s="13">
        <v>0</v>
      </c>
    </row>
    <row r="83" spans="1:9" ht="34.5" customHeight="1">
      <c r="A83" s="29">
        <v>18</v>
      </c>
      <c r="B83" s="37" t="s">
        <v>171</v>
      </c>
      <c r="C83" s="38" t="s">
        <v>109</v>
      </c>
      <c r="D83" s="37" t="s">
        <v>181</v>
      </c>
      <c r="E83" s="17">
        <v>1</v>
      </c>
      <c r="F83" s="36">
        <f>E83*12</f>
        <v>12</v>
      </c>
      <c r="G83" s="36">
        <v>55.55</v>
      </c>
      <c r="H83" s="97"/>
      <c r="I83" s="13">
        <f>G83*1</f>
        <v>55.55</v>
      </c>
    </row>
    <row r="84" spans="1:9" ht="15.75" hidden="1" customHeight="1">
      <c r="A84" s="29"/>
      <c r="B84" s="49" t="s">
        <v>74</v>
      </c>
      <c r="C84" s="38"/>
      <c r="D84" s="29"/>
      <c r="E84" s="18"/>
      <c r="F84" s="18"/>
      <c r="G84" s="36"/>
      <c r="H84" s="36"/>
      <c r="I84" s="18"/>
    </row>
    <row r="85" spans="1:9" ht="31.5" hidden="1" customHeight="1">
      <c r="A85" s="29">
        <v>39</v>
      </c>
      <c r="B85" s="51" t="s">
        <v>118</v>
      </c>
      <c r="C85" s="16" t="s">
        <v>75</v>
      </c>
      <c r="D85" s="96"/>
      <c r="E85" s="18"/>
      <c r="F85" s="13">
        <v>1.35</v>
      </c>
      <c r="G85" s="13">
        <v>2759.44</v>
      </c>
      <c r="H85" s="97">
        <f t="shared" ref="H85" si="9">SUM(F85*G85/1000)</f>
        <v>3.725244</v>
      </c>
      <c r="I85" s="13">
        <v>0</v>
      </c>
    </row>
    <row r="86" spans="1:9" ht="15.75" customHeight="1">
      <c r="A86" s="222" t="s">
        <v>136</v>
      </c>
      <c r="B86" s="223"/>
      <c r="C86" s="223"/>
      <c r="D86" s="223"/>
      <c r="E86" s="223"/>
      <c r="F86" s="223"/>
      <c r="G86" s="223"/>
      <c r="H86" s="223"/>
      <c r="I86" s="224"/>
    </row>
    <row r="87" spans="1:9" ht="15.75" customHeight="1">
      <c r="A87" s="29">
        <v>19</v>
      </c>
      <c r="B87" s="32" t="s">
        <v>119</v>
      </c>
      <c r="C87" s="38" t="s">
        <v>53</v>
      </c>
      <c r="D87" s="62"/>
      <c r="E87" s="36">
        <v>5162.6000000000004</v>
      </c>
      <c r="F87" s="36">
        <f>SUM(E87*12)</f>
        <v>61951.200000000004</v>
      </c>
      <c r="G87" s="36">
        <v>3.22</v>
      </c>
      <c r="H87" s="99">
        <f>SUM(F87*G87/1000)</f>
        <v>199.48286400000003</v>
      </c>
      <c r="I87" s="13">
        <f>F87/12*G87</f>
        <v>16623.572000000004</v>
      </c>
    </row>
    <row r="88" spans="1:9" ht="30" customHeight="1">
      <c r="A88" s="29">
        <v>20</v>
      </c>
      <c r="B88" s="37" t="s">
        <v>172</v>
      </c>
      <c r="C88" s="109" t="s">
        <v>173</v>
      </c>
      <c r="D88" s="37"/>
      <c r="E88" s="17">
        <v>5162.6000000000004</v>
      </c>
      <c r="F88" s="36">
        <f>E88*12</f>
        <v>61951.200000000004</v>
      </c>
      <c r="G88" s="36">
        <v>3.64</v>
      </c>
      <c r="H88" s="97">
        <f>F88*G88/1000</f>
        <v>225.50236800000002</v>
      </c>
      <c r="I88" s="13">
        <f>F88/12*G88</f>
        <v>18791.864000000001</v>
      </c>
    </row>
    <row r="89" spans="1:9" ht="18" customHeight="1">
      <c r="A89" s="163"/>
      <c r="B89" s="39" t="s">
        <v>77</v>
      </c>
      <c r="C89" s="40"/>
      <c r="D89" s="15"/>
      <c r="E89" s="15"/>
      <c r="F89" s="15"/>
      <c r="G89" s="18"/>
      <c r="H89" s="18"/>
      <c r="I89" s="31">
        <f>I88+I87+I83+I73+I64+I62+I57+I50+I43+I40+I39+I38+I37+I27+I21+I20+I18+I17+I16+I54</f>
        <v>116855.45444533332</v>
      </c>
    </row>
    <row r="90" spans="1:9" ht="15.75" customHeight="1">
      <c r="A90" s="225" t="s">
        <v>58</v>
      </c>
      <c r="B90" s="226"/>
      <c r="C90" s="226"/>
      <c r="D90" s="226"/>
      <c r="E90" s="226"/>
      <c r="F90" s="226"/>
      <c r="G90" s="226"/>
      <c r="H90" s="226"/>
      <c r="I90" s="227"/>
    </row>
    <row r="91" spans="1:9" ht="15.75" customHeight="1">
      <c r="A91" s="29">
        <v>21</v>
      </c>
      <c r="B91" s="63" t="s">
        <v>227</v>
      </c>
      <c r="C91" s="64" t="s">
        <v>159</v>
      </c>
      <c r="D91" s="33"/>
      <c r="E91" s="34"/>
      <c r="F91" s="192">
        <v>11</v>
      </c>
      <c r="G91" s="192">
        <v>295.36</v>
      </c>
      <c r="H91" s="97"/>
      <c r="I91" s="114">
        <f>G91*2</f>
        <v>590.72</v>
      </c>
    </row>
    <row r="92" spans="1:9" ht="30" customHeight="1">
      <c r="A92" s="29">
        <v>22</v>
      </c>
      <c r="B92" s="63" t="s">
        <v>140</v>
      </c>
      <c r="C92" s="64" t="s">
        <v>79</v>
      </c>
      <c r="D92" s="33" t="s">
        <v>242</v>
      </c>
      <c r="E92" s="34"/>
      <c r="F92" s="192">
        <v>2</v>
      </c>
      <c r="G92" s="192">
        <v>231.54</v>
      </c>
      <c r="H92" s="97"/>
      <c r="I92" s="114">
        <v>0</v>
      </c>
    </row>
    <row r="93" spans="1:9" ht="15.75" customHeight="1">
      <c r="A93" s="29">
        <v>23</v>
      </c>
      <c r="B93" s="195" t="s">
        <v>240</v>
      </c>
      <c r="C93" s="196" t="s">
        <v>241</v>
      </c>
      <c r="D93" s="33" t="s">
        <v>245</v>
      </c>
      <c r="E93" s="34"/>
      <c r="F93" s="192">
        <f>0.5/3</f>
        <v>0.16666666666666666</v>
      </c>
      <c r="G93" s="192">
        <v>1325.12</v>
      </c>
      <c r="H93" s="97"/>
      <c r="I93" s="114">
        <f>G93*0.5/3</f>
        <v>220.85333333333332</v>
      </c>
    </row>
    <row r="94" spans="1:9" ht="31.5" customHeight="1">
      <c r="A94" s="29">
        <v>24</v>
      </c>
      <c r="B94" s="63" t="s">
        <v>143</v>
      </c>
      <c r="C94" s="64" t="s">
        <v>144</v>
      </c>
      <c r="D94" s="33" t="s">
        <v>244</v>
      </c>
      <c r="E94" s="34"/>
      <c r="F94" s="192">
        <v>1</v>
      </c>
      <c r="G94" s="192">
        <v>64.040000000000006</v>
      </c>
      <c r="H94" s="97"/>
      <c r="I94" s="114">
        <f>G94*1</f>
        <v>64.040000000000006</v>
      </c>
    </row>
    <row r="95" spans="1:9" ht="29.25" customHeight="1">
      <c r="A95" s="29">
        <v>25</v>
      </c>
      <c r="B95" s="191" t="s">
        <v>213</v>
      </c>
      <c r="C95" s="40" t="s">
        <v>214</v>
      </c>
      <c r="D95" s="33" t="s">
        <v>243</v>
      </c>
      <c r="E95" s="34"/>
      <c r="F95" s="192">
        <v>1</v>
      </c>
      <c r="G95" s="192">
        <v>477.25</v>
      </c>
      <c r="H95" s="97"/>
      <c r="I95" s="114">
        <f>G95*1</f>
        <v>477.25</v>
      </c>
    </row>
    <row r="96" spans="1:9" ht="30.75" customHeight="1">
      <c r="A96" s="29">
        <v>26</v>
      </c>
      <c r="B96" s="63" t="s">
        <v>202</v>
      </c>
      <c r="C96" s="64" t="s">
        <v>37</v>
      </c>
      <c r="D96" s="33" t="s">
        <v>187</v>
      </c>
      <c r="E96" s="34"/>
      <c r="F96" s="192">
        <v>0.02</v>
      </c>
      <c r="G96" s="192">
        <v>4233.72</v>
      </c>
      <c r="H96" s="97"/>
      <c r="I96" s="114">
        <v>0</v>
      </c>
    </row>
    <row r="97" spans="1:9">
      <c r="A97" s="29"/>
      <c r="B97" s="45" t="s">
        <v>50</v>
      </c>
      <c r="C97" s="41"/>
      <c r="D97" s="53"/>
      <c r="E97" s="41">
        <v>1</v>
      </c>
      <c r="F97" s="41"/>
      <c r="G97" s="41"/>
      <c r="H97" s="41"/>
      <c r="I97" s="31">
        <f>SUM(I91:I96)</f>
        <v>1352.8633333333332</v>
      </c>
    </row>
    <row r="98" spans="1:9">
      <c r="A98" s="29"/>
      <c r="B98" s="51" t="s">
        <v>76</v>
      </c>
      <c r="C98" s="15"/>
      <c r="D98" s="15"/>
      <c r="E98" s="42"/>
      <c r="F98" s="42"/>
      <c r="G98" s="43"/>
      <c r="H98" s="43"/>
      <c r="I98" s="17">
        <v>0</v>
      </c>
    </row>
    <row r="99" spans="1:9">
      <c r="A99" s="54"/>
      <c r="B99" s="46" t="s">
        <v>141</v>
      </c>
      <c r="C99" s="34"/>
      <c r="D99" s="34"/>
      <c r="E99" s="34"/>
      <c r="F99" s="34"/>
      <c r="G99" s="34"/>
      <c r="H99" s="34"/>
      <c r="I99" s="44">
        <f>I89+I97</f>
        <v>118208.31777866665</v>
      </c>
    </row>
    <row r="100" spans="1:9" ht="15.75" customHeight="1">
      <c r="A100" s="219" t="s">
        <v>246</v>
      </c>
      <c r="B100" s="219"/>
      <c r="C100" s="219"/>
      <c r="D100" s="219"/>
      <c r="E100" s="219"/>
      <c r="F100" s="219"/>
      <c r="G100" s="219"/>
      <c r="H100" s="219"/>
      <c r="I100" s="219"/>
    </row>
    <row r="101" spans="1:9" ht="15.75">
      <c r="A101" s="60"/>
      <c r="B101" s="220" t="s">
        <v>247</v>
      </c>
      <c r="C101" s="220"/>
      <c r="D101" s="220"/>
      <c r="E101" s="220"/>
      <c r="F101" s="220"/>
      <c r="G101" s="220"/>
      <c r="H101" s="77"/>
      <c r="I101" s="3"/>
    </row>
    <row r="102" spans="1:9">
      <c r="A102" s="158"/>
      <c r="B102" s="218" t="s">
        <v>6</v>
      </c>
      <c r="C102" s="218"/>
      <c r="D102" s="218"/>
      <c r="E102" s="218"/>
      <c r="F102" s="218"/>
      <c r="G102" s="218"/>
      <c r="H102" s="24"/>
      <c r="I102" s="5"/>
    </row>
    <row r="103" spans="1:9">
      <c r="A103" s="10"/>
      <c r="B103" s="10"/>
      <c r="C103" s="10"/>
      <c r="D103" s="10"/>
      <c r="E103" s="10"/>
      <c r="F103" s="10"/>
      <c r="G103" s="10"/>
      <c r="H103" s="10"/>
      <c r="I103" s="10"/>
    </row>
    <row r="104" spans="1:9" ht="15.75">
      <c r="A104" s="221" t="s">
        <v>7</v>
      </c>
      <c r="B104" s="221"/>
      <c r="C104" s="221"/>
      <c r="D104" s="221"/>
      <c r="E104" s="221"/>
      <c r="F104" s="221"/>
      <c r="G104" s="221"/>
      <c r="H104" s="221"/>
      <c r="I104" s="221"/>
    </row>
    <row r="105" spans="1:9" ht="15.75">
      <c r="A105" s="221" t="s">
        <v>8</v>
      </c>
      <c r="B105" s="221"/>
      <c r="C105" s="221"/>
      <c r="D105" s="221"/>
      <c r="E105" s="221"/>
      <c r="F105" s="221"/>
      <c r="G105" s="221"/>
      <c r="H105" s="221"/>
      <c r="I105" s="221"/>
    </row>
    <row r="106" spans="1:9" ht="15.75">
      <c r="A106" s="215" t="s">
        <v>59</v>
      </c>
      <c r="B106" s="215"/>
      <c r="C106" s="215"/>
      <c r="D106" s="215"/>
      <c r="E106" s="215"/>
      <c r="F106" s="215"/>
      <c r="G106" s="215"/>
      <c r="H106" s="215"/>
      <c r="I106" s="215"/>
    </row>
    <row r="107" spans="1:9" ht="45" customHeight="1">
      <c r="A107" s="11"/>
    </row>
    <row r="108" spans="1:9" ht="30" customHeight="1">
      <c r="A108" s="216" t="s">
        <v>9</v>
      </c>
      <c r="B108" s="216"/>
      <c r="C108" s="216"/>
      <c r="D108" s="216"/>
      <c r="E108" s="216"/>
      <c r="F108" s="216"/>
      <c r="G108" s="216"/>
      <c r="H108" s="216"/>
      <c r="I108" s="216"/>
    </row>
    <row r="109" spans="1:9" ht="30" customHeight="1">
      <c r="A109" s="4"/>
    </row>
    <row r="110" spans="1:9" ht="15" customHeight="1">
      <c r="B110" s="159" t="s">
        <v>10</v>
      </c>
      <c r="C110" s="217" t="s">
        <v>219</v>
      </c>
      <c r="D110" s="217"/>
      <c r="E110" s="217"/>
      <c r="F110" s="75"/>
      <c r="I110" s="157"/>
    </row>
    <row r="111" spans="1:9">
      <c r="A111" s="158"/>
      <c r="C111" s="218" t="s">
        <v>11</v>
      </c>
      <c r="D111" s="218"/>
      <c r="E111" s="218"/>
      <c r="F111" s="24"/>
      <c r="I111" s="160" t="s">
        <v>12</v>
      </c>
    </row>
    <row r="112" spans="1:9" ht="15.75">
      <c r="A112" s="25"/>
      <c r="C112" s="12"/>
      <c r="D112" s="12"/>
      <c r="G112" s="12"/>
      <c r="H112" s="12"/>
    </row>
    <row r="113" spans="1:9" ht="15.75">
      <c r="B113" s="159" t="s">
        <v>13</v>
      </c>
      <c r="C113" s="212"/>
      <c r="D113" s="212"/>
      <c r="E113" s="212"/>
      <c r="F113" s="76"/>
      <c r="I113" s="157"/>
    </row>
    <row r="114" spans="1:9">
      <c r="A114" s="158"/>
      <c r="C114" s="213" t="s">
        <v>11</v>
      </c>
      <c r="D114" s="213"/>
      <c r="E114" s="213"/>
      <c r="F114" s="158"/>
      <c r="I114" s="160" t="s">
        <v>12</v>
      </c>
    </row>
    <row r="115" spans="1:9" ht="15.75">
      <c r="A115" s="4" t="s">
        <v>14</v>
      </c>
    </row>
    <row r="116" spans="1:9">
      <c r="A116" s="214" t="s">
        <v>15</v>
      </c>
      <c r="B116" s="214"/>
      <c r="C116" s="214"/>
      <c r="D116" s="214"/>
      <c r="E116" s="214"/>
      <c r="F116" s="214"/>
      <c r="G116" s="214"/>
      <c r="H116" s="214"/>
      <c r="I116" s="214"/>
    </row>
    <row r="117" spans="1:9" ht="15.75">
      <c r="A117" s="211" t="s">
        <v>16</v>
      </c>
      <c r="B117" s="211"/>
      <c r="C117" s="211"/>
      <c r="D117" s="211"/>
      <c r="E117" s="211"/>
      <c r="F117" s="211"/>
      <c r="G117" s="211"/>
      <c r="H117" s="211"/>
      <c r="I117" s="211"/>
    </row>
    <row r="118" spans="1:9" ht="15.75">
      <c r="A118" s="211" t="s">
        <v>17</v>
      </c>
      <c r="B118" s="211"/>
      <c r="C118" s="211"/>
      <c r="D118" s="211"/>
      <c r="E118" s="211"/>
      <c r="F118" s="211"/>
      <c r="G118" s="211"/>
      <c r="H118" s="211"/>
      <c r="I118" s="211"/>
    </row>
    <row r="119" spans="1:9" ht="15.75">
      <c r="A119" s="211" t="s">
        <v>21</v>
      </c>
      <c r="B119" s="211"/>
      <c r="C119" s="211"/>
      <c r="D119" s="211"/>
      <c r="E119" s="211"/>
      <c r="F119" s="211"/>
      <c r="G119" s="211"/>
      <c r="H119" s="211"/>
      <c r="I119" s="211"/>
    </row>
    <row r="120" spans="1:9" ht="15.75">
      <c r="A120" s="211" t="s">
        <v>20</v>
      </c>
      <c r="B120" s="211"/>
      <c r="C120" s="211"/>
      <c r="D120" s="211"/>
      <c r="E120" s="211"/>
      <c r="F120" s="211"/>
      <c r="G120" s="211"/>
      <c r="H120" s="211"/>
      <c r="I120" s="211"/>
    </row>
  </sheetData>
  <autoFilter ref="I12:I65"/>
  <mergeCells count="29">
    <mergeCell ref="A14:I14"/>
    <mergeCell ref="A15:I15"/>
    <mergeCell ref="A45:I45"/>
    <mergeCell ref="A55:I55"/>
    <mergeCell ref="A28:I28"/>
    <mergeCell ref="A3:I3"/>
    <mergeCell ref="A4:I4"/>
    <mergeCell ref="A5:I5"/>
    <mergeCell ref="A8:I8"/>
    <mergeCell ref="A10:I10"/>
    <mergeCell ref="A106:I106"/>
    <mergeCell ref="A108:I108"/>
    <mergeCell ref="C110:E110"/>
    <mergeCell ref="R70:U70"/>
    <mergeCell ref="A86:I86"/>
    <mergeCell ref="A90:I90"/>
    <mergeCell ref="A100:I100"/>
    <mergeCell ref="B101:G101"/>
    <mergeCell ref="B102:G102"/>
    <mergeCell ref="A104:I104"/>
    <mergeCell ref="A105:I105"/>
    <mergeCell ref="A118:I118"/>
    <mergeCell ref="A119:I119"/>
    <mergeCell ref="A120:I120"/>
    <mergeCell ref="C111:E111"/>
    <mergeCell ref="C113:E113"/>
    <mergeCell ref="C114:E114"/>
    <mergeCell ref="A116:I116"/>
    <mergeCell ref="A117:I117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19"/>
  <sheetViews>
    <sheetView topLeftCell="A84" workbookViewId="0">
      <selection activeCell="B88" sqref="B8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9.71093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158</v>
      </c>
      <c r="I1" s="26"/>
      <c r="J1" s="1"/>
      <c r="K1" s="1"/>
      <c r="L1" s="1"/>
      <c r="M1" s="1"/>
    </row>
    <row r="2" spans="1:13" ht="15.75" customHeight="1">
      <c r="A2" s="28" t="s">
        <v>60</v>
      </c>
      <c r="J2" s="2"/>
      <c r="K2" s="2"/>
      <c r="L2" s="2"/>
      <c r="M2" s="2"/>
    </row>
    <row r="3" spans="1:13" ht="15.75" customHeight="1">
      <c r="A3" s="228" t="s">
        <v>145</v>
      </c>
      <c r="B3" s="228"/>
      <c r="C3" s="228"/>
      <c r="D3" s="228"/>
      <c r="E3" s="228"/>
      <c r="F3" s="228"/>
      <c r="G3" s="228"/>
      <c r="H3" s="228"/>
      <c r="I3" s="228"/>
      <c r="J3" s="3"/>
      <c r="K3" s="3"/>
      <c r="L3" s="3"/>
    </row>
    <row r="4" spans="1:13" ht="31.5" customHeight="1">
      <c r="A4" s="229" t="s">
        <v>120</v>
      </c>
      <c r="B4" s="229"/>
      <c r="C4" s="229"/>
      <c r="D4" s="229"/>
      <c r="E4" s="229"/>
      <c r="F4" s="229"/>
      <c r="G4" s="229"/>
      <c r="H4" s="229"/>
      <c r="I4" s="229"/>
    </row>
    <row r="5" spans="1:13" ht="15.75" customHeight="1">
      <c r="A5" s="228" t="s">
        <v>248</v>
      </c>
      <c r="B5" s="232"/>
      <c r="C5" s="232"/>
      <c r="D5" s="232"/>
      <c r="E5" s="232"/>
      <c r="F5" s="232"/>
      <c r="G5" s="232"/>
      <c r="H5" s="232"/>
      <c r="I5" s="232"/>
      <c r="J5" s="2"/>
      <c r="K5" s="2"/>
      <c r="L5" s="2"/>
      <c r="M5" s="2"/>
    </row>
    <row r="6" spans="1:13" ht="15.75" customHeight="1">
      <c r="A6" s="2"/>
      <c r="B6" s="72"/>
      <c r="C6" s="72"/>
      <c r="D6" s="72"/>
      <c r="E6" s="72"/>
      <c r="F6" s="72"/>
      <c r="G6" s="72"/>
      <c r="H6" s="72"/>
      <c r="I6" s="30">
        <v>44286</v>
      </c>
      <c r="J6" s="2"/>
      <c r="K6" s="2"/>
      <c r="L6" s="2"/>
      <c r="M6" s="2"/>
    </row>
    <row r="7" spans="1:13" ht="15.75" customHeight="1">
      <c r="B7" s="69"/>
      <c r="C7" s="69"/>
      <c r="D7" s="69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30" t="s">
        <v>224</v>
      </c>
      <c r="B8" s="230"/>
      <c r="C8" s="230"/>
      <c r="D8" s="230"/>
      <c r="E8" s="230"/>
      <c r="F8" s="230"/>
      <c r="G8" s="230"/>
      <c r="H8" s="230"/>
      <c r="I8" s="230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31" t="s">
        <v>133</v>
      </c>
      <c r="B10" s="231"/>
      <c r="C10" s="231"/>
      <c r="D10" s="231"/>
      <c r="E10" s="231"/>
      <c r="F10" s="231"/>
      <c r="G10" s="231"/>
      <c r="H10" s="231"/>
      <c r="I10" s="231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33" t="s">
        <v>57</v>
      </c>
      <c r="B14" s="233"/>
      <c r="C14" s="233"/>
      <c r="D14" s="233"/>
      <c r="E14" s="233"/>
      <c r="F14" s="233"/>
      <c r="G14" s="233"/>
      <c r="H14" s="233"/>
      <c r="I14" s="233"/>
      <c r="J14" s="8"/>
      <c r="K14" s="8"/>
      <c r="L14" s="8"/>
      <c r="M14" s="8"/>
    </row>
    <row r="15" spans="1:13" ht="15.75" customHeight="1">
      <c r="A15" s="234" t="s">
        <v>4</v>
      </c>
      <c r="B15" s="234"/>
      <c r="C15" s="234"/>
      <c r="D15" s="234"/>
      <c r="E15" s="234"/>
      <c r="F15" s="234"/>
      <c r="G15" s="234"/>
      <c r="H15" s="234"/>
      <c r="I15" s="234"/>
      <c r="J15" s="8"/>
      <c r="K15" s="8"/>
      <c r="L15" s="8"/>
      <c r="M15" s="8"/>
    </row>
    <row r="16" spans="1:13" ht="15.75" customHeight="1">
      <c r="A16" s="29">
        <v>1</v>
      </c>
      <c r="B16" s="32" t="s">
        <v>81</v>
      </c>
      <c r="C16" s="133" t="s">
        <v>87</v>
      </c>
      <c r="D16" s="32" t="s">
        <v>178</v>
      </c>
      <c r="E16" s="146">
        <v>129.88</v>
      </c>
      <c r="F16" s="134">
        <f>SUM(E16*156/100)</f>
        <v>202.61279999999999</v>
      </c>
      <c r="G16" s="134">
        <v>239.2</v>
      </c>
      <c r="H16" s="83">
        <f t="shared" ref="H16:H26" si="0">SUM(F16*G16/1000)</f>
        <v>48.464981759999993</v>
      </c>
      <c r="I16" s="13">
        <f>F16/12*G16</f>
        <v>4038.7484799999997</v>
      </c>
      <c r="J16" s="8"/>
      <c r="K16" s="8"/>
      <c r="L16" s="8"/>
      <c r="M16" s="8"/>
    </row>
    <row r="17" spans="1:13" ht="15.75" customHeight="1">
      <c r="A17" s="29">
        <v>2</v>
      </c>
      <c r="B17" s="32" t="s">
        <v>83</v>
      </c>
      <c r="C17" s="133" t="s">
        <v>87</v>
      </c>
      <c r="D17" s="32" t="s">
        <v>179</v>
      </c>
      <c r="E17" s="146">
        <v>519.52</v>
      </c>
      <c r="F17" s="134">
        <f>SUM(E17*104/100)</f>
        <v>540.30079999999998</v>
      </c>
      <c r="G17" s="134">
        <v>239.2</v>
      </c>
      <c r="H17" s="83">
        <f t="shared" si="0"/>
        <v>129.23995135999999</v>
      </c>
      <c r="I17" s="13">
        <f>F17/12*G17</f>
        <v>10769.995946666666</v>
      </c>
      <c r="J17" s="22"/>
      <c r="K17" s="8"/>
      <c r="L17" s="8"/>
      <c r="M17" s="8"/>
    </row>
    <row r="18" spans="1:13" ht="15.75" customHeight="1">
      <c r="A18" s="29">
        <v>3</v>
      </c>
      <c r="B18" s="32" t="s">
        <v>84</v>
      </c>
      <c r="C18" s="133" t="s">
        <v>87</v>
      </c>
      <c r="D18" s="32" t="s">
        <v>187</v>
      </c>
      <c r="E18" s="146">
        <f>SUM(E16+E17)</f>
        <v>649.4</v>
      </c>
      <c r="F18" s="134">
        <f>SUM(E18*18/100)</f>
        <v>116.892</v>
      </c>
      <c r="G18" s="134">
        <v>688.14</v>
      </c>
      <c r="H18" s="83">
        <f t="shared" si="0"/>
        <v>80.438060879999995</v>
      </c>
      <c r="I18" s="13">
        <f>F18/18*G18</f>
        <v>4468.7811599999995</v>
      </c>
      <c r="J18" s="22"/>
      <c r="K18" s="8"/>
      <c r="L18" s="8"/>
      <c r="M18" s="8"/>
    </row>
    <row r="19" spans="1:13" ht="15.75" hidden="1" customHeight="1">
      <c r="A19" s="29"/>
      <c r="B19" s="32" t="s">
        <v>88</v>
      </c>
      <c r="C19" s="133" t="s">
        <v>89</v>
      </c>
      <c r="D19" s="32" t="s">
        <v>90</v>
      </c>
      <c r="E19" s="146">
        <v>124.8</v>
      </c>
      <c r="F19" s="134">
        <f>SUM(E19/10)</f>
        <v>12.48</v>
      </c>
      <c r="G19" s="134">
        <v>232.1</v>
      </c>
      <c r="H19" s="83">
        <f t="shared" si="0"/>
        <v>2.8966080000000001</v>
      </c>
      <c r="I19" s="13">
        <v>0</v>
      </c>
      <c r="J19" s="22"/>
      <c r="K19" s="8"/>
      <c r="L19" s="8"/>
      <c r="M19" s="8"/>
    </row>
    <row r="20" spans="1:13" ht="15.75" customHeight="1">
      <c r="A20" s="29">
        <v>4</v>
      </c>
      <c r="B20" s="32" t="s">
        <v>93</v>
      </c>
      <c r="C20" s="133" t="s">
        <v>87</v>
      </c>
      <c r="D20" s="32" t="s">
        <v>181</v>
      </c>
      <c r="E20" s="146">
        <v>57.5</v>
      </c>
      <c r="F20" s="134">
        <f>SUM(E20*12/100)</f>
        <v>6.9</v>
      </c>
      <c r="G20" s="134">
        <v>297.19</v>
      </c>
      <c r="H20" s="83">
        <f t="shared" si="0"/>
        <v>2.050611</v>
      </c>
      <c r="I20" s="13">
        <f>G20*F20/12</f>
        <v>170.88424999999998</v>
      </c>
      <c r="J20" s="22"/>
      <c r="K20" s="8"/>
      <c r="L20" s="8"/>
      <c r="M20" s="8"/>
    </row>
    <row r="21" spans="1:13" ht="18" customHeight="1">
      <c r="A21" s="29">
        <v>5</v>
      </c>
      <c r="B21" s="32" t="s">
        <v>94</v>
      </c>
      <c r="C21" s="133" t="s">
        <v>87</v>
      </c>
      <c r="D21" s="32" t="s">
        <v>181</v>
      </c>
      <c r="E21" s="146">
        <v>13.41</v>
      </c>
      <c r="F21" s="134">
        <f>SUM(E21*12/100)</f>
        <v>1.6092000000000002</v>
      </c>
      <c r="G21" s="134">
        <v>294.77999999999997</v>
      </c>
      <c r="H21" s="83">
        <f t="shared" si="0"/>
        <v>0.47435997600000002</v>
      </c>
      <c r="I21" s="13">
        <f>G21*F21/12</f>
        <v>39.529997999999999</v>
      </c>
      <c r="J21" s="22"/>
      <c r="K21" s="8"/>
      <c r="L21" s="8"/>
      <c r="M21" s="8"/>
    </row>
    <row r="22" spans="1:13" ht="18" hidden="1" customHeight="1">
      <c r="A22" s="29"/>
      <c r="B22" s="32" t="s">
        <v>95</v>
      </c>
      <c r="C22" s="133" t="s">
        <v>51</v>
      </c>
      <c r="D22" s="32" t="s">
        <v>90</v>
      </c>
      <c r="E22" s="146">
        <v>820.5</v>
      </c>
      <c r="F22" s="134">
        <f>SUM(E22/100)</f>
        <v>8.2050000000000001</v>
      </c>
      <c r="G22" s="134">
        <v>367.27</v>
      </c>
      <c r="H22" s="83">
        <f t="shared" si="0"/>
        <v>3.0134503500000003</v>
      </c>
      <c r="I22" s="13">
        <v>0</v>
      </c>
      <c r="J22" s="22"/>
      <c r="K22" s="8"/>
      <c r="L22" s="8"/>
      <c r="M22" s="8"/>
    </row>
    <row r="23" spans="1:13" ht="20.25" hidden="1" customHeight="1">
      <c r="A23" s="29"/>
      <c r="B23" s="32" t="s">
        <v>96</v>
      </c>
      <c r="C23" s="133" t="s">
        <v>51</v>
      </c>
      <c r="D23" s="32" t="s">
        <v>90</v>
      </c>
      <c r="E23" s="153">
        <v>60.25</v>
      </c>
      <c r="F23" s="134">
        <f>SUM(E23/100)</f>
        <v>0.60250000000000004</v>
      </c>
      <c r="G23" s="134">
        <v>60.41</v>
      </c>
      <c r="H23" s="83">
        <f t="shared" si="0"/>
        <v>3.6397025E-2</v>
      </c>
      <c r="I23" s="13">
        <v>0</v>
      </c>
      <c r="J23" s="22"/>
      <c r="K23" s="8"/>
      <c r="L23" s="8"/>
      <c r="M23" s="8"/>
    </row>
    <row r="24" spans="1:13" ht="21" hidden="1" customHeight="1">
      <c r="A24" s="29"/>
      <c r="B24" s="32" t="s">
        <v>91</v>
      </c>
      <c r="C24" s="133" t="s">
        <v>51</v>
      </c>
      <c r="D24" s="32" t="s">
        <v>92</v>
      </c>
      <c r="E24" s="146">
        <v>19.149999999999999</v>
      </c>
      <c r="F24" s="134">
        <f>E24/100</f>
        <v>0.19149999999999998</v>
      </c>
      <c r="G24" s="134">
        <v>531.55999999999995</v>
      </c>
      <c r="H24" s="83">
        <f t="shared" si="0"/>
        <v>0.10179373999999997</v>
      </c>
      <c r="I24" s="13">
        <v>0</v>
      </c>
      <c r="J24" s="22"/>
      <c r="K24" s="8"/>
      <c r="L24" s="8"/>
      <c r="M24" s="8"/>
    </row>
    <row r="25" spans="1:13" ht="18.75" hidden="1" customHeight="1">
      <c r="A25" s="40">
        <v>6</v>
      </c>
      <c r="B25" s="32" t="s">
        <v>98</v>
      </c>
      <c r="C25" s="133" t="s">
        <v>51</v>
      </c>
      <c r="D25" s="32" t="s">
        <v>52</v>
      </c>
      <c r="E25" s="146">
        <v>31.5</v>
      </c>
      <c r="F25" s="134">
        <v>0.32</v>
      </c>
      <c r="G25" s="134">
        <v>294.77999999999997</v>
      </c>
      <c r="H25" s="83">
        <f t="shared" si="0"/>
        <v>9.43296E-2</v>
      </c>
      <c r="I25" s="13">
        <v>0</v>
      </c>
      <c r="J25" s="22"/>
      <c r="K25" s="8"/>
      <c r="L25" s="8"/>
      <c r="M25" s="8"/>
    </row>
    <row r="26" spans="1:13" ht="18" hidden="1" customHeight="1">
      <c r="A26" s="40"/>
      <c r="B26" s="32" t="s">
        <v>97</v>
      </c>
      <c r="C26" s="133" t="s">
        <v>51</v>
      </c>
      <c r="D26" s="32" t="s">
        <v>90</v>
      </c>
      <c r="E26" s="146">
        <v>37.5</v>
      </c>
      <c r="F26" s="134">
        <f>SUM(E26/100)</f>
        <v>0.375</v>
      </c>
      <c r="G26" s="134">
        <v>710.37</v>
      </c>
      <c r="H26" s="83">
        <f t="shared" si="0"/>
        <v>0.26638875000000001</v>
      </c>
      <c r="I26" s="13">
        <v>0</v>
      </c>
      <c r="J26" s="22"/>
      <c r="K26" s="8"/>
      <c r="L26" s="8"/>
      <c r="M26" s="8"/>
    </row>
    <row r="27" spans="1:13" ht="15.75" hidden="1" customHeight="1">
      <c r="A27" s="40">
        <v>6</v>
      </c>
      <c r="B27" s="32" t="s">
        <v>177</v>
      </c>
      <c r="C27" s="133" t="s">
        <v>26</v>
      </c>
      <c r="D27" s="32" t="s">
        <v>182</v>
      </c>
      <c r="E27" s="169">
        <v>4.88</v>
      </c>
      <c r="F27" s="134">
        <f>E27*258</f>
        <v>1259.04</v>
      </c>
      <c r="G27" s="134">
        <v>10.39</v>
      </c>
      <c r="H27" s="83">
        <f t="shared" ref="H27" si="1">SUM(F27*G27/1000)</f>
        <v>13.081425600000001</v>
      </c>
      <c r="I27" s="13">
        <f>F27/12*G27</f>
        <v>1090.1188</v>
      </c>
      <c r="J27" s="22"/>
      <c r="K27" s="8"/>
      <c r="L27" s="8"/>
      <c r="M27" s="8"/>
    </row>
    <row r="28" spans="1:13" ht="15.75" customHeight="1">
      <c r="A28" s="234" t="s">
        <v>80</v>
      </c>
      <c r="B28" s="234"/>
      <c r="C28" s="234"/>
      <c r="D28" s="234"/>
      <c r="E28" s="234"/>
      <c r="F28" s="234"/>
      <c r="G28" s="234"/>
      <c r="H28" s="234"/>
      <c r="I28" s="234"/>
      <c r="J28" s="22"/>
      <c r="K28" s="8"/>
      <c r="L28" s="8"/>
      <c r="M28" s="8"/>
    </row>
    <row r="29" spans="1:13" ht="15.75" hidden="1" customHeight="1">
      <c r="A29" s="40"/>
      <c r="B29" s="50" t="s">
        <v>29</v>
      </c>
      <c r="C29" s="50"/>
      <c r="D29" s="50"/>
      <c r="E29" s="50"/>
      <c r="F29" s="50"/>
      <c r="G29" s="50"/>
      <c r="H29" s="50"/>
      <c r="I29" s="18"/>
      <c r="J29" s="22"/>
      <c r="K29" s="8"/>
      <c r="L29" s="8"/>
      <c r="M29" s="8"/>
    </row>
    <row r="30" spans="1:13" ht="15.75" hidden="1" customHeight="1">
      <c r="A30" s="40">
        <v>2</v>
      </c>
      <c r="B30" s="79" t="s">
        <v>99</v>
      </c>
      <c r="C30" s="80" t="s">
        <v>100</v>
      </c>
      <c r="D30" s="79" t="s">
        <v>101</v>
      </c>
      <c r="E30" s="82">
        <v>1304.45</v>
      </c>
      <c r="F30" s="82">
        <f>SUM(E30*52/1000)</f>
        <v>67.831400000000002</v>
      </c>
      <c r="G30" s="82">
        <v>155.88999999999999</v>
      </c>
      <c r="H30" s="83">
        <f t="shared" ref="H30:H35" si="2">SUM(F30*G30/1000)</f>
        <v>10.574236945999999</v>
      </c>
      <c r="I30" s="13">
        <f>F30/6*G30</f>
        <v>1762.3728243333333</v>
      </c>
      <c r="J30" s="22"/>
      <c r="K30" s="8"/>
      <c r="L30" s="8"/>
      <c r="M30" s="8"/>
    </row>
    <row r="31" spans="1:13" ht="31.5" hidden="1" customHeight="1">
      <c r="A31" s="40">
        <v>3</v>
      </c>
      <c r="B31" s="79" t="s">
        <v>137</v>
      </c>
      <c r="C31" s="80" t="s">
        <v>100</v>
      </c>
      <c r="D31" s="79" t="s">
        <v>102</v>
      </c>
      <c r="E31" s="82">
        <v>287.83999999999997</v>
      </c>
      <c r="F31" s="82">
        <f>SUM(E31*78/1000)</f>
        <v>22.451519999999995</v>
      </c>
      <c r="G31" s="82">
        <v>258.63</v>
      </c>
      <c r="H31" s="83">
        <f t="shared" si="2"/>
        <v>5.8066366175999979</v>
      </c>
      <c r="I31" s="13">
        <f t="shared" ref="I31:I33" si="3">F31/6*G31</f>
        <v>967.77276959999972</v>
      </c>
      <c r="J31" s="22"/>
      <c r="K31" s="8"/>
      <c r="L31" s="8"/>
      <c r="M31" s="8"/>
    </row>
    <row r="32" spans="1:13" ht="15.75" hidden="1" customHeight="1">
      <c r="A32" s="40">
        <v>4</v>
      </c>
      <c r="B32" s="79" t="s">
        <v>28</v>
      </c>
      <c r="C32" s="80" t="s">
        <v>100</v>
      </c>
      <c r="D32" s="79" t="s">
        <v>52</v>
      </c>
      <c r="E32" s="82">
        <v>1304.45</v>
      </c>
      <c r="F32" s="82">
        <f>SUM(E32/1000)</f>
        <v>1.3044500000000001</v>
      </c>
      <c r="G32" s="82">
        <v>3020.33</v>
      </c>
      <c r="H32" s="83">
        <f t="shared" si="2"/>
        <v>3.9398694685</v>
      </c>
      <c r="I32" s="13">
        <f>F32*G32</f>
        <v>3939.8694685</v>
      </c>
      <c r="J32" s="22"/>
      <c r="K32" s="8"/>
      <c r="L32" s="8"/>
      <c r="M32" s="8"/>
    </row>
    <row r="33" spans="1:14" ht="15.75" hidden="1" customHeight="1">
      <c r="A33" s="40">
        <v>5</v>
      </c>
      <c r="B33" s="79" t="s">
        <v>103</v>
      </c>
      <c r="C33" s="80" t="s">
        <v>31</v>
      </c>
      <c r="D33" s="79" t="s">
        <v>61</v>
      </c>
      <c r="E33" s="86">
        <v>0.33333333333333331</v>
      </c>
      <c r="F33" s="82">
        <f>155/3</f>
        <v>51.666666666666664</v>
      </c>
      <c r="G33" s="82">
        <v>56.69</v>
      </c>
      <c r="H33" s="83">
        <f t="shared" si="2"/>
        <v>2.9289833333333331</v>
      </c>
      <c r="I33" s="13">
        <f t="shared" si="3"/>
        <v>488.16388888888883</v>
      </c>
      <c r="J33" s="23"/>
    </row>
    <row r="34" spans="1:14" ht="15.75" hidden="1" customHeight="1">
      <c r="A34" s="40">
        <v>4</v>
      </c>
      <c r="B34" s="79" t="s">
        <v>63</v>
      </c>
      <c r="C34" s="80" t="s">
        <v>33</v>
      </c>
      <c r="D34" s="79" t="s">
        <v>65</v>
      </c>
      <c r="E34" s="81"/>
      <c r="F34" s="82">
        <v>3</v>
      </c>
      <c r="G34" s="82">
        <v>191.32</v>
      </c>
      <c r="H34" s="83">
        <f t="shared" si="2"/>
        <v>0.57396000000000003</v>
      </c>
      <c r="I34" s="13">
        <v>0</v>
      </c>
      <c r="J34" s="23"/>
    </row>
    <row r="35" spans="1:14" ht="15.75" hidden="1" customHeight="1">
      <c r="A35" s="29">
        <v>8</v>
      </c>
      <c r="B35" s="79" t="s">
        <v>64</v>
      </c>
      <c r="C35" s="80" t="s">
        <v>32</v>
      </c>
      <c r="D35" s="79" t="s">
        <v>65</v>
      </c>
      <c r="E35" s="81"/>
      <c r="F35" s="82">
        <v>2</v>
      </c>
      <c r="G35" s="82">
        <v>1136.32</v>
      </c>
      <c r="H35" s="83">
        <f t="shared" si="2"/>
        <v>2.27264</v>
      </c>
      <c r="I35" s="13">
        <v>0</v>
      </c>
      <c r="J35" s="23"/>
    </row>
    <row r="36" spans="1:14" ht="15.75" customHeight="1">
      <c r="A36" s="40"/>
      <c r="B36" s="48" t="s">
        <v>5</v>
      </c>
      <c r="C36" s="48"/>
      <c r="D36" s="48"/>
      <c r="E36" s="13"/>
      <c r="F36" s="13"/>
      <c r="G36" s="14"/>
      <c r="H36" s="14"/>
      <c r="I36" s="18"/>
      <c r="J36" s="23"/>
    </row>
    <row r="37" spans="1:14" ht="15.75" customHeight="1">
      <c r="A37" s="33">
        <v>6</v>
      </c>
      <c r="B37" s="149" t="s">
        <v>27</v>
      </c>
      <c r="C37" s="133" t="s">
        <v>32</v>
      </c>
      <c r="D37" s="176" t="s">
        <v>249</v>
      </c>
      <c r="E37" s="146"/>
      <c r="F37" s="134">
        <v>8</v>
      </c>
      <c r="G37" s="134">
        <v>2083</v>
      </c>
      <c r="H37" s="83">
        <f t="shared" ref="H37:H43" si="4">SUM(F37*G37/1000)</f>
        <v>16.664000000000001</v>
      </c>
      <c r="I37" s="13">
        <f>G37*3.5</f>
        <v>7290.5</v>
      </c>
      <c r="J37" s="23"/>
    </row>
    <row r="38" spans="1:14" ht="15.75" customHeight="1">
      <c r="A38" s="33">
        <v>7</v>
      </c>
      <c r="B38" s="149" t="s">
        <v>121</v>
      </c>
      <c r="C38" s="150" t="s">
        <v>30</v>
      </c>
      <c r="D38" s="149" t="s">
        <v>183</v>
      </c>
      <c r="E38" s="151">
        <v>287.83999999999997</v>
      </c>
      <c r="F38" s="151">
        <f>SUM(E38*30/1000)</f>
        <v>8.6351999999999993</v>
      </c>
      <c r="G38" s="151">
        <v>2868.09</v>
      </c>
      <c r="H38" s="83">
        <f t="shared" si="4"/>
        <v>24.766530767999999</v>
      </c>
      <c r="I38" s="13">
        <f>F38/6*G38</f>
        <v>4127.7551279999998</v>
      </c>
      <c r="J38" s="23"/>
    </row>
    <row r="39" spans="1:14" ht="15.75" customHeight="1">
      <c r="A39" s="33">
        <v>8</v>
      </c>
      <c r="B39" s="149" t="s">
        <v>165</v>
      </c>
      <c r="C39" s="150" t="s">
        <v>30</v>
      </c>
      <c r="D39" s="32" t="s">
        <v>184</v>
      </c>
      <c r="E39" s="146">
        <v>287.83999999999997</v>
      </c>
      <c r="F39" s="151">
        <f>E39*155/1000</f>
        <v>44.615199999999994</v>
      </c>
      <c r="G39" s="134">
        <v>478.42</v>
      </c>
      <c r="H39" s="83">
        <f>G39*F39/1000</f>
        <v>21.344803983999999</v>
      </c>
      <c r="I39" s="13">
        <f>F39/6*G39</f>
        <v>3557.4673306666664</v>
      </c>
      <c r="J39" s="23"/>
    </row>
    <row r="40" spans="1:14" ht="15.75" hidden="1" customHeight="1">
      <c r="A40" s="33">
        <v>7</v>
      </c>
      <c r="B40" s="79" t="s">
        <v>85</v>
      </c>
      <c r="C40" s="80" t="s">
        <v>124</v>
      </c>
      <c r="D40" s="79" t="s">
        <v>65</v>
      </c>
      <c r="E40" s="81"/>
      <c r="F40" s="82">
        <v>80</v>
      </c>
      <c r="G40" s="82">
        <v>199.44</v>
      </c>
      <c r="H40" s="83">
        <f>G40*F40/1000</f>
        <v>15.955200000000001</v>
      </c>
      <c r="I40" s="13">
        <v>0</v>
      </c>
      <c r="J40" s="23"/>
    </row>
    <row r="41" spans="1:14" ht="47.25" customHeight="1">
      <c r="A41" s="33">
        <v>9</v>
      </c>
      <c r="B41" s="32" t="s">
        <v>78</v>
      </c>
      <c r="C41" s="133" t="s">
        <v>100</v>
      </c>
      <c r="D41" s="32" t="s">
        <v>183</v>
      </c>
      <c r="E41" s="134">
        <v>130.6</v>
      </c>
      <c r="F41" s="151">
        <f>SUM(E41*35/1000)</f>
        <v>4.5709999999999997</v>
      </c>
      <c r="G41" s="134">
        <v>7915.6</v>
      </c>
      <c r="H41" s="83">
        <f t="shared" si="4"/>
        <v>36.182207599999998</v>
      </c>
      <c r="I41" s="13">
        <f>F41/6*G41</f>
        <v>6030.367933333333</v>
      </c>
      <c r="J41" s="23"/>
      <c r="L41" s="19"/>
      <c r="M41" s="20"/>
      <c r="N41" s="21"/>
    </row>
    <row r="42" spans="1:14" ht="15.75" hidden="1" customHeight="1">
      <c r="A42" s="33">
        <v>11</v>
      </c>
      <c r="B42" s="32" t="s">
        <v>106</v>
      </c>
      <c r="C42" s="133" t="s">
        <v>100</v>
      </c>
      <c r="D42" s="32" t="s">
        <v>185</v>
      </c>
      <c r="E42" s="134">
        <v>287.83999999999997</v>
      </c>
      <c r="F42" s="151">
        <f>SUM(E42*45/1000)</f>
        <v>12.9528</v>
      </c>
      <c r="G42" s="134">
        <v>584.74</v>
      </c>
      <c r="H42" s="83">
        <f t="shared" si="4"/>
        <v>7.5740202719999994</v>
      </c>
      <c r="I42" s="13">
        <f>(F42/7.5*1.5)*G42</f>
        <v>1514.8040544</v>
      </c>
      <c r="J42" s="23"/>
      <c r="L42" s="19"/>
      <c r="M42" s="20"/>
      <c r="N42" s="21"/>
    </row>
    <row r="43" spans="1:14" ht="15.75" hidden="1" customHeight="1">
      <c r="A43" s="33">
        <v>12</v>
      </c>
      <c r="B43" s="149" t="s">
        <v>68</v>
      </c>
      <c r="C43" s="150" t="s">
        <v>33</v>
      </c>
      <c r="D43" s="149"/>
      <c r="E43" s="152"/>
      <c r="F43" s="151">
        <v>0.9</v>
      </c>
      <c r="G43" s="151">
        <v>800</v>
      </c>
      <c r="H43" s="83">
        <f t="shared" si="4"/>
        <v>0.72</v>
      </c>
      <c r="I43" s="13">
        <f>(F43/7.5*1.5)*G43</f>
        <v>144.00000000000003</v>
      </c>
      <c r="J43" s="23"/>
      <c r="L43" s="19"/>
      <c r="M43" s="20"/>
      <c r="N43" s="21"/>
    </row>
    <row r="44" spans="1:14" ht="15.75" hidden="1" customHeight="1">
      <c r="A44" s="238" t="s">
        <v>134</v>
      </c>
      <c r="B44" s="239"/>
      <c r="C44" s="239"/>
      <c r="D44" s="239"/>
      <c r="E44" s="239"/>
      <c r="F44" s="239"/>
      <c r="G44" s="239"/>
      <c r="H44" s="239"/>
      <c r="I44" s="240"/>
      <c r="J44" s="23"/>
      <c r="L44" s="19"/>
      <c r="M44" s="20"/>
      <c r="N44" s="21"/>
    </row>
    <row r="45" spans="1:14" ht="15.75" hidden="1" customHeight="1">
      <c r="A45" s="40">
        <v>15</v>
      </c>
      <c r="B45" s="79" t="s">
        <v>126</v>
      </c>
      <c r="C45" s="80" t="s">
        <v>100</v>
      </c>
      <c r="D45" s="79" t="s">
        <v>41</v>
      </c>
      <c r="E45" s="81">
        <v>1369</v>
      </c>
      <c r="F45" s="82">
        <f>SUM(E45*2/1000)</f>
        <v>2.738</v>
      </c>
      <c r="G45" s="13">
        <v>849.49</v>
      </c>
      <c r="H45" s="83">
        <f t="shared" ref="H45:H53" si="5">SUM(F45*G45/1000)</f>
        <v>2.3259036200000001</v>
      </c>
      <c r="I45" s="13">
        <v>0</v>
      </c>
      <c r="J45" s="23"/>
      <c r="L45" s="19"/>
      <c r="M45" s="20"/>
      <c r="N45" s="21"/>
    </row>
    <row r="46" spans="1:14" ht="15.75" hidden="1" customHeight="1">
      <c r="A46" s="40"/>
      <c r="B46" s="79" t="s">
        <v>34</v>
      </c>
      <c r="C46" s="80" t="s">
        <v>100</v>
      </c>
      <c r="D46" s="79" t="s">
        <v>41</v>
      </c>
      <c r="E46" s="81">
        <v>1418</v>
      </c>
      <c r="F46" s="82">
        <f>SUM(E46*2/1000)</f>
        <v>2.8359999999999999</v>
      </c>
      <c r="G46" s="13">
        <v>579.48</v>
      </c>
      <c r="H46" s="83">
        <f t="shared" si="5"/>
        <v>1.6434052799999999</v>
      </c>
      <c r="I46" s="13">
        <v>0</v>
      </c>
      <c r="J46" s="23"/>
      <c r="L46" s="19"/>
      <c r="M46" s="20"/>
      <c r="N46" s="21"/>
    </row>
    <row r="47" spans="1:14" ht="15.75" hidden="1" customHeight="1">
      <c r="A47" s="40">
        <v>16</v>
      </c>
      <c r="B47" s="79" t="s">
        <v>35</v>
      </c>
      <c r="C47" s="80" t="s">
        <v>100</v>
      </c>
      <c r="D47" s="79" t="s">
        <v>41</v>
      </c>
      <c r="E47" s="81">
        <v>4985.21</v>
      </c>
      <c r="F47" s="82">
        <f>SUM(E47*2/1000)</f>
        <v>9.9704200000000007</v>
      </c>
      <c r="G47" s="13">
        <v>579.48</v>
      </c>
      <c r="H47" s="83">
        <f t="shared" si="5"/>
        <v>5.7776589816000001</v>
      </c>
      <c r="I47" s="13">
        <v>0</v>
      </c>
      <c r="J47" s="23"/>
      <c r="L47" s="19"/>
      <c r="M47" s="20"/>
      <c r="N47" s="21"/>
    </row>
    <row r="48" spans="1:14" ht="15.75" hidden="1" customHeight="1">
      <c r="A48" s="40">
        <v>17</v>
      </c>
      <c r="B48" s="79" t="s">
        <v>36</v>
      </c>
      <c r="C48" s="80" t="s">
        <v>100</v>
      </c>
      <c r="D48" s="79" t="s">
        <v>41</v>
      </c>
      <c r="E48" s="81">
        <v>2474</v>
      </c>
      <c r="F48" s="82">
        <f>SUM(E48*2/1000)</f>
        <v>4.9480000000000004</v>
      </c>
      <c r="G48" s="13">
        <v>606.77</v>
      </c>
      <c r="H48" s="83">
        <f t="shared" si="5"/>
        <v>3.0022979600000004</v>
      </c>
      <c r="I48" s="13">
        <v>0</v>
      </c>
      <c r="J48" s="23"/>
      <c r="L48" s="19"/>
      <c r="M48" s="20"/>
      <c r="N48" s="21"/>
    </row>
    <row r="49" spans="1:14" ht="15.75" hidden="1" customHeight="1">
      <c r="A49" s="40">
        <v>13</v>
      </c>
      <c r="B49" s="79" t="s">
        <v>54</v>
      </c>
      <c r="C49" s="80" t="s">
        <v>100</v>
      </c>
      <c r="D49" s="79" t="s">
        <v>138</v>
      </c>
      <c r="E49" s="81">
        <v>1349.3</v>
      </c>
      <c r="F49" s="82">
        <f>SUM(E49*5/1000)</f>
        <v>6.7465000000000002</v>
      </c>
      <c r="G49" s="13">
        <v>1213.55</v>
      </c>
      <c r="H49" s="83">
        <f t="shared" si="5"/>
        <v>8.1872150749999992</v>
      </c>
      <c r="I49" s="13">
        <f>F49/5*G49</f>
        <v>1637.4430149999998</v>
      </c>
      <c r="J49" s="23"/>
      <c r="L49" s="19"/>
      <c r="M49" s="20"/>
      <c r="N49" s="21"/>
    </row>
    <row r="50" spans="1:14" ht="30.75" hidden="1" customHeight="1">
      <c r="A50" s="40">
        <v>13</v>
      </c>
      <c r="B50" s="79" t="s">
        <v>107</v>
      </c>
      <c r="C50" s="80" t="s">
        <v>100</v>
      </c>
      <c r="D50" s="79" t="s">
        <v>41</v>
      </c>
      <c r="E50" s="81">
        <v>1349.3</v>
      </c>
      <c r="F50" s="82">
        <f>SUM(E50*2/1000)</f>
        <v>2.6985999999999999</v>
      </c>
      <c r="G50" s="13">
        <v>1213.55</v>
      </c>
      <c r="H50" s="83">
        <f t="shared" si="5"/>
        <v>3.2748860299999998</v>
      </c>
      <c r="I50" s="13">
        <v>0</v>
      </c>
      <c r="J50" s="23"/>
      <c r="L50" s="19"/>
      <c r="M50" s="20"/>
      <c r="N50" s="21"/>
    </row>
    <row r="51" spans="1:14" ht="30.75" hidden="1" customHeight="1">
      <c r="A51" s="40">
        <v>14</v>
      </c>
      <c r="B51" s="79" t="s">
        <v>108</v>
      </c>
      <c r="C51" s="80" t="s">
        <v>37</v>
      </c>
      <c r="D51" s="79" t="s">
        <v>41</v>
      </c>
      <c r="E51" s="81">
        <v>40</v>
      </c>
      <c r="F51" s="82">
        <f>SUM(E51*2/100)</f>
        <v>0.8</v>
      </c>
      <c r="G51" s="13">
        <v>2730.49</v>
      </c>
      <c r="H51" s="83">
        <f t="shared" si="5"/>
        <v>2.1843919999999999</v>
      </c>
      <c r="I51" s="13">
        <v>0</v>
      </c>
      <c r="J51" s="23"/>
      <c r="L51" s="19"/>
      <c r="M51" s="20"/>
      <c r="N51" s="21"/>
    </row>
    <row r="52" spans="1:14" ht="15.75" hidden="1" customHeight="1">
      <c r="A52" s="40">
        <v>15</v>
      </c>
      <c r="B52" s="79" t="s">
        <v>38</v>
      </c>
      <c r="C52" s="80" t="s">
        <v>39</v>
      </c>
      <c r="D52" s="79" t="s">
        <v>41</v>
      </c>
      <c r="E52" s="81">
        <v>1</v>
      </c>
      <c r="F52" s="82">
        <v>0.02</v>
      </c>
      <c r="G52" s="13">
        <v>5652.13</v>
      </c>
      <c r="H52" s="83">
        <f t="shared" si="5"/>
        <v>0.11304260000000001</v>
      </c>
      <c r="I52" s="13">
        <v>0</v>
      </c>
      <c r="J52" s="23"/>
      <c r="L52" s="19"/>
      <c r="M52" s="20"/>
      <c r="N52" s="21"/>
    </row>
    <row r="53" spans="1:14" ht="15.75" hidden="1" customHeight="1">
      <c r="A53" s="124">
        <v>14</v>
      </c>
      <c r="B53" s="90" t="s">
        <v>40</v>
      </c>
      <c r="C53" s="91" t="s">
        <v>109</v>
      </c>
      <c r="D53" s="90" t="s">
        <v>69</v>
      </c>
      <c r="E53" s="92">
        <v>238</v>
      </c>
      <c r="F53" s="93">
        <f>SUM(E53)*3</f>
        <v>714</v>
      </c>
      <c r="G53" s="114">
        <v>65.67</v>
      </c>
      <c r="H53" s="95">
        <f t="shared" si="5"/>
        <v>46.888380000000005</v>
      </c>
      <c r="I53" s="114">
        <f>E53*G53</f>
        <v>15629.460000000001</v>
      </c>
      <c r="J53" s="23"/>
      <c r="L53" s="19"/>
      <c r="M53" s="20"/>
      <c r="N53" s="21"/>
    </row>
    <row r="54" spans="1:14" ht="31.5" customHeight="1">
      <c r="A54" s="40">
        <v>10</v>
      </c>
      <c r="B54" s="149" t="s">
        <v>166</v>
      </c>
      <c r="C54" s="150" t="s">
        <v>100</v>
      </c>
      <c r="D54" s="149" t="s">
        <v>186</v>
      </c>
      <c r="E54" s="152">
        <v>0.6</v>
      </c>
      <c r="F54" s="151">
        <v>0.01</v>
      </c>
      <c r="G54" s="151">
        <v>18798.34</v>
      </c>
      <c r="H54" s="83">
        <f t="shared" ref="H54" si="6">SUM(F54*G54/1000)</f>
        <v>0.18798340000000002</v>
      </c>
      <c r="I54" s="13">
        <f>G54*F54/6</f>
        <v>31.33056666666667</v>
      </c>
      <c r="J54" s="23"/>
      <c r="L54" s="19"/>
      <c r="M54" s="20"/>
      <c r="N54" s="21"/>
    </row>
    <row r="55" spans="1:14" ht="15.75" customHeight="1">
      <c r="A55" s="238" t="s">
        <v>146</v>
      </c>
      <c r="B55" s="239"/>
      <c r="C55" s="239"/>
      <c r="D55" s="239"/>
      <c r="E55" s="239"/>
      <c r="F55" s="239"/>
      <c r="G55" s="239"/>
      <c r="H55" s="239"/>
      <c r="I55" s="240"/>
      <c r="J55" s="23"/>
      <c r="L55" s="19"/>
      <c r="M55" s="20"/>
      <c r="N55" s="21"/>
    </row>
    <row r="56" spans="1:14" ht="15.75" customHeight="1">
      <c r="A56" s="165"/>
      <c r="B56" s="47" t="s">
        <v>42</v>
      </c>
      <c r="C56" s="16"/>
      <c r="D56" s="15"/>
      <c r="E56" s="15"/>
      <c r="F56" s="15"/>
      <c r="G56" s="29"/>
      <c r="H56" s="29"/>
      <c r="I56" s="18"/>
      <c r="J56" s="23"/>
      <c r="L56" s="19"/>
      <c r="M56" s="20"/>
      <c r="N56" s="21"/>
    </row>
    <row r="57" spans="1:14" ht="31.5" customHeight="1">
      <c r="A57" s="40">
        <v>11</v>
      </c>
      <c r="B57" s="32" t="s">
        <v>110</v>
      </c>
      <c r="C57" s="133" t="s">
        <v>87</v>
      </c>
      <c r="D57" s="32"/>
      <c r="E57" s="146">
        <v>128.5</v>
      </c>
      <c r="F57" s="134">
        <f>SUM(E57*6/100)</f>
        <v>7.71</v>
      </c>
      <c r="G57" s="36">
        <v>2110.4699999999998</v>
      </c>
      <c r="H57" s="83">
        <f>SUM(F57*G57/1000)</f>
        <v>16.271723699999999</v>
      </c>
      <c r="I57" s="13">
        <f>G57*2.76</f>
        <v>5824.8971999999994</v>
      </c>
      <c r="J57" s="23"/>
      <c r="L57" s="19"/>
      <c r="M57" s="20"/>
      <c r="N57" s="21"/>
    </row>
    <row r="58" spans="1:14" ht="15.75" hidden="1" customHeight="1">
      <c r="A58" s="40">
        <v>15</v>
      </c>
      <c r="B58" s="32" t="s">
        <v>167</v>
      </c>
      <c r="C58" s="133" t="s">
        <v>87</v>
      </c>
      <c r="D58" s="32"/>
      <c r="E58" s="147">
        <v>69.5</v>
      </c>
      <c r="F58" s="148">
        <f>E58*6/100</f>
        <v>4.17</v>
      </c>
      <c r="G58" s="134">
        <v>2110.4699999999998</v>
      </c>
      <c r="H58" s="83">
        <f>F58*G58/1000</f>
        <v>8.8006598999999994</v>
      </c>
      <c r="I58" s="13">
        <f>F58/6*G58</f>
        <v>1466.7766499999998</v>
      </c>
      <c r="J58" s="23"/>
      <c r="L58" s="19"/>
      <c r="M58" s="20"/>
      <c r="N58" s="21"/>
    </row>
    <row r="59" spans="1:14" ht="15.75" customHeight="1">
      <c r="A59" s="40"/>
      <c r="B59" s="164" t="s">
        <v>43</v>
      </c>
      <c r="C59" s="164"/>
      <c r="D59" s="164"/>
      <c r="E59" s="164"/>
      <c r="F59" s="164"/>
      <c r="G59" s="164"/>
      <c r="H59" s="164"/>
      <c r="I59" s="35"/>
      <c r="J59" s="23"/>
      <c r="L59" s="19"/>
      <c r="M59" s="20"/>
      <c r="N59" s="21"/>
    </row>
    <row r="60" spans="1:14" ht="15.75" customHeight="1">
      <c r="A60" s="40">
        <v>12</v>
      </c>
      <c r="B60" s="79" t="s">
        <v>139</v>
      </c>
      <c r="C60" s="80"/>
      <c r="D60" s="79" t="s">
        <v>250</v>
      </c>
      <c r="E60" s="81">
        <v>1349.3</v>
      </c>
      <c r="F60" s="83">
        <v>200</v>
      </c>
      <c r="G60" s="121">
        <v>1082.47</v>
      </c>
      <c r="H60" s="89">
        <f>F60*G60/1000</f>
        <v>216.494</v>
      </c>
      <c r="I60" s="13">
        <f>G60*F60/100</f>
        <v>2164.94</v>
      </c>
      <c r="J60" s="23"/>
      <c r="L60" s="19"/>
      <c r="M60" s="20"/>
      <c r="N60" s="21"/>
    </row>
    <row r="61" spans="1:14" ht="15.75" customHeight="1">
      <c r="A61" s="40">
        <v>13</v>
      </c>
      <c r="B61" s="90" t="s">
        <v>86</v>
      </c>
      <c r="C61" s="91" t="s">
        <v>26</v>
      </c>
      <c r="D61" s="108"/>
      <c r="E61" s="110">
        <v>200</v>
      </c>
      <c r="F61" s="111">
        <f>E61*12</f>
        <v>2400</v>
      </c>
      <c r="G61" s="112">
        <v>1.4</v>
      </c>
      <c r="H61" s="95">
        <f>F61*G61</f>
        <v>3360</v>
      </c>
      <c r="I61" s="13">
        <f>F61/12*G61</f>
        <v>280</v>
      </c>
      <c r="J61" s="23"/>
      <c r="L61" s="19"/>
      <c r="M61" s="20"/>
      <c r="N61" s="21"/>
    </row>
    <row r="62" spans="1:14" ht="15.75" customHeight="1">
      <c r="A62" s="40"/>
      <c r="B62" s="164" t="s">
        <v>44</v>
      </c>
      <c r="C62" s="16"/>
      <c r="D62" s="37"/>
      <c r="E62" s="15"/>
      <c r="F62" s="15"/>
      <c r="G62" s="29"/>
      <c r="H62" s="29"/>
      <c r="I62" s="18"/>
      <c r="J62" s="23"/>
      <c r="L62" s="19"/>
    </row>
    <row r="63" spans="1:14" ht="15.75" customHeight="1">
      <c r="A63" s="40">
        <v>14</v>
      </c>
      <c r="B63" s="96" t="s">
        <v>45</v>
      </c>
      <c r="C63" s="16" t="s">
        <v>109</v>
      </c>
      <c r="D63" s="96" t="s">
        <v>183</v>
      </c>
      <c r="E63" s="18">
        <v>40</v>
      </c>
      <c r="F63" s="82">
        <v>40</v>
      </c>
      <c r="G63" s="121">
        <v>303.35000000000002</v>
      </c>
      <c r="H63" s="97">
        <f t="shared" ref="H63:H69" si="7">SUM(F63*G63/1000)</f>
        <v>12.134</v>
      </c>
      <c r="I63" s="13">
        <f>G63*5</f>
        <v>1516.75</v>
      </c>
    </row>
    <row r="64" spans="1:14" ht="15.75" hidden="1" customHeight="1">
      <c r="A64" s="29">
        <v>29</v>
      </c>
      <c r="B64" s="96" t="s">
        <v>46</v>
      </c>
      <c r="C64" s="16" t="s">
        <v>109</v>
      </c>
      <c r="D64" s="96" t="s">
        <v>65</v>
      </c>
      <c r="E64" s="18">
        <v>20</v>
      </c>
      <c r="F64" s="82">
        <v>20</v>
      </c>
      <c r="G64" s="13">
        <v>76.25</v>
      </c>
      <c r="H64" s="97">
        <f t="shared" si="7"/>
        <v>1.5249999999999999</v>
      </c>
      <c r="I64" s="13">
        <v>0</v>
      </c>
    </row>
    <row r="65" spans="1:22" ht="15.75" hidden="1" customHeight="1">
      <c r="A65" s="29">
        <v>8</v>
      </c>
      <c r="B65" s="96" t="s">
        <v>47</v>
      </c>
      <c r="C65" s="16" t="s">
        <v>112</v>
      </c>
      <c r="D65" s="96" t="s">
        <v>52</v>
      </c>
      <c r="E65" s="81">
        <v>18890</v>
      </c>
      <c r="F65" s="13">
        <f>SUM(E65/100)</f>
        <v>188.9</v>
      </c>
      <c r="G65" s="13">
        <v>212.15</v>
      </c>
      <c r="H65" s="97">
        <f t="shared" si="7"/>
        <v>40.075135000000003</v>
      </c>
      <c r="I65" s="13">
        <v>0</v>
      </c>
    </row>
    <row r="66" spans="1:22" ht="15.75" hidden="1" customHeight="1">
      <c r="A66" s="29">
        <v>9</v>
      </c>
      <c r="B66" s="96" t="s">
        <v>48</v>
      </c>
      <c r="C66" s="16" t="s">
        <v>113</v>
      </c>
      <c r="D66" s="96"/>
      <c r="E66" s="81">
        <v>18890</v>
      </c>
      <c r="F66" s="13">
        <f>SUM(E66/1000)</f>
        <v>18.89</v>
      </c>
      <c r="G66" s="13">
        <v>165.21</v>
      </c>
      <c r="H66" s="97">
        <f t="shared" si="7"/>
        <v>3.1208169000000003</v>
      </c>
      <c r="I66" s="13">
        <v>0</v>
      </c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9"/>
    </row>
    <row r="67" spans="1:22" ht="15.75" hidden="1" customHeight="1">
      <c r="A67" s="29">
        <v>10</v>
      </c>
      <c r="B67" s="96" t="s">
        <v>49</v>
      </c>
      <c r="C67" s="16" t="s">
        <v>75</v>
      </c>
      <c r="D67" s="96" t="s">
        <v>52</v>
      </c>
      <c r="E67" s="81">
        <v>3004</v>
      </c>
      <c r="F67" s="13">
        <f>SUM(E67/100)</f>
        <v>30.04</v>
      </c>
      <c r="G67" s="13">
        <v>2074.63</v>
      </c>
      <c r="H67" s="97">
        <f t="shared" si="7"/>
        <v>62.321885200000004</v>
      </c>
      <c r="I67" s="13">
        <v>0</v>
      </c>
      <c r="J67" s="25"/>
      <c r="K67" s="25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2" ht="15.75" hidden="1" customHeight="1">
      <c r="A68" s="29">
        <v>11</v>
      </c>
      <c r="B68" s="98" t="s">
        <v>114</v>
      </c>
      <c r="C68" s="16" t="s">
        <v>33</v>
      </c>
      <c r="D68" s="96"/>
      <c r="E68" s="81">
        <v>15.8</v>
      </c>
      <c r="F68" s="13">
        <f>SUM(E68)</f>
        <v>15.8</v>
      </c>
      <c r="G68" s="13">
        <v>42.67</v>
      </c>
      <c r="H68" s="97">
        <f t="shared" si="7"/>
        <v>0.67418600000000006</v>
      </c>
      <c r="I68" s="13">
        <v>0</v>
      </c>
      <c r="J68" s="3"/>
      <c r="K68" s="3"/>
      <c r="L68" s="3"/>
      <c r="M68" s="3"/>
      <c r="N68" s="3"/>
      <c r="O68" s="3"/>
      <c r="P68" s="3"/>
      <c r="Q68" s="3"/>
      <c r="S68" s="3"/>
      <c r="T68" s="3"/>
      <c r="U68" s="3"/>
    </row>
    <row r="69" spans="1:22" ht="15.75" hidden="1" customHeight="1">
      <c r="A69" s="29">
        <v>12</v>
      </c>
      <c r="B69" s="98" t="s">
        <v>115</v>
      </c>
      <c r="C69" s="16" t="s">
        <v>33</v>
      </c>
      <c r="D69" s="96"/>
      <c r="E69" s="81">
        <v>15.8</v>
      </c>
      <c r="F69" s="13">
        <f>SUM(E69)</f>
        <v>15.8</v>
      </c>
      <c r="G69" s="13">
        <v>39.81</v>
      </c>
      <c r="H69" s="97">
        <f t="shared" si="7"/>
        <v>0.62899800000000006</v>
      </c>
      <c r="I69" s="13">
        <v>0</v>
      </c>
      <c r="J69" s="5"/>
      <c r="K69" s="5"/>
      <c r="L69" s="5"/>
      <c r="M69" s="5"/>
      <c r="N69" s="5"/>
      <c r="O69" s="5"/>
      <c r="P69" s="5"/>
      <c r="Q69" s="5"/>
      <c r="R69" s="213"/>
      <c r="S69" s="213"/>
      <c r="T69" s="213"/>
      <c r="U69" s="213"/>
    </row>
    <row r="70" spans="1:22" ht="18" customHeight="1">
      <c r="A70" s="29"/>
      <c r="B70" s="156" t="s">
        <v>168</v>
      </c>
      <c r="C70" s="38"/>
      <c r="D70" s="37"/>
      <c r="E70" s="17"/>
      <c r="F70" s="112"/>
      <c r="G70" s="36"/>
      <c r="H70" s="97"/>
      <c r="I70" s="13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2" ht="34.5" customHeight="1">
      <c r="A71" s="29">
        <v>15</v>
      </c>
      <c r="B71" s="37" t="s">
        <v>169</v>
      </c>
      <c r="C71" s="40" t="s">
        <v>170</v>
      </c>
      <c r="D71" s="37"/>
      <c r="E71" s="17">
        <v>5162.6000000000004</v>
      </c>
      <c r="F71" s="36">
        <f>E71*12</f>
        <v>61951.200000000004</v>
      </c>
      <c r="G71" s="36">
        <v>2.37</v>
      </c>
      <c r="H71" s="97"/>
      <c r="I71" s="13">
        <f>G71*F71/12</f>
        <v>12235.362000000001</v>
      </c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2" ht="14.25" hidden="1" customHeight="1">
      <c r="A72" s="165"/>
      <c r="B72" s="164" t="s">
        <v>116</v>
      </c>
      <c r="C72" s="164"/>
      <c r="D72" s="164"/>
      <c r="E72" s="164"/>
      <c r="F72" s="164"/>
      <c r="G72" s="164"/>
      <c r="H72" s="164"/>
      <c r="I72" s="18"/>
    </row>
    <row r="73" spans="1:22" ht="17.25" hidden="1" customHeight="1">
      <c r="A73" s="29">
        <v>19</v>
      </c>
      <c r="B73" s="79" t="s">
        <v>117</v>
      </c>
      <c r="C73" s="16"/>
      <c r="D73" s="96"/>
      <c r="E73" s="74"/>
      <c r="F73" s="13">
        <v>1</v>
      </c>
      <c r="G73" s="13">
        <v>27865.200000000001</v>
      </c>
      <c r="H73" s="97">
        <f>G73*F73/1000</f>
        <v>27.865200000000002</v>
      </c>
      <c r="I73" s="13">
        <v>0</v>
      </c>
    </row>
    <row r="74" spans="1:22" ht="15.75" customHeight="1">
      <c r="A74" s="29"/>
      <c r="B74" s="48" t="s">
        <v>70</v>
      </c>
      <c r="C74" s="48"/>
      <c r="D74" s="48"/>
      <c r="E74" s="18"/>
      <c r="F74" s="18"/>
      <c r="G74" s="29"/>
      <c r="H74" s="29"/>
      <c r="I74" s="18"/>
    </row>
    <row r="75" spans="1:22" ht="18.75" hidden="1" customHeight="1">
      <c r="A75" s="29">
        <v>18</v>
      </c>
      <c r="B75" s="37" t="s">
        <v>71</v>
      </c>
      <c r="C75" s="38" t="s">
        <v>174</v>
      </c>
      <c r="D75" s="37"/>
      <c r="E75" s="17">
        <v>8</v>
      </c>
      <c r="F75" s="36">
        <f>E75/10</f>
        <v>0.8</v>
      </c>
      <c r="G75" s="36">
        <v>684.19</v>
      </c>
      <c r="H75" s="97">
        <f t="shared" ref="H75" si="8">SUM(F75*G75/1000)</f>
        <v>0.54735200000000006</v>
      </c>
      <c r="I75" s="13">
        <f>G75*0.4</f>
        <v>273.67600000000004</v>
      </c>
    </row>
    <row r="76" spans="1:22" ht="15.75" hidden="1" customHeight="1">
      <c r="A76" s="29"/>
      <c r="B76" s="96" t="s">
        <v>130</v>
      </c>
      <c r="C76" s="16" t="s">
        <v>31</v>
      </c>
      <c r="D76" s="96"/>
      <c r="E76" s="18">
        <v>1</v>
      </c>
      <c r="F76" s="13">
        <v>1</v>
      </c>
      <c r="G76" s="13">
        <v>99.85</v>
      </c>
      <c r="H76" s="97">
        <f>F76*G76/1000</f>
        <v>9.9849999999999994E-2</v>
      </c>
      <c r="I76" s="13">
        <v>0</v>
      </c>
    </row>
    <row r="77" spans="1:22" ht="15.75" hidden="1" customHeight="1">
      <c r="A77" s="29"/>
      <c r="B77" s="96" t="s">
        <v>131</v>
      </c>
      <c r="C77" s="16" t="s">
        <v>31</v>
      </c>
      <c r="D77" s="96"/>
      <c r="E77" s="18">
        <v>1</v>
      </c>
      <c r="F77" s="13">
        <v>1</v>
      </c>
      <c r="G77" s="13">
        <v>120.26</v>
      </c>
      <c r="H77" s="97">
        <f>F77*G77/1000</f>
        <v>0.12026000000000001</v>
      </c>
      <c r="I77" s="13">
        <v>0</v>
      </c>
    </row>
    <row r="78" spans="1:22" ht="33" customHeight="1">
      <c r="A78" s="29">
        <v>16</v>
      </c>
      <c r="B78" s="37" t="s">
        <v>171</v>
      </c>
      <c r="C78" s="38" t="s">
        <v>109</v>
      </c>
      <c r="D78" s="37" t="s">
        <v>181</v>
      </c>
      <c r="E78" s="17">
        <v>1</v>
      </c>
      <c r="F78" s="36">
        <f>E78*12</f>
        <v>12</v>
      </c>
      <c r="G78" s="36">
        <v>55.55</v>
      </c>
      <c r="H78" s="97"/>
      <c r="I78" s="13">
        <f>G78*1</f>
        <v>55.55</v>
      </c>
    </row>
    <row r="79" spans="1:22" ht="16.5" customHeight="1">
      <c r="A79" s="29"/>
      <c r="B79" s="49" t="s">
        <v>74</v>
      </c>
      <c r="C79" s="38"/>
      <c r="D79" s="29"/>
      <c r="E79" s="18"/>
      <c r="F79" s="18"/>
      <c r="G79" s="36"/>
      <c r="H79" s="36"/>
      <c r="I79" s="18"/>
    </row>
    <row r="80" spans="1:22" ht="17.25" hidden="1" customHeight="1">
      <c r="A80" s="29">
        <v>39</v>
      </c>
      <c r="B80" s="51" t="s">
        <v>118</v>
      </c>
      <c r="C80" s="16" t="s">
        <v>75</v>
      </c>
      <c r="D80" s="96"/>
      <c r="E80" s="18"/>
      <c r="F80" s="13">
        <v>1.35</v>
      </c>
      <c r="G80" s="13">
        <v>2759.44</v>
      </c>
      <c r="H80" s="97">
        <f t="shared" ref="H80" si="9">SUM(F80*G80/1000)</f>
        <v>3.725244</v>
      </c>
      <c r="I80" s="13">
        <v>0</v>
      </c>
    </row>
    <row r="81" spans="1:9" ht="15.75" customHeight="1">
      <c r="A81" s="222" t="s">
        <v>147</v>
      </c>
      <c r="B81" s="223"/>
      <c r="C81" s="223"/>
      <c r="D81" s="223"/>
      <c r="E81" s="223"/>
      <c r="F81" s="223"/>
      <c r="G81" s="223"/>
      <c r="H81" s="223"/>
      <c r="I81" s="224"/>
    </row>
    <row r="82" spans="1:9" ht="15.75" customHeight="1">
      <c r="A82" s="29">
        <v>17</v>
      </c>
      <c r="B82" s="32" t="s">
        <v>119</v>
      </c>
      <c r="C82" s="38" t="s">
        <v>53</v>
      </c>
      <c r="D82" s="62"/>
      <c r="E82" s="36">
        <v>5162.6000000000004</v>
      </c>
      <c r="F82" s="36">
        <f>SUM(E82*12)</f>
        <v>61951.200000000004</v>
      </c>
      <c r="G82" s="36">
        <v>3.22</v>
      </c>
      <c r="H82" s="99">
        <f>SUM(F82*G82/1000)</f>
        <v>199.48286400000003</v>
      </c>
      <c r="I82" s="13">
        <f>F82/12*G82</f>
        <v>16623.572000000004</v>
      </c>
    </row>
    <row r="83" spans="1:9" ht="31.5" customHeight="1">
      <c r="A83" s="29">
        <v>18</v>
      </c>
      <c r="B83" s="37" t="s">
        <v>172</v>
      </c>
      <c r="C83" s="109" t="s">
        <v>173</v>
      </c>
      <c r="D83" s="37"/>
      <c r="E83" s="17">
        <v>5162.6000000000004</v>
      </c>
      <c r="F83" s="36">
        <f>E83*12</f>
        <v>61951.200000000004</v>
      </c>
      <c r="G83" s="36">
        <v>3.64</v>
      </c>
      <c r="H83" s="97">
        <f>F83*G83/1000</f>
        <v>225.50236800000002</v>
      </c>
      <c r="I83" s="13">
        <f>F83/12*G83</f>
        <v>18791.864000000001</v>
      </c>
    </row>
    <row r="84" spans="1:9" ht="15.75" customHeight="1">
      <c r="A84" s="165"/>
      <c r="B84" s="39" t="s">
        <v>77</v>
      </c>
      <c r="C84" s="40"/>
      <c r="D84" s="15"/>
      <c r="E84" s="15"/>
      <c r="F84" s="15"/>
      <c r="G84" s="18"/>
      <c r="H84" s="18"/>
      <c r="I84" s="31">
        <f>I83+I82+I78+I71+I61+I60+I57+I54+I41+I39+I38+I37+I21+I20+I18+I17+I16+I63</f>
        <v>98018.295993333333</v>
      </c>
    </row>
    <row r="85" spans="1:9" ht="15.75" customHeight="1">
      <c r="A85" s="225" t="s">
        <v>58</v>
      </c>
      <c r="B85" s="226"/>
      <c r="C85" s="226"/>
      <c r="D85" s="226"/>
      <c r="E85" s="226"/>
      <c r="F85" s="226"/>
      <c r="G85" s="226"/>
      <c r="H85" s="226"/>
      <c r="I85" s="227"/>
    </row>
    <row r="86" spans="1:9" ht="17.25" customHeight="1">
      <c r="A86" s="174">
        <v>19</v>
      </c>
      <c r="B86" s="63" t="s">
        <v>198</v>
      </c>
      <c r="C86" s="64" t="s">
        <v>39</v>
      </c>
      <c r="D86" s="33" t="s">
        <v>187</v>
      </c>
      <c r="E86" s="34"/>
      <c r="F86" s="33">
        <v>0.02</v>
      </c>
      <c r="G86" s="33">
        <v>28224.75</v>
      </c>
      <c r="H86" s="194"/>
      <c r="I86" s="175">
        <v>0</v>
      </c>
    </row>
    <row r="87" spans="1:9" ht="15.75" customHeight="1">
      <c r="A87" s="174">
        <v>20</v>
      </c>
      <c r="B87" s="63" t="s">
        <v>268</v>
      </c>
      <c r="C87" s="64" t="s">
        <v>51</v>
      </c>
      <c r="D87" s="33"/>
      <c r="E87" s="34"/>
      <c r="F87" s="192">
        <v>0.06</v>
      </c>
      <c r="G87" s="192">
        <v>2399.1</v>
      </c>
      <c r="H87" s="194"/>
      <c r="I87" s="175">
        <f>G87*0.06</f>
        <v>143.946</v>
      </c>
    </row>
    <row r="88" spans="1:9" ht="35.25" customHeight="1">
      <c r="A88" s="174">
        <v>21</v>
      </c>
      <c r="B88" s="63" t="s">
        <v>257</v>
      </c>
      <c r="C88" s="64" t="s">
        <v>109</v>
      </c>
      <c r="D88" s="33" t="s">
        <v>260</v>
      </c>
      <c r="E88" s="34"/>
      <c r="F88" s="192">
        <v>1</v>
      </c>
      <c r="G88" s="192">
        <v>1226.45</v>
      </c>
      <c r="H88" s="194"/>
      <c r="I88" s="175">
        <f>G88*1</f>
        <v>1226.45</v>
      </c>
    </row>
    <row r="89" spans="1:9" ht="30" customHeight="1">
      <c r="A89" s="174">
        <v>22</v>
      </c>
      <c r="B89" s="63" t="s">
        <v>251</v>
      </c>
      <c r="C89" s="64" t="s">
        <v>109</v>
      </c>
      <c r="D89" s="33" t="s">
        <v>260</v>
      </c>
      <c r="E89" s="34"/>
      <c r="F89" s="192">
        <v>2</v>
      </c>
      <c r="G89" s="192">
        <v>983.17</v>
      </c>
      <c r="H89" s="194"/>
      <c r="I89" s="175">
        <f>G89*2</f>
        <v>1966.34</v>
      </c>
    </row>
    <row r="90" spans="1:9" ht="15.75" customHeight="1">
      <c r="A90" s="174">
        <v>23</v>
      </c>
      <c r="B90" s="63" t="s">
        <v>252</v>
      </c>
      <c r="C90" s="64" t="s">
        <v>109</v>
      </c>
      <c r="D90" s="33"/>
      <c r="E90" s="34"/>
      <c r="F90" s="192">
        <v>1</v>
      </c>
      <c r="G90" s="192">
        <v>235.04</v>
      </c>
      <c r="H90" s="194"/>
      <c r="I90" s="175">
        <f>G90*1</f>
        <v>235.04</v>
      </c>
    </row>
    <row r="91" spans="1:9" ht="15.75" customHeight="1">
      <c r="A91" s="174">
        <v>24</v>
      </c>
      <c r="B91" s="63" t="s">
        <v>253</v>
      </c>
      <c r="C91" s="64" t="s">
        <v>109</v>
      </c>
      <c r="D91" s="33"/>
      <c r="E91" s="34"/>
      <c r="F91" s="192">
        <v>1</v>
      </c>
      <c r="G91" s="192">
        <v>67</v>
      </c>
      <c r="H91" s="194"/>
      <c r="I91" s="175">
        <f>G91*1</f>
        <v>67</v>
      </c>
    </row>
    <row r="92" spans="1:9" ht="15.75" customHeight="1">
      <c r="A92" s="174">
        <v>25</v>
      </c>
      <c r="B92" s="63" t="s">
        <v>254</v>
      </c>
      <c r="C92" s="64" t="s">
        <v>109</v>
      </c>
      <c r="D92" s="33"/>
      <c r="E92" s="34"/>
      <c r="F92" s="192">
        <v>1</v>
      </c>
      <c r="G92" s="192">
        <v>91.58</v>
      </c>
      <c r="H92" s="194"/>
      <c r="I92" s="175">
        <f>G92*1</f>
        <v>91.58</v>
      </c>
    </row>
    <row r="93" spans="1:9" ht="15.75" customHeight="1">
      <c r="A93" s="174">
        <v>26</v>
      </c>
      <c r="B93" s="63" t="s">
        <v>255</v>
      </c>
      <c r="C93" s="64" t="s">
        <v>109</v>
      </c>
      <c r="D93" s="33"/>
      <c r="E93" s="34"/>
      <c r="F93" s="192">
        <v>1</v>
      </c>
      <c r="G93" s="192">
        <v>228.9</v>
      </c>
      <c r="H93" s="194"/>
      <c r="I93" s="175">
        <f>G93*1</f>
        <v>228.9</v>
      </c>
    </row>
    <row r="94" spans="1:9" ht="15.75" customHeight="1">
      <c r="A94" s="174">
        <v>27</v>
      </c>
      <c r="B94" s="63" t="s">
        <v>256</v>
      </c>
      <c r="C94" s="64" t="s">
        <v>109</v>
      </c>
      <c r="D94" s="33" t="s">
        <v>197</v>
      </c>
      <c r="E94" s="34"/>
      <c r="F94" s="192">
        <v>1</v>
      </c>
      <c r="G94" s="192">
        <v>228.9</v>
      </c>
      <c r="H94" s="194"/>
      <c r="I94" s="175">
        <f>G94*1</f>
        <v>228.9</v>
      </c>
    </row>
    <row r="95" spans="1:9" ht="31.5" customHeight="1">
      <c r="A95" s="174">
        <v>28</v>
      </c>
      <c r="B95" s="63" t="s">
        <v>202</v>
      </c>
      <c r="C95" s="64" t="s">
        <v>37</v>
      </c>
      <c r="D95" s="33" t="s">
        <v>180</v>
      </c>
      <c r="E95" s="34"/>
      <c r="F95" s="192">
        <v>0.04</v>
      </c>
      <c r="G95" s="192">
        <v>4233.72</v>
      </c>
      <c r="H95" s="194"/>
      <c r="I95" s="175">
        <v>0</v>
      </c>
    </row>
    <row r="96" spans="1:9" ht="15.75" customHeight="1">
      <c r="A96" s="29"/>
      <c r="B96" s="45" t="s">
        <v>50</v>
      </c>
      <c r="C96" s="41"/>
      <c r="D96" s="53"/>
      <c r="E96" s="41">
        <v>1</v>
      </c>
      <c r="F96" s="41"/>
      <c r="G96" s="41"/>
      <c r="H96" s="41"/>
      <c r="I96" s="31">
        <f>SUM(I86:I95)</f>
        <v>4188.1559999999999</v>
      </c>
    </row>
    <row r="97" spans="1:9" ht="15.75" customHeight="1">
      <c r="A97" s="29"/>
      <c r="B97" s="51" t="s">
        <v>76</v>
      </c>
      <c r="C97" s="15"/>
      <c r="D97" s="15"/>
      <c r="E97" s="42"/>
      <c r="F97" s="42"/>
      <c r="G97" s="43"/>
      <c r="H97" s="43"/>
      <c r="I97" s="17">
        <v>0</v>
      </c>
    </row>
    <row r="98" spans="1:9" ht="15.75" customHeight="1">
      <c r="A98" s="54"/>
      <c r="B98" s="46" t="s">
        <v>141</v>
      </c>
      <c r="C98" s="34"/>
      <c r="D98" s="34"/>
      <c r="E98" s="34"/>
      <c r="F98" s="34"/>
      <c r="G98" s="34"/>
      <c r="H98" s="34"/>
      <c r="I98" s="44">
        <f>I84+I96</f>
        <v>102206.45199333334</v>
      </c>
    </row>
    <row r="99" spans="1:9" ht="15.75">
      <c r="A99" s="219" t="s">
        <v>258</v>
      </c>
      <c r="B99" s="219"/>
      <c r="C99" s="219"/>
      <c r="D99" s="219"/>
      <c r="E99" s="219"/>
      <c r="F99" s="219"/>
      <c r="G99" s="219"/>
      <c r="H99" s="219"/>
      <c r="I99" s="219"/>
    </row>
    <row r="100" spans="1:9" ht="15.75">
      <c r="A100" s="60"/>
      <c r="B100" s="220" t="s">
        <v>259</v>
      </c>
      <c r="C100" s="220"/>
      <c r="D100" s="220"/>
      <c r="E100" s="220"/>
      <c r="F100" s="220"/>
      <c r="G100" s="220"/>
      <c r="H100" s="77"/>
      <c r="I100" s="3"/>
    </row>
    <row r="101" spans="1:9">
      <c r="A101" s="71"/>
      <c r="B101" s="218" t="s">
        <v>6</v>
      </c>
      <c r="C101" s="218"/>
      <c r="D101" s="218"/>
      <c r="E101" s="218"/>
      <c r="F101" s="218"/>
      <c r="G101" s="218"/>
      <c r="H101" s="24"/>
      <c r="I101" s="5"/>
    </row>
    <row r="102" spans="1:9">
      <c r="A102" s="10"/>
      <c r="B102" s="10"/>
      <c r="C102" s="10"/>
      <c r="D102" s="10"/>
      <c r="E102" s="10"/>
      <c r="F102" s="10"/>
      <c r="G102" s="10"/>
      <c r="H102" s="10"/>
      <c r="I102" s="10"/>
    </row>
    <row r="103" spans="1:9" ht="15.75">
      <c r="A103" s="221" t="s">
        <v>7</v>
      </c>
      <c r="B103" s="221"/>
      <c r="C103" s="221"/>
      <c r="D103" s="221"/>
      <c r="E103" s="221"/>
      <c r="F103" s="221"/>
      <c r="G103" s="221"/>
      <c r="H103" s="221"/>
      <c r="I103" s="221"/>
    </row>
    <row r="104" spans="1:9" ht="15.75">
      <c r="A104" s="221" t="s">
        <v>8</v>
      </c>
      <c r="B104" s="221"/>
      <c r="C104" s="221"/>
      <c r="D104" s="221"/>
      <c r="E104" s="221"/>
      <c r="F104" s="221"/>
      <c r="G104" s="221"/>
      <c r="H104" s="221"/>
      <c r="I104" s="221"/>
    </row>
    <row r="105" spans="1:9" ht="15.75">
      <c r="A105" s="215" t="s">
        <v>59</v>
      </c>
      <c r="B105" s="215"/>
      <c r="C105" s="215"/>
      <c r="D105" s="215"/>
      <c r="E105" s="215"/>
      <c r="F105" s="215"/>
      <c r="G105" s="215"/>
      <c r="H105" s="215"/>
      <c r="I105" s="215"/>
    </row>
    <row r="106" spans="1:9" ht="15.75">
      <c r="A106" s="11"/>
    </row>
    <row r="107" spans="1:9" ht="15.75">
      <c r="A107" s="216" t="s">
        <v>9</v>
      </c>
      <c r="B107" s="216"/>
      <c r="C107" s="216"/>
      <c r="D107" s="216"/>
      <c r="E107" s="216"/>
      <c r="F107" s="216"/>
      <c r="G107" s="216"/>
      <c r="H107" s="216"/>
      <c r="I107" s="216"/>
    </row>
    <row r="108" spans="1:9" ht="15.75">
      <c r="A108" s="4"/>
    </row>
    <row r="109" spans="1:9" ht="15.75">
      <c r="B109" s="69" t="s">
        <v>10</v>
      </c>
      <c r="C109" s="217" t="s">
        <v>219</v>
      </c>
      <c r="D109" s="217"/>
      <c r="E109" s="217"/>
      <c r="F109" s="75"/>
      <c r="I109" s="70"/>
    </row>
    <row r="110" spans="1:9">
      <c r="A110" s="71"/>
      <c r="C110" s="218" t="s">
        <v>11</v>
      </c>
      <c r="D110" s="218"/>
      <c r="E110" s="218"/>
      <c r="F110" s="24"/>
      <c r="I110" s="68" t="s">
        <v>12</v>
      </c>
    </row>
    <row r="111" spans="1:9" ht="15.75">
      <c r="A111" s="25"/>
      <c r="C111" s="12"/>
      <c r="D111" s="12"/>
      <c r="G111" s="12"/>
      <c r="H111" s="12"/>
    </row>
    <row r="112" spans="1:9" ht="15.75">
      <c r="B112" s="69" t="s">
        <v>13</v>
      </c>
      <c r="C112" s="212"/>
      <c r="D112" s="212"/>
      <c r="E112" s="212"/>
      <c r="F112" s="76"/>
      <c r="I112" s="70"/>
    </row>
    <row r="113" spans="1:9">
      <c r="A113" s="71"/>
      <c r="C113" s="213" t="s">
        <v>11</v>
      </c>
      <c r="D113" s="213"/>
      <c r="E113" s="213"/>
      <c r="F113" s="71"/>
      <c r="I113" s="68" t="s">
        <v>12</v>
      </c>
    </row>
    <row r="114" spans="1:9" ht="15.75">
      <c r="A114" s="4" t="s">
        <v>14</v>
      </c>
    </row>
    <row r="115" spans="1:9">
      <c r="A115" s="214" t="s">
        <v>15</v>
      </c>
      <c r="B115" s="214"/>
      <c r="C115" s="214"/>
      <c r="D115" s="214"/>
      <c r="E115" s="214"/>
      <c r="F115" s="214"/>
      <c r="G115" s="214"/>
      <c r="H115" s="214"/>
      <c r="I115" s="214"/>
    </row>
    <row r="116" spans="1:9" ht="45" customHeight="1">
      <c r="A116" s="211" t="s">
        <v>16</v>
      </c>
      <c r="B116" s="211"/>
      <c r="C116" s="211"/>
      <c r="D116" s="211"/>
      <c r="E116" s="211"/>
      <c r="F116" s="211"/>
      <c r="G116" s="211"/>
      <c r="H116" s="211"/>
      <c r="I116" s="211"/>
    </row>
    <row r="117" spans="1:9" ht="30" customHeight="1">
      <c r="A117" s="211" t="s">
        <v>17</v>
      </c>
      <c r="B117" s="211"/>
      <c r="C117" s="211"/>
      <c r="D117" s="211"/>
      <c r="E117" s="211"/>
      <c r="F117" s="211"/>
      <c r="G117" s="211"/>
      <c r="H117" s="211"/>
      <c r="I117" s="211"/>
    </row>
    <row r="118" spans="1:9" ht="30" customHeight="1">
      <c r="A118" s="211" t="s">
        <v>21</v>
      </c>
      <c r="B118" s="211"/>
      <c r="C118" s="211"/>
      <c r="D118" s="211"/>
      <c r="E118" s="211"/>
      <c r="F118" s="211"/>
      <c r="G118" s="211"/>
      <c r="H118" s="211"/>
      <c r="I118" s="211"/>
    </row>
    <row r="119" spans="1:9" ht="15" customHeight="1">
      <c r="A119" s="211" t="s">
        <v>20</v>
      </c>
      <c r="B119" s="211"/>
      <c r="C119" s="211"/>
      <c r="D119" s="211"/>
      <c r="E119" s="211"/>
      <c r="F119" s="211"/>
      <c r="G119" s="211"/>
      <c r="H119" s="211"/>
      <c r="I119" s="211"/>
    </row>
  </sheetData>
  <autoFilter ref="I12:I64"/>
  <mergeCells count="29">
    <mergeCell ref="A14:I14"/>
    <mergeCell ref="A15:I15"/>
    <mergeCell ref="A28:I28"/>
    <mergeCell ref="A44:I44"/>
    <mergeCell ref="A55:I55"/>
    <mergeCell ref="A3:I3"/>
    <mergeCell ref="A4:I4"/>
    <mergeCell ref="A5:I5"/>
    <mergeCell ref="A8:I8"/>
    <mergeCell ref="A10:I10"/>
    <mergeCell ref="R69:U69"/>
    <mergeCell ref="C113:E113"/>
    <mergeCell ref="A85:I85"/>
    <mergeCell ref="A99:I99"/>
    <mergeCell ref="B100:G100"/>
    <mergeCell ref="B101:G101"/>
    <mergeCell ref="A103:I103"/>
    <mergeCell ref="A104:I104"/>
    <mergeCell ref="A105:I105"/>
    <mergeCell ref="A107:I107"/>
    <mergeCell ref="C109:E109"/>
    <mergeCell ref="C110:E110"/>
    <mergeCell ref="C112:E112"/>
    <mergeCell ref="A81:I81"/>
    <mergeCell ref="A115:I115"/>
    <mergeCell ref="A116:I116"/>
    <mergeCell ref="A117:I117"/>
    <mergeCell ref="A118:I118"/>
    <mergeCell ref="A119:I119"/>
  </mergeCells>
  <pageMargins left="0.70866141732283472" right="0.23622047244094491" top="0.27559055118110237" bottom="0.27559055118110237" header="0.31496062992125984" footer="0.31496062992125984"/>
  <pageSetup paperSize="9" scale="64" orientation="portrait" r:id="rId1"/>
  <rowBreaks count="1" manualBreakCount="1">
    <brk id="113" max="8" man="1"/>
  </rowBreaks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20"/>
  <sheetViews>
    <sheetView topLeftCell="A68" workbookViewId="0">
      <selection activeCell="I101" sqref="I101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" customWidth="1"/>
    <col min="5" max="5" width="18.85546875" hidden="1" customWidth="1"/>
    <col min="6" max="6" width="11.5703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158</v>
      </c>
      <c r="I1" s="26"/>
      <c r="J1" s="1"/>
      <c r="K1" s="1"/>
      <c r="L1" s="1"/>
      <c r="M1" s="1"/>
    </row>
    <row r="2" spans="1:13" ht="15.75" customHeight="1">
      <c r="A2" s="28" t="s">
        <v>60</v>
      </c>
      <c r="J2" s="2"/>
      <c r="K2" s="2"/>
      <c r="L2" s="2"/>
      <c r="M2" s="2"/>
    </row>
    <row r="3" spans="1:13" ht="15.75" customHeight="1">
      <c r="A3" s="228" t="s">
        <v>148</v>
      </c>
      <c r="B3" s="228"/>
      <c r="C3" s="228"/>
      <c r="D3" s="228"/>
      <c r="E3" s="228"/>
      <c r="F3" s="228"/>
      <c r="G3" s="228"/>
      <c r="H3" s="228"/>
      <c r="I3" s="228"/>
      <c r="J3" s="3"/>
      <c r="K3" s="3"/>
      <c r="L3" s="3"/>
    </row>
    <row r="4" spans="1:13" ht="31.5" customHeight="1">
      <c r="A4" s="229" t="s">
        <v>120</v>
      </c>
      <c r="B4" s="229"/>
      <c r="C4" s="229"/>
      <c r="D4" s="229"/>
      <c r="E4" s="229"/>
      <c r="F4" s="229"/>
      <c r="G4" s="229"/>
      <c r="H4" s="229"/>
      <c r="I4" s="229"/>
    </row>
    <row r="5" spans="1:13" ht="15.75" customHeight="1">
      <c r="A5" s="228" t="s">
        <v>267</v>
      </c>
      <c r="B5" s="232"/>
      <c r="C5" s="232"/>
      <c r="D5" s="232"/>
      <c r="E5" s="232"/>
      <c r="F5" s="232"/>
      <c r="G5" s="232"/>
      <c r="H5" s="232"/>
      <c r="I5" s="232"/>
      <c r="J5" s="2"/>
      <c r="K5" s="2"/>
      <c r="L5" s="2"/>
      <c r="M5" s="2"/>
    </row>
    <row r="6" spans="1:13" ht="15.75" customHeight="1">
      <c r="A6" s="2"/>
      <c r="B6" s="72"/>
      <c r="C6" s="72"/>
      <c r="D6" s="72"/>
      <c r="E6" s="72"/>
      <c r="F6" s="72"/>
      <c r="G6" s="72"/>
      <c r="H6" s="72"/>
      <c r="I6" s="30">
        <v>44316</v>
      </c>
      <c r="J6" s="2"/>
      <c r="K6" s="2"/>
      <c r="L6" s="2"/>
      <c r="M6" s="2"/>
    </row>
    <row r="7" spans="1:13" ht="15.75" customHeight="1">
      <c r="B7" s="69"/>
      <c r="C7" s="69"/>
      <c r="D7" s="69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30" t="s">
        <v>266</v>
      </c>
      <c r="B8" s="230"/>
      <c r="C8" s="230"/>
      <c r="D8" s="230"/>
      <c r="E8" s="230"/>
      <c r="F8" s="230"/>
      <c r="G8" s="230"/>
      <c r="H8" s="230"/>
      <c r="I8" s="230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31" t="s">
        <v>133</v>
      </c>
      <c r="B10" s="231"/>
      <c r="C10" s="231"/>
      <c r="D10" s="231"/>
      <c r="E10" s="231"/>
      <c r="F10" s="231"/>
      <c r="G10" s="231"/>
      <c r="H10" s="231"/>
      <c r="I10" s="231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33" t="s">
        <v>57</v>
      </c>
      <c r="B14" s="233"/>
      <c r="C14" s="233"/>
      <c r="D14" s="233"/>
      <c r="E14" s="233"/>
      <c r="F14" s="233"/>
      <c r="G14" s="233"/>
      <c r="H14" s="233"/>
      <c r="I14" s="233"/>
      <c r="J14" s="8"/>
      <c r="K14" s="8"/>
      <c r="L14" s="8"/>
      <c r="M14" s="8"/>
    </row>
    <row r="15" spans="1:13" ht="15.75" customHeight="1">
      <c r="A15" s="234" t="s">
        <v>4</v>
      </c>
      <c r="B15" s="234"/>
      <c r="C15" s="234"/>
      <c r="D15" s="234"/>
      <c r="E15" s="234"/>
      <c r="F15" s="234"/>
      <c r="G15" s="234"/>
      <c r="H15" s="234"/>
      <c r="I15" s="234"/>
      <c r="J15" s="8"/>
      <c r="K15" s="8"/>
      <c r="L15" s="8"/>
      <c r="M15" s="8"/>
    </row>
    <row r="16" spans="1:13" ht="15.75" customHeight="1">
      <c r="A16" s="29">
        <v>1</v>
      </c>
      <c r="B16" s="32" t="s">
        <v>81</v>
      </c>
      <c r="C16" s="133" t="s">
        <v>87</v>
      </c>
      <c r="D16" s="32" t="s">
        <v>178</v>
      </c>
      <c r="E16" s="146">
        <v>129.88</v>
      </c>
      <c r="F16" s="134">
        <f>SUM(E16*156/100)</f>
        <v>202.61279999999999</v>
      </c>
      <c r="G16" s="134">
        <v>239.2</v>
      </c>
      <c r="H16" s="83">
        <f t="shared" ref="H16:H26" si="0">SUM(F16*G16/1000)</f>
        <v>48.464981759999993</v>
      </c>
      <c r="I16" s="13">
        <f>F16/12*G16</f>
        <v>4038.7484799999997</v>
      </c>
      <c r="J16" s="8"/>
      <c r="K16" s="8"/>
      <c r="L16" s="8"/>
      <c r="M16" s="8"/>
    </row>
    <row r="17" spans="1:13" ht="15.75" customHeight="1">
      <c r="A17" s="29">
        <v>2</v>
      </c>
      <c r="B17" s="32" t="s">
        <v>83</v>
      </c>
      <c r="C17" s="133" t="s">
        <v>87</v>
      </c>
      <c r="D17" s="32" t="s">
        <v>179</v>
      </c>
      <c r="E17" s="146">
        <v>519.52</v>
      </c>
      <c r="F17" s="134">
        <f>SUM(E17*104/100)</f>
        <v>540.30079999999998</v>
      </c>
      <c r="G17" s="134">
        <v>239.2</v>
      </c>
      <c r="H17" s="83">
        <f t="shared" si="0"/>
        <v>129.23995135999999</v>
      </c>
      <c r="I17" s="13">
        <f>F17/12*G17</f>
        <v>10769.995946666666</v>
      </c>
      <c r="J17" s="22"/>
      <c r="K17" s="8"/>
      <c r="L17" s="8"/>
      <c r="M17" s="8"/>
    </row>
    <row r="18" spans="1:13" ht="15.75" customHeight="1">
      <c r="A18" s="29">
        <v>3</v>
      </c>
      <c r="B18" s="32" t="s">
        <v>84</v>
      </c>
      <c r="C18" s="133" t="s">
        <v>87</v>
      </c>
      <c r="D18" s="32" t="s">
        <v>180</v>
      </c>
      <c r="E18" s="146">
        <f>SUM(E16+E17)</f>
        <v>649.4</v>
      </c>
      <c r="F18" s="134">
        <f>SUM(E18*18/100)</f>
        <v>116.892</v>
      </c>
      <c r="G18" s="134">
        <v>688.14</v>
      </c>
      <c r="H18" s="83">
        <f t="shared" si="0"/>
        <v>80.438060879999995</v>
      </c>
      <c r="I18" s="13">
        <f>F18/18*G18</f>
        <v>4468.7811599999995</v>
      </c>
      <c r="J18" s="22"/>
      <c r="K18" s="8"/>
      <c r="L18" s="8"/>
      <c r="M18" s="8"/>
    </row>
    <row r="19" spans="1:13" ht="19.5" hidden="1" customHeight="1">
      <c r="A19" s="29"/>
      <c r="B19" s="32" t="s">
        <v>88</v>
      </c>
      <c r="C19" s="133" t="s">
        <v>89</v>
      </c>
      <c r="D19" s="32" t="s">
        <v>90</v>
      </c>
      <c r="E19" s="146">
        <v>124.8</v>
      </c>
      <c r="F19" s="134">
        <f>SUM(E19/10)</f>
        <v>12.48</v>
      </c>
      <c r="G19" s="134">
        <v>232.1</v>
      </c>
      <c r="H19" s="83">
        <f t="shared" si="0"/>
        <v>2.8966080000000001</v>
      </c>
      <c r="I19" s="13">
        <v>0</v>
      </c>
      <c r="J19" s="22"/>
      <c r="K19" s="8"/>
      <c r="L19" s="8"/>
      <c r="M19" s="8"/>
    </row>
    <row r="20" spans="1:13" ht="17.25" customHeight="1">
      <c r="A20" s="29">
        <v>4</v>
      </c>
      <c r="B20" s="32" t="s">
        <v>93</v>
      </c>
      <c r="C20" s="133" t="s">
        <v>87</v>
      </c>
      <c r="D20" s="32" t="s">
        <v>181</v>
      </c>
      <c r="E20" s="146">
        <v>57.5</v>
      </c>
      <c r="F20" s="134">
        <f>SUM(E20*12/100)</f>
        <v>6.9</v>
      </c>
      <c r="G20" s="134">
        <v>297.19</v>
      </c>
      <c r="H20" s="83">
        <f t="shared" si="0"/>
        <v>2.050611</v>
      </c>
      <c r="I20" s="13">
        <f>G20*F20/12</f>
        <v>170.88424999999998</v>
      </c>
      <c r="J20" s="22"/>
      <c r="K20" s="8"/>
      <c r="L20" s="8"/>
      <c r="M20" s="8"/>
    </row>
    <row r="21" spans="1:13" ht="15.75" customHeight="1">
      <c r="A21" s="29">
        <v>5</v>
      </c>
      <c r="B21" s="32" t="s">
        <v>94</v>
      </c>
      <c r="C21" s="133" t="s">
        <v>87</v>
      </c>
      <c r="D21" s="32" t="s">
        <v>181</v>
      </c>
      <c r="E21" s="146">
        <v>13.41</v>
      </c>
      <c r="F21" s="134">
        <f>SUM(E21*12/100)</f>
        <v>1.6092000000000002</v>
      </c>
      <c r="G21" s="134">
        <v>294.77999999999997</v>
      </c>
      <c r="H21" s="83">
        <f t="shared" si="0"/>
        <v>0.47435997600000002</v>
      </c>
      <c r="I21" s="13">
        <f>G21*F21/12</f>
        <v>39.529997999999999</v>
      </c>
      <c r="J21" s="22"/>
      <c r="K21" s="8"/>
      <c r="L21" s="8"/>
      <c r="M21" s="8"/>
    </row>
    <row r="22" spans="1:13" ht="22.5" hidden="1" customHeight="1">
      <c r="A22" s="29"/>
      <c r="B22" s="32" t="s">
        <v>95</v>
      </c>
      <c r="C22" s="133" t="s">
        <v>51</v>
      </c>
      <c r="D22" s="32" t="s">
        <v>90</v>
      </c>
      <c r="E22" s="146">
        <v>820.5</v>
      </c>
      <c r="F22" s="134">
        <f>SUM(E22/100)</f>
        <v>8.2050000000000001</v>
      </c>
      <c r="G22" s="134">
        <v>367.27</v>
      </c>
      <c r="H22" s="83">
        <f t="shared" si="0"/>
        <v>3.0134503500000003</v>
      </c>
      <c r="I22" s="13">
        <v>0</v>
      </c>
      <c r="J22" s="22"/>
      <c r="K22" s="8"/>
      <c r="L22" s="8"/>
      <c r="M22" s="8"/>
    </row>
    <row r="23" spans="1:13" ht="22.5" hidden="1" customHeight="1">
      <c r="A23" s="29"/>
      <c r="B23" s="32" t="s">
        <v>96</v>
      </c>
      <c r="C23" s="133" t="s">
        <v>51</v>
      </c>
      <c r="D23" s="32" t="s">
        <v>90</v>
      </c>
      <c r="E23" s="153">
        <v>60.25</v>
      </c>
      <c r="F23" s="134">
        <f>SUM(E23/100)</f>
        <v>0.60250000000000004</v>
      </c>
      <c r="G23" s="134">
        <v>60.41</v>
      </c>
      <c r="H23" s="83">
        <f t="shared" si="0"/>
        <v>3.6397025E-2</v>
      </c>
      <c r="I23" s="13">
        <v>0</v>
      </c>
      <c r="J23" s="22"/>
      <c r="K23" s="8"/>
      <c r="L23" s="8"/>
      <c r="M23" s="8"/>
    </row>
    <row r="24" spans="1:13" ht="21" hidden="1" customHeight="1">
      <c r="A24" s="29"/>
      <c r="B24" s="32" t="s">
        <v>91</v>
      </c>
      <c r="C24" s="133" t="s">
        <v>51</v>
      </c>
      <c r="D24" s="32" t="s">
        <v>92</v>
      </c>
      <c r="E24" s="146">
        <v>19.149999999999999</v>
      </c>
      <c r="F24" s="134">
        <f>E24/100</f>
        <v>0.19149999999999998</v>
      </c>
      <c r="G24" s="134">
        <v>531.55999999999995</v>
      </c>
      <c r="H24" s="83">
        <f t="shared" si="0"/>
        <v>0.10179373999999997</v>
      </c>
      <c r="I24" s="13">
        <v>0</v>
      </c>
      <c r="J24" s="22"/>
      <c r="K24" s="8"/>
      <c r="L24" s="8"/>
      <c r="M24" s="8"/>
    </row>
    <row r="25" spans="1:13" ht="20.25" hidden="1" customHeight="1">
      <c r="A25" s="40">
        <v>6</v>
      </c>
      <c r="B25" s="32" t="s">
        <v>98</v>
      </c>
      <c r="C25" s="133" t="s">
        <v>51</v>
      </c>
      <c r="D25" s="32" t="s">
        <v>52</v>
      </c>
      <c r="E25" s="146">
        <v>31.5</v>
      </c>
      <c r="F25" s="134">
        <v>0.32</v>
      </c>
      <c r="G25" s="134">
        <v>294.77999999999997</v>
      </c>
      <c r="H25" s="83">
        <f t="shared" si="0"/>
        <v>9.43296E-2</v>
      </c>
      <c r="I25" s="13">
        <v>0</v>
      </c>
      <c r="J25" s="22"/>
      <c r="K25" s="8"/>
      <c r="L25" s="8"/>
      <c r="M25" s="8"/>
    </row>
    <row r="26" spans="1:13" ht="16.5" hidden="1" customHeight="1">
      <c r="A26" s="40"/>
      <c r="B26" s="32" t="s">
        <v>97</v>
      </c>
      <c r="C26" s="133" t="s">
        <v>51</v>
      </c>
      <c r="D26" s="32" t="s">
        <v>90</v>
      </c>
      <c r="E26" s="146">
        <v>37.5</v>
      </c>
      <c r="F26" s="134">
        <f>SUM(E26/100)</f>
        <v>0.375</v>
      </c>
      <c r="G26" s="134">
        <v>710.37</v>
      </c>
      <c r="H26" s="83">
        <f t="shared" si="0"/>
        <v>0.26638875000000001</v>
      </c>
      <c r="I26" s="13">
        <v>0</v>
      </c>
      <c r="J26" s="22"/>
      <c r="K26" s="8"/>
      <c r="L26" s="8"/>
      <c r="M26" s="8"/>
    </row>
    <row r="27" spans="1:13" ht="15.75" hidden="1" customHeight="1">
      <c r="A27" s="40">
        <v>6</v>
      </c>
      <c r="B27" s="32" t="s">
        <v>177</v>
      </c>
      <c r="C27" s="133" t="s">
        <v>26</v>
      </c>
      <c r="D27" s="32" t="s">
        <v>182</v>
      </c>
      <c r="E27" s="169">
        <v>4.88</v>
      </c>
      <c r="F27" s="134">
        <f>E27*258</f>
        <v>1259.04</v>
      </c>
      <c r="G27" s="134">
        <v>10.39</v>
      </c>
      <c r="H27" s="83">
        <f t="shared" ref="H27" si="1">SUM(F27*G27/1000)</f>
        <v>13.081425600000001</v>
      </c>
      <c r="I27" s="13">
        <f>F27/12*G27</f>
        <v>1090.1188</v>
      </c>
      <c r="J27" s="22"/>
      <c r="K27" s="8"/>
      <c r="L27" s="8"/>
      <c r="M27" s="8"/>
    </row>
    <row r="28" spans="1:13" ht="15.75" customHeight="1">
      <c r="A28" s="234" t="s">
        <v>80</v>
      </c>
      <c r="B28" s="234"/>
      <c r="C28" s="234"/>
      <c r="D28" s="234"/>
      <c r="E28" s="234"/>
      <c r="F28" s="234"/>
      <c r="G28" s="234"/>
      <c r="H28" s="234"/>
      <c r="I28" s="234"/>
      <c r="J28" s="22"/>
      <c r="K28" s="8"/>
      <c r="L28" s="8"/>
      <c r="M28" s="8"/>
    </row>
    <row r="29" spans="1:13" ht="15.75" hidden="1" customHeight="1">
      <c r="A29" s="40"/>
      <c r="B29" s="50" t="s">
        <v>29</v>
      </c>
      <c r="C29" s="50"/>
      <c r="D29" s="50"/>
      <c r="E29" s="50"/>
      <c r="F29" s="50"/>
      <c r="G29" s="50"/>
      <c r="H29" s="50"/>
      <c r="I29" s="18"/>
      <c r="J29" s="22"/>
      <c r="K29" s="8"/>
      <c r="L29" s="8"/>
      <c r="M29" s="8"/>
    </row>
    <row r="30" spans="1:13" ht="15.75" hidden="1" customHeight="1">
      <c r="A30" s="40">
        <v>2</v>
      </c>
      <c r="B30" s="79" t="s">
        <v>99</v>
      </c>
      <c r="C30" s="80" t="s">
        <v>100</v>
      </c>
      <c r="D30" s="79" t="s">
        <v>101</v>
      </c>
      <c r="E30" s="82">
        <v>1304.45</v>
      </c>
      <c r="F30" s="82">
        <f>SUM(E30*52/1000)</f>
        <v>67.831400000000002</v>
      </c>
      <c r="G30" s="82">
        <v>155.88999999999999</v>
      </c>
      <c r="H30" s="83">
        <f t="shared" ref="H30:H35" si="2">SUM(F30*G30/1000)</f>
        <v>10.574236945999999</v>
      </c>
      <c r="I30" s="13">
        <f>F30/6*G30</f>
        <v>1762.3728243333333</v>
      </c>
      <c r="J30" s="22"/>
      <c r="K30" s="8"/>
      <c r="L30" s="8"/>
      <c r="M30" s="8"/>
    </row>
    <row r="31" spans="1:13" ht="31.5" hidden="1" customHeight="1">
      <c r="A31" s="40">
        <v>3</v>
      </c>
      <c r="B31" s="79" t="s">
        <v>137</v>
      </c>
      <c r="C31" s="80" t="s">
        <v>100</v>
      </c>
      <c r="D31" s="79" t="s">
        <v>102</v>
      </c>
      <c r="E31" s="82">
        <v>287.83999999999997</v>
      </c>
      <c r="F31" s="82">
        <f>SUM(E31*78/1000)</f>
        <v>22.451519999999995</v>
      </c>
      <c r="G31" s="82">
        <v>258.63</v>
      </c>
      <c r="H31" s="83">
        <f t="shared" si="2"/>
        <v>5.8066366175999979</v>
      </c>
      <c r="I31" s="13">
        <f t="shared" ref="I31:I33" si="3">F31/6*G31</f>
        <v>967.77276959999972</v>
      </c>
      <c r="J31" s="22"/>
      <c r="K31" s="8"/>
      <c r="L31" s="8"/>
      <c r="M31" s="8"/>
    </row>
    <row r="32" spans="1:13" ht="15.75" hidden="1" customHeight="1">
      <c r="A32" s="40">
        <v>4</v>
      </c>
      <c r="B32" s="79" t="s">
        <v>28</v>
      </c>
      <c r="C32" s="80" t="s">
        <v>100</v>
      </c>
      <c r="D32" s="79" t="s">
        <v>52</v>
      </c>
      <c r="E32" s="82">
        <v>1304.45</v>
      </c>
      <c r="F32" s="82">
        <f>SUM(E32/1000)</f>
        <v>1.3044500000000001</v>
      </c>
      <c r="G32" s="82">
        <v>3020.33</v>
      </c>
      <c r="H32" s="83">
        <f t="shared" si="2"/>
        <v>3.9398694685</v>
      </c>
      <c r="I32" s="13">
        <f>F32*G32</f>
        <v>3939.8694685</v>
      </c>
      <c r="J32" s="22"/>
      <c r="K32" s="8"/>
      <c r="L32" s="8"/>
      <c r="M32" s="8"/>
    </row>
    <row r="33" spans="1:14" ht="15.75" hidden="1" customHeight="1">
      <c r="A33" s="40">
        <v>5</v>
      </c>
      <c r="B33" s="79" t="s">
        <v>103</v>
      </c>
      <c r="C33" s="80" t="s">
        <v>31</v>
      </c>
      <c r="D33" s="79" t="s">
        <v>61</v>
      </c>
      <c r="E33" s="86">
        <v>0.33333333333333331</v>
      </c>
      <c r="F33" s="82">
        <f>155/3</f>
        <v>51.666666666666664</v>
      </c>
      <c r="G33" s="82">
        <v>56.69</v>
      </c>
      <c r="H33" s="83">
        <f t="shared" si="2"/>
        <v>2.9289833333333331</v>
      </c>
      <c r="I33" s="13">
        <f t="shared" si="3"/>
        <v>488.16388888888883</v>
      </c>
      <c r="J33" s="23"/>
    </row>
    <row r="34" spans="1:14" ht="15.75" hidden="1" customHeight="1">
      <c r="A34" s="40">
        <v>4</v>
      </c>
      <c r="B34" s="79" t="s">
        <v>63</v>
      </c>
      <c r="C34" s="80" t="s">
        <v>33</v>
      </c>
      <c r="D34" s="79" t="s">
        <v>65</v>
      </c>
      <c r="E34" s="81"/>
      <c r="F34" s="82">
        <v>3</v>
      </c>
      <c r="G34" s="82">
        <v>191.32</v>
      </c>
      <c r="H34" s="83">
        <f t="shared" si="2"/>
        <v>0.57396000000000003</v>
      </c>
      <c r="I34" s="13">
        <v>0</v>
      </c>
      <c r="J34" s="23"/>
    </row>
    <row r="35" spans="1:14" ht="15.75" hidden="1" customHeight="1">
      <c r="A35" s="29">
        <v>8</v>
      </c>
      <c r="B35" s="79" t="s">
        <v>64</v>
      </c>
      <c r="C35" s="80" t="s">
        <v>32</v>
      </c>
      <c r="D35" s="79" t="s">
        <v>65</v>
      </c>
      <c r="E35" s="81"/>
      <c r="F35" s="82">
        <v>2</v>
      </c>
      <c r="G35" s="82">
        <v>1136.32</v>
      </c>
      <c r="H35" s="83">
        <f t="shared" si="2"/>
        <v>2.27264</v>
      </c>
      <c r="I35" s="13">
        <v>0</v>
      </c>
      <c r="J35" s="23"/>
    </row>
    <row r="36" spans="1:14" ht="15.75" customHeight="1">
      <c r="A36" s="40"/>
      <c r="B36" s="48" t="s">
        <v>5</v>
      </c>
      <c r="C36" s="48"/>
      <c r="D36" s="48"/>
      <c r="E36" s="13"/>
      <c r="F36" s="13"/>
      <c r="G36" s="14"/>
      <c r="H36" s="14"/>
      <c r="I36" s="18"/>
      <c r="J36" s="23"/>
    </row>
    <row r="37" spans="1:14" ht="17.25" customHeight="1">
      <c r="A37" s="33">
        <v>6</v>
      </c>
      <c r="B37" s="149" t="s">
        <v>27</v>
      </c>
      <c r="C37" s="133" t="s">
        <v>32</v>
      </c>
      <c r="D37" s="176">
        <v>43556</v>
      </c>
      <c r="E37" s="146"/>
      <c r="F37" s="134">
        <v>8</v>
      </c>
      <c r="G37" s="134">
        <v>2083</v>
      </c>
      <c r="H37" s="83">
        <f t="shared" ref="H37:H44" si="4">SUM(F37*G37/1000)</f>
        <v>16.664000000000001</v>
      </c>
      <c r="I37" s="13">
        <f>G37*0.5</f>
        <v>1041.5</v>
      </c>
      <c r="J37" s="23"/>
    </row>
    <row r="38" spans="1:14" ht="15.75" customHeight="1">
      <c r="A38" s="33">
        <v>7</v>
      </c>
      <c r="B38" s="149" t="s">
        <v>121</v>
      </c>
      <c r="C38" s="150" t="s">
        <v>30</v>
      </c>
      <c r="D38" s="149" t="s">
        <v>183</v>
      </c>
      <c r="E38" s="151">
        <v>287.83999999999997</v>
      </c>
      <c r="F38" s="151">
        <f>SUM(E38*30/1000)</f>
        <v>8.6351999999999993</v>
      </c>
      <c r="G38" s="151">
        <v>2868.09</v>
      </c>
      <c r="H38" s="83">
        <f t="shared" si="4"/>
        <v>24.766530767999999</v>
      </c>
      <c r="I38" s="13">
        <f>F38/6*G38</f>
        <v>4127.7551279999998</v>
      </c>
      <c r="J38" s="23"/>
    </row>
    <row r="39" spans="1:14" ht="15.75" customHeight="1">
      <c r="A39" s="33">
        <v>8</v>
      </c>
      <c r="B39" s="149" t="s">
        <v>165</v>
      </c>
      <c r="C39" s="150" t="s">
        <v>30</v>
      </c>
      <c r="D39" s="32" t="s">
        <v>184</v>
      </c>
      <c r="E39" s="146">
        <v>287.83999999999997</v>
      </c>
      <c r="F39" s="151">
        <f>E39*155/1000</f>
        <v>44.615199999999994</v>
      </c>
      <c r="G39" s="134">
        <v>478.42</v>
      </c>
      <c r="H39" s="83">
        <f>G39*F39/1000</f>
        <v>21.344803983999999</v>
      </c>
      <c r="I39" s="13">
        <f>F39/6*G39</f>
        <v>3557.4673306666664</v>
      </c>
      <c r="J39" s="23"/>
    </row>
    <row r="40" spans="1:14" ht="15.75" hidden="1" customHeight="1">
      <c r="A40" s="33">
        <v>7</v>
      </c>
      <c r="B40" s="79" t="s">
        <v>85</v>
      </c>
      <c r="C40" s="80" t="s">
        <v>124</v>
      </c>
      <c r="D40" s="79" t="s">
        <v>65</v>
      </c>
      <c r="E40" s="81"/>
      <c r="F40" s="82">
        <v>80</v>
      </c>
      <c r="G40" s="82">
        <v>199.44</v>
      </c>
      <c r="H40" s="83">
        <f>G40*F40/1000</f>
        <v>15.955200000000001</v>
      </c>
      <c r="I40" s="13">
        <v>0</v>
      </c>
      <c r="J40" s="23"/>
    </row>
    <row r="41" spans="1:14" ht="44.25" customHeight="1">
      <c r="A41" s="33">
        <v>9</v>
      </c>
      <c r="B41" s="32" t="s">
        <v>78</v>
      </c>
      <c r="C41" s="133" t="s">
        <v>100</v>
      </c>
      <c r="D41" s="32" t="s">
        <v>183</v>
      </c>
      <c r="E41" s="134">
        <v>130.6</v>
      </c>
      <c r="F41" s="151">
        <f>SUM(E41*35/1000)</f>
        <v>4.5709999999999997</v>
      </c>
      <c r="G41" s="134">
        <v>7915.6</v>
      </c>
      <c r="H41" s="83">
        <f t="shared" si="4"/>
        <v>36.182207599999998</v>
      </c>
      <c r="I41" s="13">
        <f>F41/6*G41</f>
        <v>6030.367933333333</v>
      </c>
      <c r="J41" s="23"/>
    </row>
    <row r="42" spans="1:14" ht="29.25" hidden="1" customHeight="1">
      <c r="A42" s="33">
        <v>11</v>
      </c>
      <c r="B42" s="32" t="s">
        <v>106</v>
      </c>
      <c r="C42" s="133" t="s">
        <v>100</v>
      </c>
      <c r="D42" s="32" t="s">
        <v>185</v>
      </c>
      <c r="E42" s="134">
        <v>287.83999999999997</v>
      </c>
      <c r="F42" s="151">
        <f>SUM(E42*45/1000)</f>
        <v>12.9528</v>
      </c>
      <c r="G42" s="134">
        <v>584.74</v>
      </c>
      <c r="H42" s="83">
        <f t="shared" si="4"/>
        <v>7.5740202719999994</v>
      </c>
      <c r="I42" s="13">
        <f>F42/7.5*1.5*G42</f>
        <v>1514.8040544</v>
      </c>
      <c r="J42" s="23"/>
      <c r="L42" s="19"/>
      <c r="M42" s="20"/>
      <c r="N42" s="21"/>
    </row>
    <row r="43" spans="1:14" ht="15.75" hidden="1" customHeight="1">
      <c r="A43" s="33">
        <v>12</v>
      </c>
      <c r="B43" s="149" t="s">
        <v>68</v>
      </c>
      <c r="C43" s="150" t="s">
        <v>33</v>
      </c>
      <c r="D43" s="149"/>
      <c r="E43" s="152"/>
      <c r="F43" s="151">
        <v>0.9</v>
      </c>
      <c r="G43" s="151">
        <v>800</v>
      </c>
      <c r="H43" s="83">
        <f t="shared" si="4"/>
        <v>0.72</v>
      </c>
      <c r="I43" s="13">
        <f>F43/7.5*1.5*G43</f>
        <v>144.00000000000003</v>
      </c>
      <c r="J43" s="23"/>
      <c r="L43" s="19"/>
      <c r="M43" s="20"/>
      <c r="N43" s="21"/>
    </row>
    <row r="44" spans="1:14" ht="30" customHeight="1">
      <c r="A44" s="33">
        <v>10</v>
      </c>
      <c r="B44" s="149" t="s">
        <v>166</v>
      </c>
      <c r="C44" s="150" t="s">
        <v>100</v>
      </c>
      <c r="D44" s="149" t="s">
        <v>186</v>
      </c>
      <c r="E44" s="152">
        <v>0.6</v>
      </c>
      <c r="F44" s="151">
        <v>0.01</v>
      </c>
      <c r="G44" s="151">
        <v>18798.34</v>
      </c>
      <c r="H44" s="83">
        <f t="shared" si="4"/>
        <v>0.18798340000000002</v>
      </c>
      <c r="I44" s="13">
        <f>G44*F44/6</f>
        <v>31.33056666666667</v>
      </c>
      <c r="J44" s="23"/>
      <c r="L44" s="19"/>
      <c r="M44" s="20"/>
      <c r="N44" s="21"/>
    </row>
    <row r="45" spans="1:14" ht="15.75" hidden="1" customHeight="1">
      <c r="A45" s="124">
        <v>14</v>
      </c>
      <c r="B45" s="90" t="s">
        <v>40</v>
      </c>
      <c r="C45" s="91" t="s">
        <v>109</v>
      </c>
      <c r="D45" s="90" t="s">
        <v>69</v>
      </c>
      <c r="E45" s="92">
        <v>238</v>
      </c>
      <c r="F45" s="93">
        <f>SUM(E45)*3</f>
        <v>714</v>
      </c>
      <c r="G45" s="114">
        <v>65.67</v>
      </c>
      <c r="H45" s="95">
        <f t="shared" ref="H45" si="5">SUM(F45*G45/1000)</f>
        <v>46.888380000000005</v>
      </c>
      <c r="I45" s="114">
        <f>E45*G45</f>
        <v>15629.460000000001</v>
      </c>
      <c r="J45" s="23"/>
      <c r="L45" s="19"/>
      <c r="M45" s="20"/>
      <c r="N45" s="21"/>
    </row>
    <row r="46" spans="1:14" ht="15.75" hidden="1" customHeight="1">
      <c r="A46" s="238" t="s">
        <v>134</v>
      </c>
      <c r="B46" s="241"/>
      <c r="C46" s="241"/>
      <c r="D46" s="241"/>
      <c r="E46" s="241"/>
      <c r="F46" s="241"/>
      <c r="G46" s="241"/>
      <c r="H46" s="241"/>
      <c r="I46" s="241"/>
      <c r="J46" s="128"/>
      <c r="L46" s="19"/>
      <c r="M46" s="20"/>
      <c r="N46" s="21"/>
    </row>
    <row r="47" spans="1:14" ht="31.5" hidden="1" customHeight="1">
      <c r="A47" s="40">
        <v>13</v>
      </c>
      <c r="B47" s="129" t="s">
        <v>107</v>
      </c>
      <c r="C47" s="130" t="s">
        <v>100</v>
      </c>
      <c r="D47" s="125"/>
      <c r="E47" s="126"/>
      <c r="F47" s="131">
        <v>2.6985999999999999</v>
      </c>
      <c r="G47" s="132">
        <v>1213.55</v>
      </c>
      <c r="H47" s="127"/>
      <c r="I47" s="127">
        <f>F47/2*G47</f>
        <v>1637.4430149999998</v>
      </c>
      <c r="J47" s="23"/>
      <c r="L47" s="19"/>
      <c r="M47" s="20"/>
      <c r="N47" s="21"/>
    </row>
    <row r="48" spans="1:14" ht="32.25" hidden="1" customHeight="1">
      <c r="A48" s="40">
        <v>14</v>
      </c>
      <c r="B48" s="32" t="s">
        <v>108</v>
      </c>
      <c r="C48" s="133" t="s">
        <v>37</v>
      </c>
      <c r="D48" s="96"/>
      <c r="E48" s="18"/>
      <c r="F48" s="134">
        <v>0.8</v>
      </c>
      <c r="G48" s="36">
        <v>2730.49</v>
      </c>
      <c r="H48" s="13"/>
      <c r="I48" s="13">
        <f>F48/2*G48</f>
        <v>1092.1959999999999</v>
      </c>
      <c r="J48" s="23"/>
      <c r="L48" s="19"/>
      <c r="M48" s="20"/>
      <c r="N48" s="21"/>
    </row>
    <row r="49" spans="1:22" ht="15.75" hidden="1" customHeight="1">
      <c r="A49" s="40">
        <v>15</v>
      </c>
      <c r="B49" s="32" t="s">
        <v>38</v>
      </c>
      <c r="C49" s="133" t="s">
        <v>39</v>
      </c>
      <c r="D49" s="96"/>
      <c r="E49" s="18"/>
      <c r="F49" s="134">
        <v>0.02</v>
      </c>
      <c r="G49" s="36">
        <v>5652.13</v>
      </c>
      <c r="H49" s="13"/>
      <c r="I49" s="13">
        <f>F49/2*G49</f>
        <v>56.521300000000004</v>
      </c>
      <c r="J49" s="23"/>
      <c r="L49" s="19"/>
      <c r="M49" s="20"/>
      <c r="N49" s="21"/>
    </row>
    <row r="50" spans="1:22" ht="15.75" customHeight="1">
      <c r="A50" s="238" t="s">
        <v>146</v>
      </c>
      <c r="B50" s="239"/>
      <c r="C50" s="239"/>
      <c r="D50" s="239"/>
      <c r="E50" s="239"/>
      <c r="F50" s="239"/>
      <c r="G50" s="239"/>
      <c r="H50" s="239"/>
      <c r="I50" s="240"/>
      <c r="J50" s="23"/>
      <c r="L50" s="19"/>
      <c r="M50" s="20"/>
      <c r="N50" s="21"/>
    </row>
    <row r="51" spans="1:22" ht="15.75" customHeight="1">
      <c r="A51" s="78"/>
      <c r="B51" s="47" t="s">
        <v>42</v>
      </c>
      <c r="C51" s="16"/>
      <c r="D51" s="15"/>
      <c r="E51" s="15"/>
      <c r="F51" s="15"/>
      <c r="G51" s="29"/>
      <c r="H51" s="29"/>
      <c r="I51" s="18"/>
      <c r="J51" s="23"/>
      <c r="L51" s="19"/>
      <c r="M51" s="20"/>
      <c r="N51" s="21"/>
    </row>
    <row r="52" spans="1:22" ht="31.5" hidden="1" customHeight="1">
      <c r="A52" s="40">
        <v>14</v>
      </c>
      <c r="B52" s="32" t="s">
        <v>110</v>
      </c>
      <c r="C52" s="133" t="s">
        <v>87</v>
      </c>
      <c r="D52" s="176">
        <v>43566</v>
      </c>
      <c r="E52" s="146">
        <v>128.5</v>
      </c>
      <c r="F52" s="134">
        <f>SUM(E52*6/100)</f>
        <v>7.71</v>
      </c>
      <c r="G52" s="36">
        <v>2110.4699999999998</v>
      </c>
      <c r="H52" s="83">
        <f>SUM(F52*G52/1000)</f>
        <v>16.271723699999999</v>
      </c>
      <c r="I52" s="13">
        <f>G52*0.434</f>
        <v>915.9439799999999</v>
      </c>
      <c r="J52" s="23"/>
      <c r="L52" s="19"/>
      <c r="M52" s="20"/>
      <c r="N52" s="21"/>
    </row>
    <row r="53" spans="1:22" ht="15.75" hidden="1" customHeight="1">
      <c r="A53" s="40">
        <v>15</v>
      </c>
      <c r="B53" s="32" t="s">
        <v>167</v>
      </c>
      <c r="C53" s="133" t="s">
        <v>87</v>
      </c>
      <c r="D53" s="32"/>
      <c r="E53" s="147">
        <v>69.5</v>
      </c>
      <c r="F53" s="148">
        <f>E53*6/100</f>
        <v>4.17</v>
      </c>
      <c r="G53" s="134">
        <v>2110.4699999999998</v>
      </c>
      <c r="H53" s="83">
        <f>F53*G53/1000</f>
        <v>8.8006598999999994</v>
      </c>
      <c r="I53" s="13">
        <f>F53/6*G53</f>
        <v>1466.7766499999998</v>
      </c>
      <c r="J53" s="23"/>
      <c r="L53" s="19"/>
      <c r="M53" s="20"/>
      <c r="N53" s="21"/>
    </row>
    <row r="54" spans="1:22" ht="15.75" hidden="1" customHeight="1">
      <c r="A54" s="40"/>
      <c r="B54" s="79" t="s">
        <v>128</v>
      </c>
      <c r="C54" s="80" t="s">
        <v>129</v>
      </c>
      <c r="D54" s="79" t="s">
        <v>41</v>
      </c>
      <c r="E54" s="88">
        <v>8</v>
      </c>
      <c r="F54" s="13">
        <v>16</v>
      </c>
      <c r="G54" s="82">
        <v>180.78</v>
      </c>
      <c r="H54" s="83">
        <f>SUM(F54*G54/1000)</f>
        <v>2.8924799999999999</v>
      </c>
      <c r="I54" s="13">
        <v>0</v>
      </c>
      <c r="J54" s="23"/>
      <c r="L54" s="19"/>
      <c r="M54" s="20"/>
      <c r="N54" s="21"/>
    </row>
    <row r="55" spans="1:22" ht="15.75" customHeight="1">
      <c r="A55" s="40">
        <v>11</v>
      </c>
      <c r="B55" s="32" t="s">
        <v>160</v>
      </c>
      <c r="C55" s="133" t="s">
        <v>161</v>
      </c>
      <c r="D55" s="32" t="s">
        <v>314</v>
      </c>
      <c r="E55" s="180"/>
      <c r="F55" s="36">
        <v>8</v>
      </c>
      <c r="G55" s="151">
        <v>1645</v>
      </c>
      <c r="H55" s="94"/>
      <c r="I55" s="13">
        <f>G55*3</f>
        <v>4935</v>
      </c>
      <c r="J55" s="23"/>
      <c r="L55" s="19"/>
      <c r="M55" s="20"/>
      <c r="N55" s="21"/>
    </row>
    <row r="56" spans="1:22" ht="15.75" customHeight="1">
      <c r="A56" s="40"/>
      <c r="B56" s="73" t="s">
        <v>43</v>
      </c>
      <c r="C56" s="73"/>
      <c r="D56" s="73"/>
      <c r="E56" s="73"/>
      <c r="F56" s="73"/>
      <c r="G56" s="73"/>
      <c r="H56" s="73"/>
      <c r="I56" s="35"/>
      <c r="J56" s="23"/>
      <c r="L56" s="19"/>
      <c r="M56" s="20"/>
      <c r="N56" s="21"/>
    </row>
    <row r="57" spans="1:22" ht="15.75" hidden="1" customHeight="1">
      <c r="A57" s="40">
        <v>27</v>
      </c>
      <c r="B57" s="79" t="s">
        <v>139</v>
      </c>
      <c r="C57" s="80"/>
      <c r="D57" s="79" t="s">
        <v>52</v>
      </c>
      <c r="E57" s="81">
        <v>1349.3</v>
      </c>
      <c r="F57" s="83">
        <v>13.493</v>
      </c>
      <c r="G57" s="13">
        <v>793.61</v>
      </c>
      <c r="H57" s="89">
        <f>F57*G57/1000</f>
        <v>10.708179729999999</v>
      </c>
      <c r="I57" s="13">
        <v>0</v>
      </c>
      <c r="J57" s="23"/>
      <c r="L57" s="19"/>
      <c r="M57" s="20"/>
      <c r="N57" s="21"/>
    </row>
    <row r="58" spans="1:22" ht="15.75" customHeight="1">
      <c r="A58" s="40">
        <v>12</v>
      </c>
      <c r="B58" s="90" t="s">
        <v>86</v>
      </c>
      <c r="C58" s="91" t="s">
        <v>26</v>
      </c>
      <c r="D58" s="90"/>
      <c r="E58" s="92">
        <v>270</v>
      </c>
      <c r="F58" s="93">
        <f>E58*12</f>
        <v>3240</v>
      </c>
      <c r="G58" s="123">
        <v>1.4</v>
      </c>
      <c r="H58" s="95">
        <f>F58*G58</f>
        <v>4536</v>
      </c>
      <c r="I58" s="114">
        <f>2400/12*G58</f>
        <v>280</v>
      </c>
      <c r="J58" s="23"/>
      <c r="L58" s="19"/>
      <c r="M58" s="20"/>
      <c r="N58" s="21"/>
    </row>
    <row r="59" spans="1:22" ht="15.75" customHeight="1">
      <c r="A59" s="40"/>
      <c r="B59" s="197" t="s">
        <v>44</v>
      </c>
      <c r="C59" s="16"/>
      <c r="D59" s="96"/>
      <c r="E59" s="18"/>
      <c r="F59" s="13"/>
      <c r="G59" s="121"/>
      <c r="H59" s="13"/>
      <c r="I59" s="13"/>
      <c r="J59" s="23"/>
      <c r="L59" s="19"/>
      <c r="M59" s="20"/>
      <c r="N59" s="21"/>
    </row>
    <row r="60" spans="1:22" ht="15.75" customHeight="1">
      <c r="A60" s="40">
        <v>13</v>
      </c>
      <c r="B60" s="145" t="s">
        <v>45</v>
      </c>
      <c r="C60" s="38" t="s">
        <v>109</v>
      </c>
      <c r="D60" s="37" t="s">
        <v>195</v>
      </c>
      <c r="E60" s="17">
        <v>40</v>
      </c>
      <c r="F60" s="134">
        <f>E60</f>
        <v>40</v>
      </c>
      <c r="G60" s="36">
        <v>303.35000000000002</v>
      </c>
      <c r="H60" s="200"/>
      <c r="I60" s="127">
        <f>G60*3</f>
        <v>910.05000000000007</v>
      </c>
      <c r="J60" s="23"/>
      <c r="L60" s="19"/>
      <c r="M60" s="20"/>
      <c r="N60" s="21"/>
    </row>
    <row r="61" spans="1:22" ht="15.75" hidden="1" customHeight="1">
      <c r="A61" s="29">
        <v>29</v>
      </c>
      <c r="B61" s="125" t="s">
        <v>46</v>
      </c>
      <c r="C61" s="198" t="s">
        <v>109</v>
      </c>
      <c r="D61" s="125" t="s">
        <v>65</v>
      </c>
      <c r="E61" s="126">
        <v>20</v>
      </c>
      <c r="F61" s="199">
        <v>20</v>
      </c>
      <c r="G61" s="127">
        <v>76.25</v>
      </c>
      <c r="H61" s="200">
        <f t="shared" ref="H61:H67" si="6">SUM(F61*G61/1000)</f>
        <v>1.5249999999999999</v>
      </c>
      <c r="I61" s="127">
        <v>0</v>
      </c>
    </row>
    <row r="62" spans="1:22" ht="15.75" hidden="1" customHeight="1">
      <c r="A62" s="29">
        <v>8</v>
      </c>
      <c r="B62" s="96" t="s">
        <v>47</v>
      </c>
      <c r="C62" s="16" t="s">
        <v>112</v>
      </c>
      <c r="D62" s="96" t="s">
        <v>52</v>
      </c>
      <c r="E62" s="81">
        <v>18890</v>
      </c>
      <c r="F62" s="13">
        <f>SUM(E62/100)</f>
        <v>188.9</v>
      </c>
      <c r="G62" s="13">
        <v>212.15</v>
      </c>
      <c r="H62" s="97">
        <f t="shared" si="6"/>
        <v>40.075135000000003</v>
      </c>
      <c r="I62" s="13">
        <v>0</v>
      </c>
    </row>
    <row r="63" spans="1:22" ht="15.75" hidden="1" customHeight="1">
      <c r="A63" s="29">
        <v>9</v>
      </c>
      <c r="B63" s="96" t="s">
        <v>48</v>
      </c>
      <c r="C63" s="16" t="s">
        <v>113</v>
      </c>
      <c r="D63" s="96"/>
      <c r="E63" s="81">
        <v>18890</v>
      </c>
      <c r="F63" s="13">
        <f>SUM(E63/1000)</f>
        <v>18.89</v>
      </c>
      <c r="G63" s="13">
        <v>165.21</v>
      </c>
      <c r="H63" s="97">
        <f t="shared" si="6"/>
        <v>3.1208169000000003</v>
      </c>
      <c r="I63" s="13">
        <v>0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hidden="1" customHeight="1">
      <c r="A64" s="29">
        <v>10</v>
      </c>
      <c r="B64" s="96" t="s">
        <v>49</v>
      </c>
      <c r="C64" s="16" t="s">
        <v>75</v>
      </c>
      <c r="D64" s="96" t="s">
        <v>52</v>
      </c>
      <c r="E64" s="81">
        <v>3004</v>
      </c>
      <c r="F64" s="13">
        <f>SUM(E64/100)</f>
        <v>30.04</v>
      </c>
      <c r="G64" s="13">
        <v>2074.63</v>
      </c>
      <c r="H64" s="97">
        <f t="shared" si="6"/>
        <v>62.321885200000004</v>
      </c>
      <c r="I64" s="13">
        <v>0</v>
      </c>
      <c r="J64" s="25"/>
      <c r="K64" s="25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29">
        <v>11</v>
      </c>
      <c r="B65" s="98" t="s">
        <v>114</v>
      </c>
      <c r="C65" s="16" t="s">
        <v>33</v>
      </c>
      <c r="D65" s="96"/>
      <c r="E65" s="81">
        <v>15.8</v>
      </c>
      <c r="F65" s="13">
        <f>SUM(E65)</f>
        <v>15.8</v>
      </c>
      <c r="G65" s="13">
        <v>42.67</v>
      </c>
      <c r="H65" s="97">
        <f t="shared" si="6"/>
        <v>0.67418600000000006</v>
      </c>
      <c r="I65" s="13">
        <v>0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" hidden="1" customHeight="1">
      <c r="A66" s="29">
        <v>12</v>
      </c>
      <c r="B66" s="98" t="s">
        <v>115</v>
      </c>
      <c r="C66" s="16" t="s">
        <v>33</v>
      </c>
      <c r="D66" s="96"/>
      <c r="E66" s="81">
        <v>15.8</v>
      </c>
      <c r="F66" s="13">
        <f>SUM(E66)</f>
        <v>15.8</v>
      </c>
      <c r="G66" s="13">
        <v>39.81</v>
      </c>
      <c r="H66" s="97">
        <f t="shared" si="6"/>
        <v>0.62899800000000006</v>
      </c>
      <c r="I66" s="13">
        <v>0</v>
      </c>
      <c r="J66" s="5"/>
      <c r="K66" s="5"/>
      <c r="L66" s="5"/>
      <c r="M66" s="5"/>
      <c r="N66" s="5"/>
      <c r="O66" s="5"/>
      <c r="P66" s="5"/>
      <c r="Q66" s="5"/>
      <c r="R66" s="213"/>
      <c r="S66" s="213"/>
      <c r="T66" s="213"/>
      <c r="U66" s="213"/>
    </row>
    <row r="67" spans="1:21" ht="15.75" hidden="1" customHeight="1">
      <c r="A67" s="29">
        <v>13</v>
      </c>
      <c r="B67" s="96" t="s">
        <v>55</v>
      </c>
      <c r="C67" s="16" t="s">
        <v>56</v>
      </c>
      <c r="D67" s="96" t="s">
        <v>52</v>
      </c>
      <c r="E67" s="18">
        <v>15</v>
      </c>
      <c r="F67" s="82">
        <v>15</v>
      </c>
      <c r="G67" s="13">
        <v>49.88</v>
      </c>
      <c r="H67" s="97">
        <f t="shared" si="6"/>
        <v>0.74820000000000009</v>
      </c>
      <c r="I67" s="13">
        <v>0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customHeight="1">
      <c r="A68" s="29"/>
      <c r="B68" s="156" t="s">
        <v>168</v>
      </c>
      <c r="C68" s="38"/>
      <c r="D68" s="37"/>
      <c r="E68" s="17"/>
      <c r="F68" s="112"/>
      <c r="G68" s="36"/>
      <c r="H68" s="97"/>
      <c r="I68" s="13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1" ht="29.25" customHeight="1">
      <c r="A69" s="29">
        <v>14</v>
      </c>
      <c r="B69" s="37" t="s">
        <v>169</v>
      </c>
      <c r="C69" s="40" t="s">
        <v>170</v>
      </c>
      <c r="D69" s="37"/>
      <c r="E69" s="17">
        <v>5162.6000000000004</v>
      </c>
      <c r="F69" s="36">
        <f>E69*12</f>
        <v>61951.200000000004</v>
      </c>
      <c r="G69" s="36">
        <v>2.37</v>
      </c>
      <c r="H69" s="97"/>
      <c r="I69" s="13">
        <f>G69*F69/12</f>
        <v>12235.362000000001</v>
      </c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1" ht="16.5" hidden="1" customHeight="1">
      <c r="A70" s="78"/>
      <c r="B70" s="73" t="s">
        <v>116</v>
      </c>
      <c r="C70" s="73"/>
      <c r="D70" s="73"/>
      <c r="E70" s="73"/>
      <c r="F70" s="73"/>
      <c r="G70" s="73"/>
      <c r="H70" s="73"/>
      <c r="I70" s="18"/>
    </row>
    <row r="71" spans="1:21" ht="13.5" hidden="1" customHeight="1">
      <c r="A71" s="29">
        <v>19</v>
      </c>
      <c r="B71" s="79" t="s">
        <v>117</v>
      </c>
      <c r="C71" s="16"/>
      <c r="D71" s="96"/>
      <c r="E71" s="74"/>
      <c r="F71" s="13">
        <v>1</v>
      </c>
      <c r="G71" s="13">
        <v>27865.200000000001</v>
      </c>
      <c r="H71" s="97">
        <f>G71*F71/1000</f>
        <v>27.865200000000002</v>
      </c>
      <c r="I71" s="13">
        <v>0</v>
      </c>
    </row>
    <row r="72" spans="1:21" ht="16.5" hidden="1" customHeight="1">
      <c r="A72" s="29"/>
      <c r="B72" s="48" t="s">
        <v>70</v>
      </c>
      <c r="C72" s="48"/>
      <c r="D72" s="48"/>
      <c r="E72" s="18"/>
      <c r="F72" s="18"/>
      <c r="G72" s="29"/>
      <c r="H72" s="29"/>
      <c r="I72" s="18"/>
    </row>
    <row r="73" spans="1:21" ht="16.5" hidden="1" customHeight="1">
      <c r="A73" s="29">
        <v>18</v>
      </c>
      <c r="B73" s="96" t="s">
        <v>71</v>
      </c>
      <c r="C73" s="16" t="s">
        <v>73</v>
      </c>
      <c r="D73" s="96"/>
      <c r="E73" s="18">
        <v>10</v>
      </c>
      <c r="F73" s="13">
        <v>1</v>
      </c>
      <c r="G73" s="13">
        <v>501.62</v>
      </c>
      <c r="H73" s="97">
        <f t="shared" ref="H73:H77" si="7">SUM(F73*G73/1000)</f>
        <v>0.50161999999999995</v>
      </c>
      <c r="I73" s="13">
        <f>G73*0.1</f>
        <v>50.162000000000006</v>
      </c>
    </row>
    <row r="74" spans="1:21" ht="27.75" hidden="1" customHeight="1">
      <c r="A74" s="29"/>
      <c r="B74" s="96" t="s">
        <v>130</v>
      </c>
      <c r="C74" s="16" t="s">
        <v>31</v>
      </c>
      <c r="D74" s="96"/>
      <c r="E74" s="18">
        <v>1</v>
      </c>
      <c r="F74" s="13">
        <v>1</v>
      </c>
      <c r="G74" s="13">
        <v>99.85</v>
      </c>
      <c r="H74" s="97">
        <f>F74*G74/1000</f>
        <v>9.9849999999999994E-2</v>
      </c>
      <c r="I74" s="13">
        <v>0</v>
      </c>
    </row>
    <row r="75" spans="1:21" ht="20.25" hidden="1" customHeight="1">
      <c r="A75" s="29"/>
      <c r="B75" s="96" t="s">
        <v>131</v>
      </c>
      <c r="C75" s="16" t="s">
        <v>31</v>
      </c>
      <c r="D75" s="96"/>
      <c r="E75" s="18">
        <v>1</v>
      </c>
      <c r="F75" s="13">
        <v>1</v>
      </c>
      <c r="G75" s="13">
        <v>120.26</v>
      </c>
      <c r="H75" s="97">
        <f>F75*G75/1000</f>
        <v>0.12026000000000001</v>
      </c>
      <c r="I75" s="13">
        <v>0</v>
      </c>
    </row>
    <row r="76" spans="1:21" ht="24.75" hidden="1" customHeight="1">
      <c r="A76" s="29">
        <v>19</v>
      </c>
      <c r="B76" s="96" t="s">
        <v>72</v>
      </c>
      <c r="C76" s="16" t="s">
        <v>31</v>
      </c>
      <c r="D76" s="96"/>
      <c r="E76" s="18">
        <v>2</v>
      </c>
      <c r="F76" s="94">
        <v>2</v>
      </c>
      <c r="G76" s="13">
        <v>852.99</v>
      </c>
      <c r="H76" s="97">
        <f>F76*G76/1000</f>
        <v>1.7059800000000001</v>
      </c>
      <c r="I76" s="13">
        <f>G76</f>
        <v>852.99</v>
      </c>
    </row>
    <row r="77" spans="1:21" ht="25.5" hidden="1" customHeight="1">
      <c r="A77" s="29">
        <v>17</v>
      </c>
      <c r="B77" s="96" t="s">
        <v>82</v>
      </c>
      <c r="C77" s="16" t="s">
        <v>109</v>
      </c>
      <c r="D77" s="96"/>
      <c r="E77" s="18">
        <v>1</v>
      </c>
      <c r="F77" s="82">
        <f>SUM(E77)</f>
        <v>1</v>
      </c>
      <c r="G77" s="13">
        <v>358.51</v>
      </c>
      <c r="H77" s="97">
        <f t="shared" si="7"/>
        <v>0.35851</v>
      </c>
      <c r="I77" s="13">
        <v>0</v>
      </c>
    </row>
    <row r="78" spans="1:21" ht="20.25" hidden="1" customHeight="1">
      <c r="A78" s="29"/>
      <c r="B78" s="49" t="s">
        <v>74</v>
      </c>
      <c r="C78" s="38"/>
      <c r="D78" s="29"/>
      <c r="E78" s="18"/>
      <c r="F78" s="18"/>
      <c r="G78" s="36"/>
      <c r="H78" s="36"/>
      <c r="I78" s="18"/>
    </row>
    <row r="79" spans="1:21" ht="20.25" hidden="1" customHeight="1">
      <c r="A79" s="29">
        <v>39</v>
      </c>
      <c r="B79" s="51" t="s">
        <v>118</v>
      </c>
      <c r="C79" s="16" t="s">
        <v>75</v>
      </c>
      <c r="D79" s="96"/>
      <c r="E79" s="18"/>
      <c r="F79" s="13">
        <v>1.35</v>
      </c>
      <c r="G79" s="13">
        <v>2759.44</v>
      </c>
      <c r="H79" s="97">
        <f t="shared" ref="H79" si="8">SUM(F79*G79/1000)</f>
        <v>3.725244</v>
      </c>
      <c r="I79" s="13">
        <v>0</v>
      </c>
    </row>
    <row r="80" spans="1:21" ht="16.5" customHeight="1">
      <c r="A80" s="122"/>
      <c r="B80" s="119" t="s">
        <v>70</v>
      </c>
      <c r="C80" s="115"/>
      <c r="D80" s="116"/>
      <c r="E80" s="116"/>
      <c r="F80" s="116"/>
      <c r="G80" s="117"/>
      <c r="H80" s="117"/>
      <c r="I80" s="118"/>
    </row>
    <row r="81" spans="1:9" ht="18" hidden="1" customHeight="1">
      <c r="A81" s="122">
        <v>19</v>
      </c>
      <c r="B81" s="37" t="s">
        <v>71</v>
      </c>
      <c r="C81" s="120" t="s">
        <v>73</v>
      </c>
      <c r="D81" s="15"/>
      <c r="E81" s="15"/>
      <c r="F81" s="15"/>
      <c r="G81" s="121">
        <v>501.62</v>
      </c>
      <c r="H81" s="18"/>
      <c r="I81" s="18">
        <f>G81*0.2</f>
        <v>100.32400000000001</v>
      </c>
    </row>
    <row r="82" spans="1:9" ht="30" customHeight="1">
      <c r="A82" s="122">
        <v>15</v>
      </c>
      <c r="B82" s="37" t="s">
        <v>171</v>
      </c>
      <c r="C82" s="38" t="s">
        <v>109</v>
      </c>
      <c r="D82" s="37" t="s">
        <v>181</v>
      </c>
      <c r="E82" s="17">
        <v>1</v>
      </c>
      <c r="F82" s="36">
        <f>E82*12</f>
        <v>12</v>
      </c>
      <c r="G82" s="36">
        <v>55.55</v>
      </c>
      <c r="H82" s="13"/>
      <c r="I82" s="13">
        <f>G82*1</f>
        <v>55.55</v>
      </c>
    </row>
    <row r="83" spans="1:9" ht="15.75" customHeight="1">
      <c r="A83" s="222" t="s">
        <v>147</v>
      </c>
      <c r="B83" s="223"/>
      <c r="C83" s="223"/>
      <c r="D83" s="223"/>
      <c r="E83" s="223"/>
      <c r="F83" s="223"/>
      <c r="G83" s="223"/>
      <c r="H83" s="223"/>
      <c r="I83" s="224"/>
    </row>
    <row r="84" spans="1:9" ht="15.75" customHeight="1">
      <c r="A84" s="29">
        <v>16</v>
      </c>
      <c r="B84" s="32" t="s">
        <v>119</v>
      </c>
      <c r="C84" s="38" t="s">
        <v>53</v>
      </c>
      <c r="D84" s="62"/>
      <c r="E84" s="36">
        <v>5162.6000000000004</v>
      </c>
      <c r="F84" s="36">
        <f>SUM(E84*12)</f>
        <v>61951.200000000004</v>
      </c>
      <c r="G84" s="36">
        <v>3.22</v>
      </c>
      <c r="H84" s="99">
        <f>SUM(F84*G84/1000)</f>
        <v>199.48286400000003</v>
      </c>
      <c r="I84" s="13">
        <f>F84/12*G84</f>
        <v>16623.572000000004</v>
      </c>
    </row>
    <row r="85" spans="1:9" ht="31.5" customHeight="1">
      <c r="A85" s="29">
        <v>17</v>
      </c>
      <c r="B85" s="37" t="s">
        <v>172</v>
      </c>
      <c r="C85" s="109" t="s">
        <v>173</v>
      </c>
      <c r="D85" s="37"/>
      <c r="E85" s="17">
        <v>5162.6000000000004</v>
      </c>
      <c r="F85" s="36">
        <f>E85*12</f>
        <v>61951.200000000004</v>
      </c>
      <c r="G85" s="36">
        <v>3.64</v>
      </c>
      <c r="H85" s="97">
        <f>F85*G85/1000</f>
        <v>225.50236800000002</v>
      </c>
      <c r="I85" s="13">
        <f>F85/12*G85</f>
        <v>18791.864000000001</v>
      </c>
    </row>
    <row r="86" spans="1:9" ht="15.75" customHeight="1">
      <c r="A86" s="78"/>
      <c r="B86" s="39" t="s">
        <v>77</v>
      </c>
      <c r="C86" s="40"/>
      <c r="D86" s="15"/>
      <c r="E86" s="15"/>
      <c r="F86" s="15"/>
      <c r="G86" s="18"/>
      <c r="H86" s="18"/>
      <c r="I86" s="31">
        <f>I85+I84+I82+I69+I58+I44+I41+I39+I38+I37+I21+I20+I18+I17+I16+I60+I55</f>
        <v>88107.758793333327</v>
      </c>
    </row>
    <row r="87" spans="1:9" ht="15.75" customHeight="1">
      <c r="A87" s="225" t="s">
        <v>58</v>
      </c>
      <c r="B87" s="226"/>
      <c r="C87" s="226"/>
      <c r="D87" s="226"/>
      <c r="E87" s="226"/>
      <c r="F87" s="226"/>
      <c r="G87" s="226"/>
      <c r="H87" s="226"/>
      <c r="I87" s="227"/>
    </row>
    <row r="88" spans="1:9" ht="15.75" customHeight="1">
      <c r="A88" s="41">
        <v>18</v>
      </c>
      <c r="B88" s="63" t="s">
        <v>198</v>
      </c>
      <c r="C88" s="64" t="s">
        <v>39</v>
      </c>
      <c r="D88" s="34" t="s">
        <v>187</v>
      </c>
      <c r="E88" s="34"/>
      <c r="F88" s="33">
        <v>0.03</v>
      </c>
      <c r="G88" s="33">
        <v>28224.75</v>
      </c>
      <c r="H88" s="47"/>
      <c r="I88" s="189">
        <v>0</v>
      </c>
    </row>
    <row r="89" spans="1:9" ht="15.75" customHeight="1">
      <c r="A89" s="41">
        <v>19</v>
      </c>
      <c r="B89" s="63" t="s">
        <v>261</v>
      </c>
      <c r="C89" s="64" t="s">
        <v>26</v>
      </c>
      <c r="D89" s="34" t="s">
        <v>265</v>
      </c>
      <c r="E89" s="34"/>
      <c r="F89" s="192">
        <v>983</v>
      </c>
      <c r="G89" s="192">
        <v>17</v>
      </c>
      <c r="H89" s="47"/>
      <c r="I89" s="189">
        <f>G89*983</f>
        <v>16711</v>
      </c>
    </row>
    <row r="90" spans="1:9" ht="15.75" customHeight="1">
      <c r="A90" s="41">
        <v>20</v>
      </c>
      <c r="B90" s="63" t="s">
        <v>262</v>
      </c>
      <c r="C90" s="64" t="s">
        <v>209</v>
      </c>
      <c r="D90" s="34"/>
      <c r="E90" s="34"/>
      <c r="F90" s="192">
        <v>1</v>
      </c>
      <c r="G90" s="192">
        <v>1140</v>
      </c>
      <c r="H90" s="47"/>
      <c r="I90" s="189">
        <f>G90*1</f>
        <v>1140</v>
      </c>
    </row>
    <row r="91" spans="1:9" ht="29.25" customHeight="1">
      <c r="A91" s="29">
        <v>21</v>
      </c>
      <c r="B91" s="63" t="s">
        <v>201</v>
      </c>
      <c r="C91" s="64" t="s">
        <v>159</v>
      </c>
      <c r="D91" s="33" t="s">
        <v>263</v>
      </c>
      <c r="E91" s="34"/>
      <c r="F91" s="192">
        <v>3</v>
      </c>
      <c r="G91" s="192">
        <v>1584.54</v>
      </c>
      <c r="H91" s="47"/>
      <c r="I91" s="190">
        <f>G91*3</f>
        <v>4753.62</v>
      </c>
    </row>
    <row r="92" spans="1:9" ht="29.25" customHeight="1">
      <c r="A92" s="29">
        <v>22</v>
      </c>
      <c r="B92" s="63" t="s">
        <v>216</v>
      </c>
      <c r="C92" s="64" t="s">
        <v>159</v>
      </c>
      <c r="D92" s="33" t="s">
        <v>264</v>
      </c>
      <c r="E92" s="34"/>
      <c r="F92" s="192">
        <v>3</v>
      </c>
      <c r="G92" s="192">
        <v>1504.51</v>
      </c>
      <c r="H92" s="47"/>
      <c r="I92" s="190">
        <f>G92*3</f>
        <v>4513.53</v>
      </c>
    </row>
    <row r="93" spans="1:9" ht="29.25" customHeight="1">
      <c r="A93" s="29">
        <v>23</v>
      </c>
      <c r="B93" s="63" t="s">
        <v>269</v>
      </c>
      <c r="C93" s="64" t="s">
        <v>270</v>
      </c>
      <c r="D93" s="33" t="s">
        <v>271</v>
      </c>
      <c r="E93" s="34"/>
      <c r="F93" s="192">
        <v>4</v>
      </c>
      <c r="G93" s="192">
        <v>1007.9</v>
      </c>
      <c r="H93" s="97"/>
      <c r="I93" s="114">
        <f>G93*4</f>
        <v>4031.6</v>
      </c>
    </row>
    <row r="94" spans="1:9" ht="16.5" customHeight="1">
      <c r="A94" s="29">
        <v>24</v>
      </c>
      <c r="B94" s="63" t="s">
        <v>272</v>
      </c>
      <c r="C94" s="64" t="s">
        <v>273</v>
      </c>
      <c r="D94" s="34" t="s">
        <v>274</v>
      </c>
      <c r="E94" s="34"/>
      <c r="F94" s="192">
        <v>1</v>
      </c>
      <c r="G94" s="192">
        <v>672.88</v>
      </c>
      <c r="H94" s="97"/>
      <c r="I94" s="114">
        <f>G94*1</f>
        <v>672.88</v>
      </c>
    </row>
    <row r="95" spans="1:9" ht="16.5" customHeight="1">
      <c r="A95" s="29">
        <v>25</v>
      </c>
      <c r="B95" s="63" t="s">
        <v>140</v>
      </c>
      <c r="C95" s="64" t="s">
        <v>79</v>
      </c>
      <c r="D95" s="34" t="s">
        <v>292</v>
      </c>
      <c r="E95" s="34"/>
      <c r="F95" s="192">
        <v>3</v>
      </c>
      <c r="G95" s="192">
        <v>231.54</v>
      </c>
      <c r="H95" s="97"/>
      <c r="I95" s="114">
        <f>G95*1</f>
        <v>231.54</v>
      </c>
    </row>
    <row r="96" spans="1:9" ht="16.5" customHeight="1">
      <c r="A96" s="29">
        <v>26</v>
      </c>
      <c r="B96" s="63" t="s">
        <v>208</v>
      </c>
      <c r="C96" s="64" t="s">
        <v>313</v>
      </c>
      <c r="D96" s="34" t="s">
        <v>315</v>
      </c>
      <c r="E96" s="34"/>
      <c r="F96" s="192">
        <v>16</v>
      </c>
      <c r="G96" s="192">
        <v>404.52</v>
      </c>
      <c r="H96" s="97"/>
      <c r="I96" s="114">
        <f>G96*16</f>
        <v>6472.32</v>
      </c>
    </row>
    <row r="97" spans="1:9" ht="15.75" customHeight="1">
      <c r="A97" s="29"/>
      <c r="B97" s="45" t="s">
        <v>50</v>
      </c>
      <c r="C97" s="41"/>
      <c r="D97" s="53"/>
      <c r="E97" s="41">
        <v>1</v>
      </c>
      <c r="F97" s="41"/>
      <c r="G97" s="41"/>
      <c r="H97" s="41"/>
      <c r="I97" s="31">
        <f>SUM(I88:I96)</f>
        <v>38526.49</v>
      </c>
    </row>
    <row r="98" spans="1:9" ht="15.75" customHeight="1">
      <c r="A98" s="29"/>
      <c r="B98" s="51" t="s">
        <v>76</v>
      </c>
      <c r="C98" s="15"/>
      <c r="D98" s="15"/>
      <c r="E98" s="42"/>
      <c r="F98" s="42"/>
      <c r="G98" s="43"/>
      <c r="H98" s="43"/>
      <c r="I98" s="17">
        <v>0</v>
      </c>
    </row>
    <row r="99" spans="1:9" ht="15.75" customHeight="1">
      <c r="A99" s="54"/>
      <c r="B99" s="46" t="s">
        <v>141</v>
      </c>
      <c r="C99" s="34"/>
      <c r="D99" s="34"/>
      <c r="E99" s="34"/>
      <c r="F99" s="34"/>
      <c r="G99" s="34"/>
      <c r="H99" s="34"/>
      <c r="I99" s="44">
        <f>I86+I97</f>
        <v>126634.24879333333</v>
      </c>
    </row>
    <row r="100" spans="1:9" ht="15.75">
      <c r="A100" s="219" t="s">
        <v>316</v>
      </c>
      <c r="B100" s="219"/>
      <c r="C100" s="219"/>
      <c r="D100" s="219"/>
      <c r="E100" s="219"/>
      <c r="F100" s="219"/>
      <c r="G100" s="219"/>
      <c r="H100" s="219"/>
      <c r="I100" s="219"/>
    </row>
    <row r="101" spans="1:9" ht="15.75">
      <c r="A101" s="60"/>
      <c r="B101" s="220" t="s">
        <v>317</v>
      </c>
      <c r="C101" s="220"/>
      <c r="D101" s="220"/>
      <c r="E101" s="220"/>
      <c r="F101" s="220"/>
      <c r="G101" s="220"/>
      <c r="H101" s="77"/>
      <c r="I101" s="3"/>
    </row>
    <row r="102" spans="1:9">
      <c r="A102" s="71"/>
      <c r="B102" s="218" t="s">
        <v>6</v>
      </c>
      <c r="C102" s="218"/>
      <c r="D102" s="218"/>
      <c r="E102" s="218"/>
      <c r="F102" s="218"/>
      <c r="G102" s="218"/>
      <c r="H102" s="24"/>
      <c r="I102" s="5"/>
    </row>
    <row r="103" spans="1:9">
      <c r="A103" s="10"/>
      <c r="B103" s="10"/>
      <c r="C103" s="10"/>
      <c r="D103" s="10"/>
      <c r="E103" s="10"/>
      <c r="F103" s="10"/>
      <c r="G103" s="10"/>
      <c r="H103" s="10"/>
      <c r="I103" s="10"/>
    </row>
    <row r="104" spans="1:9" ht="15.75">
      <c r="A104" s="221" t="s">
        <v>7</v>
      </c>
      <c r="B104" s="221"/>
      <c r="C104" s="221"/>
      <c r="D104" s="221"/>
      <c r="E104" s="221"/>
      <c r="F104" s="221"/>
      <c r="G104" s="221"/>
      <c r="H104" s="221"/>
      <c r="I104" s="221"/>
    </row>
    <row r="105" spans="1:9" ht="15.75">
      <c r="A105" s="221" t="s">
        <v>8</v>
      </c>
      <c r="B105" s="221"/>
      <c r="C105" s="221"/>
      <c r="D105" s="221"/>
      <c r="E105" s="221"/>
      <c r="F105" s="221"/>
      <c r="G105" s="221"/>
      <c r="H105" s="221"/>
      <c r="I105" s="221"/>
    </row>
    <row r="106" spans="1:9" ht="15.75">
      <c r="A106" s="215" t="s">
        <v>59</v>
      </c>
      <c r="B106" s="215"/>
      <c r="C106" s="215"/>
      <c r="D106" s="215"/>
      <c r="E106" s="215"/>
      <c r="F106" s="215"/>
      <c r="G106" s="215"/>
      <c r="H106" s="215"/>
      <c r="I106" s="215"/>
    </row>
    <row r="107" spans="1:9" ht="15.75">
      <c r="A107" s="11"/>
    </row>
    <row r="108" spans="1:9" ht="15.75">
      <c r="A108" s="216" t="s">
        <v>9</v>
      </c>
      <c r="B108" s="216"/>
      <c r="C108" s="216"/>
      <c r="D108" s="216"/>
      <c r="E108" s="216"/>
      <c r="F108" s="216"/>
      <c r="G108" s="216"/>
      <c r="H108" s="216"/>
      <c r="I108" s="216"/>
    </row>
    <row r="109" spans="1:9" ht="15.75">
      <c r="A109" s="4"/>
    </row>
    <row r="110" spans="1:9" ht="15.75">
      <c r="B110" s="69" t="s">
        <v>10</v>
      </c>
      <c r="C110" s="217" t="s">
        <v>219</v>
      </c>
      <c r="D110" s="217"/>
      <c r="E110" s="217"/>
      <c r="F110" s="75"/>
      <c r="I110" s="70"/>
    </row>
    <row r="111" spans="1:9">
      <c r="A111" s="71"/>
      <c r="C111" s="218" t="s">
        <v>11</v>
      </c>
      <c r="D111" s="218"/>
      <c r="E111" s="218"/>
      <c r="F111" s="24"/>
      <c r="I111" s="68" t="s">
        <v>12</v>
      </c>
    </row>
    <row r="112" spans="1:9" ht="15.75">
      <c r="A112" s="25"/>
      <c r="C112" s="12"/>
      <c r="D112" s="12"/>
      <c r="G112" s="12"/>
      <c r="H112" s="12"/>
    </row>
    <row r="113" spans="1:9" ht="15.75">
      <c r="B113" s="69" t="s">
        <v>13</v>
      </c>
      <c r="C113" s="212"/>
      <c r="D113" s="212"/>
      <c r="E113" s="212"/>
      <c r="F113" s="76"/>
      <c r="I113" s="70"/>
    </row>
    <row r="114" spans="1:9">
      <c r="A114" s="71"/>
      <c r="C114" s="213" t="s">
        <v>11</v>
      </c>
      <c r="D114" s="213"/>
      <c r="E114" s="213"/>
      <c r="F114" s="71"/>
      <c r="I114" s="68" t="s">
        <v>12</v>
      </c>
    </row>
    <row r="115" spans="1:9" ht="15.75">
      <c r="A115" s="4" t="s">
        <v>14</v>
      </c>
    </row>
    <row r="116" spans="1:9">
      <c r="A116" s="214" t="s">
        <v>15</v>
      </c>
      <c r="B116" s="214"/>
      <c r="C116" s="214"/>
      <c r="D116" s="214"/>
      <c r="E116" s="214"/>
      <c r="F116" s="214"/>
      <c r="G116" s="214"/>
      <c r="H116" s="214"/>
      <c r="I116" s="214"/>
    </row>
    <row r="117" spans="1:9" ht="45" customHeight="1">
      <c r="A117" s="211" t="s">
        <v>16</v>
      </c>
      <c r="B117" s="211"/>
      <c r="C117" s="211"/>
      <c r="D117" s="211"/>
      <c r="E117" s="211"/>
      <c r="F117" s="211"/>
      <c r="G117" s="211"/>
      <c r="H117" s="211"/>
      <c r="I117" s="211"/>
    </row>
    <row r="118" spans="1:9" ht="30" customHeight="1">
      <c r="A118" s="211" t="s">
        <v>17</v>
      </c>
      <c r="B118" s="211"/>
      <c r="C118" s="211"/>
      <c r="D118" s="211"/>
      <c r="E118" s="211"/>
      <c r="F118" s="211"/>
      <c r="G118" s="211"/>
      <c r="H118" s="211"/>
      <c r="I118" s="211"/>
    </row>
    <row r="119" spans="1:9" ht="30" customHeight="1">
      <c r="A119" s="211" t="s">
        <v>21</v>
      </c>
      <c r="B119" s="211"/>
      <c r="C119" s="211"/>
      <c r="D119" s="211"/>
      <c r="E119" s="211"/>
      <c r="F119" s="211"/>
      <c r="G119" s="211"/>
      <c r="H119" s="211"/>
      <c r="I119" s="211"/>
    </row>
    <row r="120" spans="1:9" ht="15" customHeight="1">
      <c r="A120" s="211" t="s">
        <v>20</v>
      </c>
      <c r="B120" s="211"/>
      <c r="C120" s="211"/>
      <c r="D120" s="211"/>
      <c r="E120" s="211"/>
      <c r="F120" s="211"/>
      <c r="G120" s="211"/>
      <c r="H120" s="211"/>
      <c r="I120" s="211"/>
    </row>
  </sheetData>
  <autoFilter ref="I12:I61"/>
  <mergeCells count="29">
    <mergeCell ref="A14:I14"/>
    <mergeCell ref="A15:I15"/>
    <mergeCell ref="A28:I28"/>
    <mergeCell ref="A50:I50"/>
    <mergeCell ref="A3:I3"/>
    <mergeCell ref="A4:I4"/>
    <mergeCell ref="A5:I5"/>
    <mergeCell ref="A8:I8"/>
    <mergeCell ref="A10:I10"/>
    <mergeCell ref="A46:I46"/>
    <mergeCell ref="R66:U66"/>
    <mergeCell ref="C114:E114"/>
    <mergeCell ref="A87:I87"/>
    <mergeCell ref="A100:I100"/>
    <mergeCell ref="B101:G101"/>
    <mergeCell ref="B102:G102"/>
    <mergeCell ref="A104:I104"/>
    <mergeCell ref="A105:I105"/>
    <mergeCell ref="A106:I106"/>
    <mergeCell ref="A108:I108"/>
    <mergeCell ref="C110:E110"/>
    <mergeCell ref="C111:E111"/>
    <mergeCell ref="C113:E113"/>
    <mergeCell ref="A83:I83"/>
    <mergeCell ref="A116:I116"/>
    <mergeCell ref="A117:I117"/>
    <mergeCell ref="A118:I118"/>
    <mergeCell ref="A119:I119"/>
    <mergeCell ref="A120:I12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18"/>
  <sheetViews>
    <sheetView topLeftCell="A48" workbookViewId="0">
      <selection activeCell="G112" sqref="G112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158</v>
      </c>
      <c r="I1" s="26"/>
      <c r="J1" s="1"/>
      <c r="K1" s="1"/>
      <c r="L1" s="1"/>
      <c r="M1" s="1"/>
    </row>
    <row r="2" spans="1:13" ht="15.75" customHeight="1">
      <c r="A2" s="28" t="s">
        <v>60</v>
      </c>
      <c r="J2" s="2"/>
      <c r="K2" s="2"/>
      <c r="L2" s="2"/>
      <c r="M2" s="2"/>
    </row>
    <row r="3" spans="1:13" ht="15.75" customHeight="1">
      <c r="A3" s="228" t="s">
        <v>150</v>
      </c>
      <c r="B3" s="228"/>
      <c r="C3" s="228"/>
      <c r="D3" s="228"/>
      <c r="E3" s="228"/>
      <c r="F3" s="228"/>
      <c r="G3" s="228"/>
      <c r="H3" s="228"/>
      <c r="I3" s="228"/>
      <c r="J3" s="3"/>
      <c r="K3" s="3"/>
      <c r="L3" s="3"/>
    </row>
    <row r="4" spans="1:13" ht="31.5" customHeight="1">
      <c r="A4" s="229" t="s">
        <v>120</v>
      </c>
      <c r="B4" s="229"/>
      <c r="C4" s="229"/>
      <c r="D4" s="229"/>
      <c r="E4" s="229"/>
      <c r="F4" s="229"/>
      <c r="G4" s="229"/>
      <c r="H4" s="229"/>
      <c r="I4" s="229"/>
    </row>
    <row r="5" spans="1:13" ht="15.75" customHeight="1">
      <c r="A5" s="228" t="s">
        <v>275</v>
      </c>
      <c r="B5" s="232"/>
      <c r="C5" s="232"/>
      <c r="D5" s="232"/>
      <c r="E5" s="232"/>
      <c r="F5" s="232"/>
      <c r="G5" s="232"/>
      <c r="H5" s="232"/>
      <c r="I5" s="232"/>
      <c r="J5" s="2"/>
      <c r="K5" s="2"/>
      <c r="L5" s="2"/>
      <c r="M5" s="2"/>
    </row>
    <row r="6" spans="1:13" ht="15.75" customHeight="1">
      <c r="A6" s="2"/>
      <c r="B6" s="72"/>
      <c r="C6" s="72"/>
      <c r="D6" s="72"/>
      <c r="E6" s="72"/>
      <c r="F6" s="72"/>
      <c r="G6" s="72"/>
      <c r="H6" s="72"/>
      <c r="I6" s="30">
        <v>44347</v>
      </c>
      <c r="J6" s="2"/>
      <c r="K6" s="2"/>
      <c r="L6" s="2"/>
      <c r="M6" s="2"/>
    </row>
    <row r="7" spans="1:13" ht="15.75" customHeight="1">
      <c r="B7" s="69"/>
      <c r="C7" s="69"/>
      <c r="D7" s="69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30" t="s">
        <v>224</v>
      </c>
      <c r="B8" s="230"/>
      <c r="C8" s="230"/>
      <c r="D8" s="230"/>
      <c r="E8" s="230"/>
      <c r="F8" s="230"/>
      <c r="G8" s="230"/>
      <c r="H8" s="230"/>
      <c r="I8" s="230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31" t="s">
        <v>133</v>
      </c>
      <c r="B10" s="231"/>
      <c r="C10" s="231"/>
      <c r="D10" s="231"/>
      <c r="E10" s="231"/>
      <c r="F10" s="231"/>
      <c r="G10" s="231"/>
      <c r="H10" s="231"/>
      <c r="I10" s="231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33" t="s">
        <v>57</v>
      </c>
      <c r="B14" s="233"/>
      <c r="C14" s="233"/>
      <c r="D14" s="233"/>
      <c r="E14" s="233"/>
      <c r="F14" s="233"/>
      <c r="G14" s="233"/>
      <c r="H14" s="233"/>
      <c r="I14" s="233"/>
      <c r="J14" s="8"/>
      <c r="K14" s="8"/>
      <c r="L14" s="8"/>
      <c r="M14" s="8"/>
    </row>
    <row r="15" spans="1:13" ht="15.75" customHeight="1">
      <c r="A15" s="234" t="s">
        <v>4</v>
      </c>
      <c r="B15" s="234"/>
      <c r="C15" s="234"/>
      <c r="D15" s="234"/>
      <c r="E15" s="234"/>
      <c r="F15" s="234"/>
      <c r="G15" s="234"/>
      <c r="H15" s="234"/>
      <c r="I15" s="234"/>
      <c r="J15" s="8"/>
      <c r="K15" s="8"/>
      <c r="L15" s="8"/>
      <c r="M15" s="8"/>
    </row>
    <row r="16" spans="1:13" ht="15.75" customHeight="1">
      <c r="A16" s="29">
        <v>1</v>
      </c>
      <c r="B16" s="32" t="s">
        <v>81</v>
      </c>
      <c r="C16" s="133" t="s">
        <v>87</v>
      </c>
      <c r="D16" s="32" t="s">
        <v>178</v>
      </c>
      <c r="E16" s="146">
        <v>129.88</v>
      </c>
      <c r="F16" s="134">
        <f>SUM(E16*156/100)</f>
        <v>202.61279999999999</v>
      </c>
      <c r="G16" s="134">
        <v>239.2</v>
      </c>
      <c r="H16" s="83">
        <f t="shared" ref="H16:H26" si="0">SUM(F16*G16/1000)</f>
        <v>48.464981759999993</v>
      </c>
      <c r="I16" s="13">
        <f>F16/12*G16</f>
        <v>4038.7484799999997</v>
      </c>
      <c r="J16" s="8"/>
      <c r="K16" s="8"/>
      <c r="L16" s="8"/>
      <c r="M16" s="8"/>
    </row>
    <row r="17" spans="1:13" ht="15.75" customHeight="1">
      <c r="A17" s="29">
        <v>2</v>
      </c>
      <c r="B17" s="32" t="s">
        <v>83</v>
      </c>
      <c r="C17" s="133" t="s">
        <v>87</v>
      </c>
      <c r="D17" s="32" t="s">
        <v>179</v>
      </c>
      <c r="E17" s="146">
        <v>519.52</v>
      </c>
      <c r="F17" s="134">
        <f>SUM(E17*104/100)</f>
        <v>540.30079999999998</v>
      </c>
      <c r="G17" s="134">
        <v>239.2</v>
      </c>
      <c r="H17" s="83">
        <f t="shared" si="0"/>
        <v>129.23995135999999</v>
      </c>
      <c r="I17" s="13">
        <f>F17/12*G17</f>
        <v>10769.995946666666</v>
      </c>
      <c r="J17" s="22"/>
      <c r="K17" s="8"/>
      <c r="L17" s="8"/>
      <c r="M17" s="8"/>
    </row>
    <row r="18" spans="1:13" ht="15.75" customHeight="1">
      <c r="A18" s="29">
        <v>3</v>
      </c>
      <c r="B18" s="32" t="s">
        <v>84</v>
      </c>
      <c r="C18" s="133" t="s">
        <v>87</v>
      </c>
      <c r="D18" s="32" t="s">
        <v>180</v>
      </c>
      <c r="E18" s="146">
        <f>SUM(E16+E17)</f>
        <v>649.4</v>
      </c>
      <c r="F18" s="134">
        <f>SUM(E18*18/100)</f>
        <v>116.892</v>
      </c>
      <c r="G18" s="134">
        <v>688.14</v>
      </c>
      <c r="H18" s="83">
        <f t="shared" si="0"/>
        <v>80.438060879999995</v>
      </c>
      <c r="I18" s="13">
        <f>F18/18*G18*2</f>
        <v>8937.5623199999991</v>
      </c>
      <c r="J18" s="22"/>
      <c r="K18" s="8"/>
      <c r="L18" s="8"/>
      <c r="M18" s="8"/>
    </row>
    <row r="19" spans="1:13" ht="15.75" hidden="1" customHeight="1">
      <c r="A19" s="29">
        <v>4</v>
      </c>
      <c r="B19" s="32" t="s">
        <v>88</v>
      </c>
      <c r="C19" s="133" t="s">
        <v>89</v>
      </c>
      <c r="D19" s="32" t="s">
        <v>90</v>
      </c>
      <c r="E19" s="146">
        <v>124.8</v>
      </c>
      <c r="F19" s="134">
        <f>SUM(E19/10)</f>
        <v>12.48</v>
      </c>
      <c r="G19" s="134">
        <v>232.1</v>
      </c>
      <c r="H19" s="83">
        <f t="shared" si="0"/>
        <v>2.8966080000000001</v>
      </c>
      <c r="I19" s="13">
        <v>0</v>
      </c>
      <c r="J19" s="22"/>
      <c r="K19" s="8"/>
      <c r="L19" s="8"/>
      <c r="M19" s="8"/>
    </row>
    <row r="20" spans="1:13" ht="15.75" customHeight="1">
      <c r="A20" s="29">
        <v>4</v>
      </c>
      <c r="B20" s="32" t="s">
        <v>93</v>
      </c>
      <c r="C20" s="133" t="s">
        <v>87</v>
      </c>
      <c r="D20" s="32" t="s">
        <v>181</v>
      </c>
      <c r="E20" s="146">
        <v>57.5</v>
      </c>
      <c r="F20" s="134">
        <f>SUM(E20*12/100)</f>
        <v>6.9</v>
      </c>
      <c r="G20" s="134">
        <v>297.19</v>
      </c>
      <c r="H20" s="83">
        <f t="shared" si="0"/>
        <v>2.050611</v>
      </c>
      <c r="I20" s="13">
        <f>G20*F20/12</f>
        <v>170.88424999999998</v>
      </c>
      <c r="J20" s="22"/>
      <c r="K20" s="8"/>
      <c r="L20" s="8"/>
      <c r="M20" s="8"/>
    </row>
    <row r="21" spans="1:13" ht="15.75" customHeight="1">
      <c r="A21" s="29">
        <v>5</v>
      </c>
      <c r="B21" s="32" t="s">
        <v>94</v>
      </c>
      <c r="C21" s="133" t="s">
        <v>87</v>
      </c>
      <c r="D21" s="32" t="s">
        <v>181</v>
      </c>
      <c r="E21" s="146">
        <v>13.41</v>
      </c>
      <c r="F21" s="134">
        <f>SUM(E21*12/100)</f>
        <v>1.6092000000000002</v>
      </c>
      <c r="G21" s="134">
        <v>294.77999999999997</v>
      </c>
      <c r="H21" s="83">
        <f t="shared" si="0"/>
        <v>0.47435997600000002</v>
      </c>
      <c r="I21" s="13">
        <f>G21*F21/12</f>
        <v>39.529997999999999</v>
      </c>
      <c r="J21" s="22"/>
      <c r="K21" s="8"/>
      <c r="L21" s="8"/>
      <c r="M21" s="8"/>
    </row>
    <row r="22" spans="1:13" ht="15.75" hidden="1" customHeight="1">
      <c r="A22" s="29">
        <v>7</v>
      </c>
      <c r="B22" s="32" t="s">
        <v>95</v>
      </c>
      <c r="C22" s="133" t="s">
        <v>51</v>
      </c>
      <c r="D22" s="32" t="s">
        <v>90</v>
      </c>
      <c r="E22" s="146">
        <v>820.5</v>
      </c>
      <c r="F22" s="134">
        <f>SUM(E22/100)</f>
        <v>8.2050000000000001</v>
      </c>
      <c r="G22" s="134">
        <v>367.27</v>
      </c>
      <c r="H22" s="83">
        <f t="shared" si="0"/>
        <v>3.0134503500000003</v>
      </c>
      <c r="I22" s="13">
        <v>0</v>
      </c>
      <c r="J22" s="22"/>
      <c r="K22" s="8"/>
      <c r="L22" s="8"/>
      <c r="M22" s="8"/>
    </row>
    <row r="23" spans="1:13" ht="15.75" hidden="1" customHeight="1">
      <c r="A23" s="29">
        <v>8</v>
      </c>
      <c r="B23" s="32" t="s">
        <v>96</v>
      </c>
      <c r="C23" s="133" t="s">
        <v>51</v>
      </c>
      <c r="D23" s="32" t="s">
        <v>90</v>
      </c>
      <c r="E23" s="153">
        <v>60.25</v>
      </c>
      <c r="F23" s="134">
        <f>SUM(E23/100)</f>
        <v>0.60250000000000004</v>
      </c>
      <c r="G23" s="134">
        <v>60.41</v>
      </c>
      <c r="H23" s="83">
        <f t="shared" si="0"/>
        <v>3.6397025E-2</v>
      </c>
      <c r="I23" s="13">
        <v>0</v>
      </c>
      <c r="J23" s="22"/>
      <c r="K23" s="8"/>
      <c r="L23" s="8"/>
      <c r="M23" s="8"/>
    </row>
    <row r="24" spans="1:13" ht="15.75" hidden="1" customHeight="1">
      <c r="A24" s="29">
        <v>9</v>
      </c>
      <c r="B24" s="32" t="s">
        <v>91</v>
      </c>
      <c r="C24" s="133" t="s">
        <v>51</v>
      </c>
      <c r="D24" s="32" t="s">
        <v>92</v>
      </c>
      <c r="E24" s="146">
        <v>19.149999999999999</v>
      </c>
      <c r="F24" s="134">
        <f>E24/100</f>
        <v>0.19149999999999998</v>
      </c>
      <c r="G24" s="134">
        <v>531.55999999999995</v>
      </c>
      <c r="H24" s="83">
        <f t="shared" si="0"/>
        <v>0.10179373999999997</v>
      </c>
      <c r="I24" s="13">
        <v>0</v>
      </c>
      <c r="J24" s="22"/>
      <c r="K24" s="8"/>
      <c r="L24" s="8"/>
      <c r="M24" s="8"/>
    </row>
    <row r="25" spans="1:13" ht="15.75" hidden="1" customHeight="1">
      <c r="A25" s="29">
        <v>10</v>
      </c>
      <c r="B25" s="32" t="s">
        <v>98</v>
      </c>
      <c r="C25" s="133" t="s">
        <v>51</v>
      </c>
      <c r="D25" s="32" t="s">
        <v>52</v>
      </c>
      <c r="E25" s="146">
        <v>31.5</v>
      </c>
      <c r="F25" s="134">
        <v>0.32</v>
      </c>
      <c r="G25" s="134">
        <v>294.77999999999997</v>
      </c>
      <c r="H25" s="83">
        <f t="shared" si="0"/>
        <v>9.43296E-2</v>
      </c>
      <c r="I25" s="13">
        <v>0</v>
      </c>
      <c r="J25" s="22"/>
      <c r="K25" s="8"/>
      <c r="L25" s="8"/>
      <c r="M25" s="8"/>
    </row>
    <row r="26" spans="1:13" ht="15.75" hidden="1" customHeight="1">
      <c r="A26" s="29">
        <v>11</v>
      </c>
      <c r="B26" s="32" t="s">
        <v>97</v>
      </c>
      <c r="C26" s="133" t="s">
        <v>51</v>
      </c>
      <c r="D26" s="32" t="s">
        <v>90</v>
      </c>
      <c r="E26" s="146">
        <v>37.5</v>
      </c>
      <c r="F26" s="134">
        <f>SUM(E26/100)</f>
        <v>0.375</v>
      </c>
      <c r="G26" s="134">
        <v>710.37</v>
      </c>
      <c r="H26" s="83">
        <f t="shared" si="0"/>
        <v>0.26638875000000001</v>
      </c>
      <c r="I26" s="13">
        <v>0</v>
      </c>
      <c r="J26" s="22"/>
      <c r="K26" s="8"/>
      <c r="L26" s="8"/>
      <c r="M26" s="8"/>
    </row>
    <row r="27" spans="1:13" ht="15.75" hidden="1" customHeight="1">
      <c r="A27" s="29">
        <v>6</v>
      </c>
      <c r="B27" s="32" t="s">
        <v>177</v>
      </c>
      <c r="C27" s="133" t="s">
        <v>26</v>
      </c>
      <c r="D27" s="32" t="s">
        <v>182</v>
      </c>
      <c r="E27" s="169">
        <v>4.88</v>
      </c>
      <c r="F27" s="134">
        <f>E27*258</f>
        <v>1259.04</v>
      </c>
      <c r="G27" s="134">
        <v>10.39</v>
      </c>
      <c r="H27" s="83">
        <f t="shared" ref="H27" si="1">SUM(F27*G27/1000)</f>
        <v>13.081425600000001</v>
      </c>
      <c r="I27" s="13">
        <f>F27/12*G27</f>
        <v>1090.1188</v>
      </c>
      <c r="J27" s="22"/>
      <c r="K27" s="8"/>
      <c r="L27" s="8"/>
      <c r="M27" s="8"/>
    </row>
    <row r="28" spans="1:13" ht="15.75" customHeight="1">
      <c r="A28" s="234" t="s">
        <v>80</v>
      </c>
      <c r="B28" s="234"/>
      <c r="C28" s="234"/>
      <c r="D28" s="234"/>
      <c r="E28" s="234"/>
      <c r="F28" s="234"/>
      <c r="G28" s="234"/>
      <c r="H28" s="234"/>
      <c r="I28" s="234"/>
      <c r="J28" s="22"/>
      <c r="K28" s="8"/>
      <c r="L28" s="8"/>
      <c r="M28" s="8"/>
    </row>
    <row r="29" spans="1:13" ht="15.75" customHeight="1">
      <c r="A29" s="40"/>
      <c r="B29" s="50" t="s">
        <v>29</v>
      </c>
      <c r="C29" s="50"/>
      <c r="D29" s="50"/>
      <c r="E29" s="50"/>
      <c r="F29" s="50"/>
      <c r="G29" s="50"/>
      <c r="H29" s="50"/>
      <c r="I29" s="18"/>
      <c r="J29" s="22"/>
      <c r="K29" s="8"/>
      <c r="L29" s="8"/>
      <c r="M29" s="8"/>
    </row>
    <row r="30" spans="1:13" ht="15.75" customHeight="1">
      <c r="A30" s="40">
        <v>6</v>
      </c>
      <c r="B30" s="32" t="s">
        <v>99</v>
      </c>
      <c r="C30" s="133" t="s">
        <v>100</v>
      </c>
      <c r="D30" s="32" t="s">
        <v>179</v>
      </c>
      <c r="E30" s="134">
        <v>1304.45</v>
      </c>
      <c r="F30" s="134">
        <f>SUM(E30*52/1000)</f>
        <v>67.831400000000002</v>
      </c>
      <c r="G30" s="134">
        <v>212.62</v>
      </c>
      <c r="H30" s="83">
        <f t="shared" ref="H30:H34" si="2">SUM(F30*G30/1000)</f>
        <v>14.422312268000001</v>
      </c>
      <c r="I30" s="13">
        <f>F30/6*G30</f>
        <v>2403.7187113333334</v>
      </c>
      <c r="J30" s="22"/>
      <c r="K30" s="8"/>
      <c r="L30" s="8"/>
      <c r="M30" s="8"/>
    </row>
    <row r="31" spans="1:13" ht="31.5" customHeight="1">
      <c r="A31" s="40">
        <v>7</v>
      </c>
      <c r="B31" s="32" t="s">
        <v>137</v>
      </c>
      <c r="C31" s="133" t="s">
        <v>100</v>
      </c>
      <c r="D31" s="32" t="s">
        <v>179</v>
      </c>
      <c r="E31" s="134">
        <v>287.83999999999997</v>
      </c>
      <c r="F31" s="134">
        <f>SUM(E31*52/1000)</f>
        <v>14.967679999999998</v>
      </c>
      <c r="G31" s="134">
        <v>352.77</v>
      </c>
      <c r="H31" s="83">
        <f t="shared" si="2"/>
        <v>5.2801484735999997</v>
      </c>
      <c r="I31" s="13">
        <f t="shared" ref="I31" si="3">F31/6*G31</f>
        <v>880.02474559999985</v>
      </c>
      <c r="J31" s="22"/>
      <c r="K31" s="8"/>
      <c r="L31" s="8"/>
      <c r="M31" s="8"/>
    </row>
    <row r="32" spans="1:13" ht="15.75" customHeight="1">
      <c r="A32" s="40">
        <v>8</v>
      </c>
      <c r="B32" s="32" t="s">
        <v>28</v>
      </c>
      <c r="C32" s="133" t="s">
        <v>100</v>
      </c>
      <c r="D32" s="32" t="s">
        <v>181</v>
      </c>
      <c r="E32" s="134">
        <v>1304.45</v>
      </c>
      <c r="F32" s="134">
        <f>SUM(E32/1000)</f>
        <v>1.3044500000000001</v>
      </c>
      <c r="G32" s="134">
        <v>4119.68</v>
      </c>
      <c r="H32" s="83">
        <f t="shared" si="2"/>
        <v>5.3739165760000009</v>
      </c>
      <c r="I32" s="13">
        <f>F32*G32</f>
        <v>5373.9165760000005</v>
      </c>
      <c r="J32" s="22"/>
      <c r="K32" s="8"/>
      <c r="L32" s="8"/>
      <c r="M32" s="8"/>
    </row>
    <row r="33" spans="1:14" ht="15.75" hidden="1" customHeight="1">
      <c r="A33" s="40">
        <v>4</v>
      </c>
      <c r="B33" s="79" t="s">
        <v>63</v>
      </c>
      <c r="C33" s="80" t="s">
        <v>33</v>
      </c>
      <c r="D33" s="79" t="s">
        <v>65</v>
      </c>
      <c r="E33" s="81"/>
      <c r="F33" s="82">
        <v>3</v>
      </c>
      <c r="G33" s="82">
        <v>191.32</v>
      </c>
      <c r="H33" s="83">
        <f t="shared" si="2"/>
        <v>0.57396000000000003</v>
      </c>
      <c r="I33" s="13">
        <v>0</v>
      </c>
      <c r="J33" s="23"/>
    </row>
    <row r="34" spans="1:14" ht="15.75" hidden="1" customHeight="1">
      <c r="A34" s="29">
        <v>8</v>
      </c>
      <c r="B34" s="79" t="s">
        <v>64</v>
      </c>
      <c r="C34" s="80" t="s">
        <v>32</v>
      </c>
      <c r="D34" s="79" t="s">
        <v>65</v>
      </c>
      <c r="E34" s="81"/>
      <c r="F34" s="82">
        <v>2</v>
      </c>
      <c r="G34" s="82">
        <v>1136.32</v>
      </c>
      <c r="H34" s="83">
        <f t="shared" si="2"/>
        <v>2.27264</v>
      </c>
      <c r="I34" s="13">
        <v>0</v>
      </c>
      <c r="J34" s="23"/>
    </row>
    <row r="35" spans="1:14" ht="15.75" hidden="1" customHeight="1">
      <c r="A35" s="40"/>
      <c r="B35" s="48" t="s">
        <v>5</v>
      </c>
      <c r="C35" s="48"/>
      <c r="D35" s="48"/>
      <c r="E35" s="13"/>
      <c r="F35" s="13"/>
      <c r="G35" s="14"/>
      <c r="H35" s="14"/>
      <c r="I35" s="18"/>
      <c r="J35" s="23"/>
    </row>
    <row r="36" spans="1:14" ht="15.75" hidden="1" customHeight="1">
      <c r="A36" s="33">
        <v>6</v>
      </c>
      <c r="B36" s="79" t="s">
        <v>27</v>
      </c>
      <c r="C36" s="80" t="s">
        <v>32</v>
      </c>
      <c r="D36" s="79"/>
      <c r="E36" s="81"/>
      <c r="F36" s="82">
        <v>10</v>
      </c>
      <c r="G36" s="82">
        <v>1527.22</v>
      </c>
      <c r="H36" s="83">
        <f t="shared" ref="H36:H43" si="4">SUM(F36*G36/1000)</f>
        <v>15.272200000000002</v>
      </c>
      <c r="I36" s="13">
        <f>F36/6*G36</f>
        <v>2545.3666666666668</v>
      </c>
      <c r="J36" s="23"/>
    </row>
    <row r="37" spans="1:14" ht="15.75" hidden="1" customHeight="1">
      <c r="A37" s="33">
        <v>7</v>
      </c>
      <c r="B37" s="79" t="s">
        <v>121</v>
      </c>
      <c r="C37" s="80" t="s">
        <v>30</v>
      </c>
      <c r="D37" s="79" t="s">
        <v>122</v>
      </c>
      <c r="E37" s="82">
        <v>495</v>
      </c>
      <c r="F37" s="82">
        <f>SUM(E37*12/1000)</f>
        <v>5.94</v>
      </c>
      <c r="G37" s="82">
        <v>2102.71</v>
      </c>
      <c r="H37" s="83">
        <f t="shared" si="4"/>
        <v>12.4900974</v>
      </c>
      <c r="I37" s="13">
        <f>F37/6*G37</f>
        <v>2081.6829000000002</v>
      </c>
      <c r="J37" s="23"/>
    </row>
    <row r="38" spans="1:14" ht="15.75" hidden="1" customHeight="1">
      <c r="A38" s="33">
        <v>8</v>
      </c>
      <c r="B38" s="79" t="s">
        <v>123</v>
      </c>
      <c r="C38" s="80" t="s">
        <v>30</v>
      </c>
      <c r="D38" s="79" t="s">
        <v>104</v>
      </c>
      <c r="E38" s="81">
        <v>287.83999999999997</v>
      </c>
      <c r="F38" s="82">
        <v>8.64</v>
      </c>
      <c r="G38" s="82">
        <v>2102.71</v>
      </c>
      <c r="H38" s="83">
        <f>G38*F38/1000</f>
        <v>18.167414400000002</v>
      </c>
      <c r="I38" s="13">
        <f>F38/6*G38</f>
        <v>3027.9024000000004</v>
      </c>
      <c r="J38" s="23"/>
    </row>
    <row r="39" spans="1:14" ht="15.75" hidden="1" customHeight="1">
      <c r="A39" s="33">
        <v>7</v>
      </c>
      <c r="B39" s="79" t="s">
        <v>85</v>
      </c>
      <c r="C39" s="80" t="s">
        <v>124</v>
      </c>
      <c r="D39" s="79" t="s">
        <v>65</v>
      </c>
      <c r="E39" s="81"/>
      <c r="F39" s="82">
        <v>80</v>
      </c>
      <c r="G39" s="82">
        <v>199.44</v>
      </c>
      <c r="H39" s="83">
        <f>G39*F39/1000</f>
        <v>15.955200000000001</v>
      </c>
      <c r="I39" s="13">
        <v>0</v>
      </c>
      <c r="J39" s="23"/>
    </row>
    <row r="40" spans="1:14" ht="15.75" hidden="1" customHeight="1">
      <c r="A40" s="33">
        <v>9</v>
      </c>
      <c r="B40" s="79" t="s">
        <v>66</v>
      </c>
      <c r="C40" s="80" t="s">
        <v>30</v>
      </c>
      <c r="D40" s="79" t="s">
        <v>105</v>
      </c>
      <c r="E40" s="82">
        <v>287.83999999999997</v>
      </c>
      <c r="F40" s="82">
        <f>SUM(E40*155/1000)</f>
        <v>44.615199999999994</v>
      </c>
      <c r="G40" s="82">
        <v>350.75</v>
      </c>
      <c r="H40" s="83">
        <f t="shared" si="4"/>
        <v>15.648781399999997</v>
      </c>
      <c r="I40" s="13">
        <f>F40/6*G40</f>
        <v>2608.1302333333329</v>
      </c>
      <c r="J40" s="23"/>
    </row>
    <row r="41" spans="1:14" ht="47.25" hidden="1" customHeight="1">
      <c r="A41" s="33">
        <v>10</v>
      </c>
      <c r="B41" s="79" t="s">
        <v>78</v>
      </c>
      <c r="C41" s="80" t="s">
        <v>100</v>
      </c>
      <c r="D41" s="79" t="s">
        <v>125</v>
      </c>
      <c r="E41" s="82">
        <v>89.43</v>
      </c>
      <c r="F41" s="82">
        <f>SUM(E41*24/1000)</f>
        <v>2.1463200000000002</v>
      </c>
      <c r="G41" s="82">
        <v>5803.28</v>
      </c>
      <c r="H41" s="83">
        <f t="shared" si="4"/>
        <v>12.455695929600001</v>
      </c>
      <c r="I41" s="13">
        <f>F41/6*G41</f>
        <v>2075.9493216000001</v>
      </c>
      <c r="J41" s="23"/>
      <c r="L41" s="19"/>
      <c r="M41" s="20"/>
      <c r="N41" s="21"/>
    </row>
    <row r="42" spans="1:14" ht="15.75" hidden="1" customHeight="1">
      <c r="A42" s="33">
        <v>11</v>
      </c>
      <c r="B42" s="79" t="s">
        <v>106</v>
      </c>
      <c r="C42" s="80" t="s">
        <v>100</v>
      </c>
      <c r="D42" s="79" t="s">
        <v>67</v>
      </c>
      <c r="E42" s="82">
        <v>130.08000000000001</v>
      </c>
      <c r="F42" s="82">
        <f>SUM(E42*45/1000)</f>
        <v>5.8536000000000001</v>
      </c>
      <c r="G42" s="82">
        <v>428.7</v>
      </c>
      <c r="H42" s="83">
        <f t="shared" si="4"/>
        <v>2.5094383200000001</v>
      </c>
      <c r="I42" s="13">
        <f>F42/6*G42</f>
        <v>418.23971999999998</v>
      </c>
      <c r="J42" s="23"/>
      <c r="L42" s="19"/>
      <c r="M42" s="20"/>
      <c r="N42" s="21"/>
    </row>
    <row r="43" spans="1:14" ht="15.75" hidden="1" customHeight="1">
      <c r="A43" s="33">
        <v>12</v>
      </c>
      <c r="B43" s="79" t="s">
        <v>68</v>
      </c>
      <c r="C43" s="80" t="s">
        <v>33</v>
      </c>
      <c r="D43" s="79"/>
      <c r="E43" s="81"/>
      <c r="F43" s="82">
        <v>0.9</v>
      </c>
      <c r="G43" s="82">
        <v>798</v>
      </c>
      <c r="H43" s="83">
        <f t="shared" si="4"/>
        <v>0.71820000000000006</v>
      </c>
      <c r="I43" s="13">
        <f>F43/6*G43</f>
        <v>119.69999999999999</v>
      </c>
      <c r="J43" s="23"/>
      <c r="L43" s="19"/>
      <c r="M43" s="20"/>
      <c r="N43" s="21"/>
    </row>
    <row r="44" spans="1:14" ht="15.75" customHeight="1">
      <c r="A44" s="238" t="s">
        <v>134</v>
      </c>
      <c r="B44" s="239"/>
      <c r="C44" s="239"/>
      <c r="D44" s="239"/>
      <c r="E44" s="239"/>
      <c r="F44" s="239"/>
      <c r="G44" s="239"/>
      <c r="H44" s="239"/>
      <c r="I44" s="240"/>
      <c r="J44" s="23"/>
      <c r="L44" s="19"/>
      <c r="M44" s="20"/>
      <c r="N44" s="21"/>
    </row>
    <row r="45" spans="1:14" ht="15.75" customHeight="1">
      <c r="A45" s="40">
        <v>9</v>
      </c>
      <c r="B45" s="32" t="s">
        <v>126</v>
      </c>
      <c r="C45" s="133" t="s">
        <v>100</v>
      </c>
      <c r="D45" s="32" t="s">
        <v>187</v>
      </c>
      <c r="E45" s="146">
        <v>1369</v>
      </c>
      <c r="F45" s="134">
        <f>SUM(E45*2/1000)</f>
        <v>2.738</v>
      </c>
      <c r="G45" s="36">
        <v>1158.7</v>
      </c>
      <c r="H45" s="83">
        <f t="shared" ref="H45:H53" si="5">SUM(F45*G45/1000)</f>
        <v>3.1725206000000004</v>
      </c>
      <c r="I45" s="13">
        <f t="shared" ref="I45:I47" si="6">F45/2*G45</f>
        <v>1586.2603000000001</v>
      </c>
      <c r="J45" s="23"/>
      <c r="L45" s="19"/>
      <c r="M45" s="20"/>
      <c r="N45" s="21"/>
    </row>
    <row r="46" spans="1:14" ht="15.75" customHeight="1">
      <c r="A46" s="40">
        <v>10</v>
      </c>
      <c r="B46" s="32" t="s">
        <v>175</v>
      </c>
      <c r="C46" s="133" t="s">
        <v>100</v>
      </c>
      <c r="D46" s="32" t="s">
        <v>187</v>
      </c>
      <c r="E46" s="146">
        <v>185.3</v>
      </c>
      <c r="F46" s="134">
        <f>SUM(E46*2/1000)</f>
        <v>0.37060000000000004</v>
      </c>
      <c r="G46" s="36">
        <v>790.38</v>
      </c>
      <c r="H46" s="83">
        <f t="shared" si="5"/>
        <v>0.29291482800000007</v>
      </c>
      <c r="I46" s="13">
        <f t="shared" si="6"/>
        <v>146.45741400000003</v>
      </c>
      <c r="J46" s="23"/>
      <c r="L46" s="19"/>
      <c r="M46" s="20"/>
      <c r="N46" s="21"/>
    </row>
    <row r="47" spans="1:14" ht="15.75" customHeight="1">
      <c r="A47" s="40">
        <v>11</v>
      </c>
      <c r="B47" s="32" t="s">
        <v>35</v>
      </c>
      <c r="C47" s="133" t="s">
        <v>100</v>
      </c>
      <c r="D47" s="32" t="s">
        <v>187</v>
      </c>
      <c r="E47" s="146">
        <v>4985.21</v>
      </c>
      <c r="F47" s="134">
        <f>SUM(E47*2/1000)</f>
        <v>9.9704200000000007</v>
      </c>
      <c r="G47" s="36">
        <v>790.38</v>
      </c>
      <c r="H47" s="83">
        <f t="shared" si="5"/>
        <v>7.8804205596000001</v>
      </c>
      <c r="I47" s="13">
        <f t="shared" si="6"/>
        <v>3940.2102798000001</v>
      </c>
      <c r="J47" s="23"/>
      <c r="L47" s="19"/>
      <c r="M47" s="20"/>
      <c r="N47" s="21"/>
    </row>
    <row r="48" spans="1:14" ht="15.75" customHeight="1">
      <c r="A48" s="40">
        <v>12</v>
      </c>
      <c r="B48" s="32" t="s">
        <v>36</v>
      </c>
      <c r="C48" s="133" t="s">
        <v>100</v>
      </c>
      <c r="D48" s="32" t="s">
        <v>187</v>
      </c>
      <c r="E48" s="146">
        <v>2474</v>
      </c>
      <c r="F48" s="134">
        <f>SUM(E48*2/1000)</f>
        <v>4.9480000000000004</v>
      </c>
      <c r="G48" s="36">
        <v>827.65</v>
      </c>
      <c r="H48" s="83">
        <f t="shared" si="5"/>
        <v>4.0952122000000006</v>
      </c>
      <c r="I48" s="13">
        <f>F48/2*G48</f>
        <v>2047.6061000000002</v>
      </c>
      <c r="J48" s="23"/>
      <c r="L48" s="19"/>
      <c r="M48" s="20"/>
      <c r="N48" s="21"/>
    </row>
    <row r="49" spans="1:14" ht="15.75" customHeight="1">
      <c r="A49" s="40">
        <v>13</v>
      </c>
      <c r="B49" s="32" t="s">
        <v>54</v>
      </c>
      <c r="C49" s="133" t="s">
        <v>100</v>
      </c>
      <c r="D49" s="32" t="s">
        <v>187</v>
      </c>
      <c r="E49" s="146">
        <v>5162.6000000000004</v>
      </c>
      <c r="F49" s="134">
        <f>SUM(E49*5/1000)</f>
        <v>25.812999999999999</v>
      </c>
      <c r="G49" s="36">
        <v>1655.27</v>
      </c>
      <c r="H49" s="83">
        <f t="shared" si="5"/>
        <v>42.727484509999996</v>
      </c>
      <c r="I49" s="13">
        <f>F49/5*G49</f>
        <v>8545.496901999999</v>
      </c>
      <c r="J49" s="23"/>
      <c r="L49" s="19"/>
      <c r="M49" s="20"/>
      <c r="N49" s="21"/>
    </row>
    <row r="50" spans="1:14" ht="33" customHeight="1">
      <c r="A50" s="40">
        <v>14</v>
      </c>
      <c r="B50" s="32" t="s">
        <v>107</v>
      </c>
      <c r="C50" s="133" t="s">
        <v>100</v>
      </c>
      <c r="D50" s="32" t="s">
        <v>187</v>
      </c>
      <c r="E50" s="146">
        <v>5162.6000000000004</v>
      </c>
      <c r="F50" s="134">
        <f>SUM(E50*2/1000)</f>
        <v>10.325200000000001</v>
      </c>
      <c r="G50" s="36">
        <v>1655.27</v>
      </c>
      <c r="H50" s="83">
        <f t="shared" si="5"/>
        <v>17.090993804</v>
      </c>
      <c r="I50" s="13">
        <f>F50/2*G50</f>
        <v>8545.4969020000008</v>
      </c>
      <c r="J50" s="23"/>
      <c r="L50" s="19"/>
      <c r="M50" s="20"/>
      <c r="N50" s="21"/>
    </row>
    <row r="51" spans="1:14" ht="30.75" customHeight="1">
      <c r="A51" s="40">
        <v>15</v>
      </c>
      <c r="B51" s="32" t="s">
        <v>108</v>
      </c>
      <c r="C51" s="133" t="s">
        <v>37</v>
      </c>
      <c r="D51" s="32" t="s">
        <v>187</v>
      </c>
      <c r="E51" s="146">
        <v>40</v>
      </c>
      <c r="F51" s="134">
        <f>SUM(E51*2/100)</f>
        <v>0.8</v>
      </c>
      <c r="G51" s="36">
        <v>3724.37</v>
      </c>
      <c r="H51" s="83">
        <f t="shared" si="5"/>
        <v>2.9794960000000001</v>
      </c>
      <c r="I51" s="13">
        <f t="shared" ref="I51:I52" si="7">F51/2*G51</f>
        <v>1489.748</v>
      </c>
      <c r="J51" s="23"/>
      <c r="L51" s="19"/>
      <c r="M51" s="20"/>
      <c r="N51" s="21"/>
    </row>
    <row r="52" spans="1:14" ht="21" customHeight="1">
      <c r="A52" s="40">
        <v>16</v>
      </c>
      <c r="B52" s="32" t="s">
        <v>38</v>
      </c>
      <c r="C52" s="133" t="s">
        <v>39</v>
      </c>
      <c r="D52" s="32" t="s">
        <v>187</v>
      </c>
      <c r="E52" s="146">
        <v>1</v>
      </c>
      <c r="F52" s="134">
        <v>0.02</v>
      </c>
      <c r="G52" s="36">
        <v>7709.44</v>
      </c>
      <c r="H52" s="83">
        <f t="shared" si="5"/>
        <v>0.15418879999999999</v>
      </c>
      <c r="I52" s="13">
        <f t="shared" si="7"/>
        <v>77.094399999999993</v>
      </c>
      <c r="J52" s="23"/>
      <c r="L52" s="19"/>
      <c r="M52" s="20"/>
      <c r="N52" s="21"/>
    </row>
    <row r="53" spans="1:14" ht="21.75" customHeight="1">
      <c r="A53" s="40">
        <v>17</v>
      </c>
      <c r="B53" s="32" t="s">
        <v>40</v>
      </c>
      <c r="C53" s="133" t="s">
        <v>109</v>
      </c>
      <c r="D53" s="176">
        <v>44345</v>
      </c>
      <c r="E53" s="146">
        <v>238</v>
      </c>
      <c r="F53" s="134">
        <f>SUM(E53)*3</f>
        <v>714</v>
      </c>
      <c r="G53" s="166">
        <v>89.59</v>
      </c>
      <c r="H53" s="83">
        <f t="shared" si="5"/>
        <v>63.967260000000003</v>
      </c>
      <c r="I53" s="13">
        <f>E53*G53</f>
        <v>21322.420000000002</v>
      </c>
      <c r="J53" s="23"/>
      <c r="L53" s="19"/>
      <c r="M53" s="20"/>
      <c r="N53" s="21"/>
    </row>
    <row r="54" spans="1:14" ht="15.75" customHeight="1">
      <c r="A54" s="238" t="s">
        <v>135</v>
      </c>
      <c r="B54" s="239"/>
      <c r="C54" s="239"/>
      <c r="D54" s="239"/>
      <c r="E54" s="239"/>
      <c r="F54" s="239"/>
      <c r="G54" s="239"/>
      <c r="H54" s="239"/>
      <c r="I54" s="240"/>
      <c r="J54" s="23"/>
      <c r="L54" s="19"/>
      <c r="M54" s="20"/>
      <c r="N54" s="21"/>
    </row>
    <row r="55" spans="1:14" ht="15.75" hidden="1" customHeight="1">
      <c r="A55" s="168"/>
      <c r="B55" s="47" t="s">
        <v>42</v>
      </c>
      <c r="C55" s="16"/>
      <c r="D55" s="15"/>
      <c r="E55" s="15"/>
      <c r="F55" s="15"/>
      <c r="G55" s="29"/>
      <c r="H55" s="29"/>
      <c r="I55" s="18"/>
      <c r="J55" s="23"/>
      <c r="L55" s="19"/>
      <c r="M55" s="20"/>
      <c r="N55" s="21"/>
    </row>
    <row r="56" spans="1:14" ht="31.5" hidden="1" customHeight="1">
      <c r="A56" s="40">
        <v>16</v>
      </c>
      <c r="B56" s="79" t="s">
        <v>110</v>
      </c>
      <c r="C56" s="80" t="s">
        <v>87</v>
      </c>
      <c r="D56" s="79" t="s">
        <v>111</v>
      </c>
      <c r="E56" s="81">
        <v>176.9</v>
      </c>
      <c r="F56" s="82">
        <f>SUM(E56*6/100)</f>
        <v>10.614000000000001</v>
      </c>
      <c r="G56" s="13">
        <v>1547.28</v>
      </c>
      <c r="H56" s="83">
        <f>SUM(F56*G56/1000)</f>
        <v>16.422829920000002</v>
      </c>
      <c r="I56" s="13">
        <f>F56/6*G56</f>
        <v>2737.13832</v>
      </c>
      <c r="J56" s="23"/>
      <c r="L56" s="19"/>
      <c r="M56" s="20"/>
      <c r="N56" s="21"/>
    </row>
    <row r="57" spans="1:14" ht="15.75" hidden="1" customHeight="1">
      <c r="A57" s="40">
        <v>17</v>
      </c>
      <c r="B57" s="79" t="s">
        <v>127</v>
      </c>
      <c r="C57" s="80" t="s">
        <v>87</v>
      </c>
      <c r="D57" s="79" t="s">
        <v>111</v>
      </c>
      <c r="E57" s="74">
        <v>56</v>
      </c>
      <c r="F57" s="87">
        <v>3.36</v>
      </c>
      <c r="G57" s="82">
        <v>1547.28</v>
      </c>
      <c r="H57" s="83">
        <f>F57*G57/1000</f>
        <v>5.1988607999999994</v>
      </c>
      <c r="I57" s="13">
        <f>F57/6*G57</f>
        <v>866.47679999999991</v>
      </c>
      <c r="J57" s="23"/>
      <c r="L57" s="19"/>
      <c r="M57" s="20"/>
      <c r="N57" s="21"/>
    </row>
    <row r="58" spans="1:14" ht="15.75" hidden="1" customHeight="1">
      <c r="A58" s="40"/>
      <c r="B58" s="79" t="s">
        <v>128</v>
      </c>
      <c r="C58" s="80" t="s">
        <v>129</v>
      </c>
      <c r="D58" s="79" t="s">
        <v>41</v>
      </c>
      <c r="E58" s="88">
        <v>8</v>
      </c>
      <c r="F58" s="13">
        <v>16</v>
      </c>
      <c r="G58" s="82">
        <v>180.78</v>
      </c>
      <c r="H58" s="83">
        <f>SUM(F58*G58/1000)</f>
        <v>2.8924799999999999</v>
      </c>
      <c r="I58" s="13">
        <v>0</v>
      </c>
      <c r="J58" s="23"/>
      <c r="L58" s="19"/>
      <c r="M58" s="20"/>
      <c r="N58" s="21"/>
    </row>
    <row r="59" spans="1:14" ht="15.75" customHeight="1">
      <c r="A59" s="40"/>
      <c r="B59" s="167" t="s">
        <v>43</v>
      </c>
      <c r="C59" s="167"/>
      <c r="D59" s="167"/>
      <c r="E59" s="167"/>
      <c r="F59" s="167"/>
      <c r="G59" s="167"/>
      <c r="H59" s="167"/>
      <c r="I59" s="35"/>
      <c r="J59" s="23"/>
      <c r="L59" s="19"/>
      <c r="M59" s="20"/>
      <c r="N59" s="21"/>
    </row>
    <row r="60" spans="1:14" ht="15.75" hidden="1" customHeight="1">
      <c r="A60" s="40">
        <v>27</v>
      </c>
      <c r="B60" s="79" t="s">
        <v>139</v>
      </c>
      <c r="C60" s="80"/>
      <c r="D60" s="79" t="s">
        <v>52</v>
      </c>
      <c r="E60" s="81">
        <v>1349.3</v>
      </c>
      <c r="F60" s="83">
        <v>13.493</v>
      </c>
      <c r="G60" s="13">
        <v>793.61</v>
      </c>
      <c r="H60" s="89">
        <f>F60*G60/1000</f>
        <v>10.708179729999999</v>
      </c>
      <c r="I60" s="13">
        <v>0</v>
      </c>
      <c r="J60" s="23"/>
      <c r="L60" s="19"/>
      <c r="M60" s="20"/>
      <c r="N60" s="21"/>
    </row>
    <row r="61" spans="1:14" ht="15.75" customHeight="1">
      <c r="A61" s="40">
        <v>18</v>
      </c>
      <c r="B61" s="90" t="s">
        <v>86</v>
      </c>
      <c r="C61" s="91" t="s">
        <v>26</v>
      </c>
      <c r="D61" s="90"/>
      <c r="E61" s="92">
        <v>270</v>
      </c>
      <c r="F61" s="93">
        <f>E61*12</f>
        <v>3240</v>
      </c>
      <c r="G61" s="94">
        <v>1.4</v>
      </c>
      <c r="H61" s="95">
        <f>F61*G61</f>
        <v>4536</v>
      </c>
      <c r="I61" s="13">
        <f>2400/12*G61</f>
        <v>280</v>
      </c>
      <c r="J61" s="23"/>
      <c r="L61" s="19"/>
      <c r="M61" s="20"/>
      <c r="N61" s="21"/>
    </row>
    <row r="62" spans="1:14" ht="15.75" hidden="1" customHeight="1">
      <c r="A62" s="40"/>
      <c r="B62" s="167" t="s">
        <v>44</v>
      </c>
      <c r="C62" s="16"/>
      <c r="D62" s="37"/>
      <c r="E62" s="15"/>
      <c r="F62" s="15"/>
      <c r="G62" s="29"/>
      <c r="H62" s="29"/>
      <c r="I62" s="18"/>
      <c r="J62" s="23"/>
      <c r="L62" s="19"/>
    </row>
    <row r="63" spans="1:14" ht="15.75" hidden="1" customHeight="1">
      <c r="A63" s="40">
        <v>20</v>
      </c>
      <c r="B63" s="96" t="s">
        <v>45</v>
      </c>
      <c r="C63" s="16" t="s">
        <v>109</v>
      </c>
      <c r="D63" s="96" t="s">
        <v>205</v>
      </c>
      <c r="E63" s="18">
        <v>40</v>
      </c>
      <c r="F63" s="82">
        <v>40</v>
      </c>
      <c r="G63" s="121">
        <v>303.35000000000002</v>
      </c>
      <c r="H63" s="97">
        <f t="shared" ref="H63:H70" si="8">SUM(F63*G63/1000)</f>
        <v>12.134</v>
      </c>
      <c r="I63" s="13">
        <f>G63*4</f>
        <v>1213.4000000000001</v>
      </c>
    </row>
    <row r="64" spans="1:14" ht="15.75" hidden="1" customHeight="1">
      <c r="A64" s="29">
        <v>29</v>
      </c>
      <c r="B64" s="96" t="s">
        <v>46</v>
      </c>
      <c r="C64" s="16" t="s">
        <v>109</v>
      </c>
      <c r="D64" s="96" t="s">
        <v>65</v>
      </c>
      <c r="E64" s="18">
        <v>20</v>
      </c>
      <c r="F64" s="82">
        <v>20</v>
      </c>
      <c r="G64" s="13">
        <v>76.25</v>
      </c>
      <c r="H64" s="97">
        <f t="shared" si="8"/>
        <v>1.5249999999999999</v>
      </c>
      <c r="I64" s="13">
        <v>0</v>
      </c>
    </row>
    <row r="65" spans="1:22" ht="15.75" hidden="1" customHeight="1">
      <c r="A65" s="29">
        <v>27</v>
      </c>
      <c r="B65" s="145" t="s">
        <v>47</v>
      </c>
      <c r="C65" s="170" t="s">
        <v>112</v>
      </c>
      <c r="D65" s="37" t="s">
        <v>52</v>
      </c>
      <c r="E65" s="146">
        <v>18890</v>
      </c>
      <c r="F65" s="166">
        <f>SUM(E65/100)</f>
        <v>188.9</v>
      </c>
      <c r="G65" s="36">
        <v>289.37</v>
      </c>
      <c r="H65" s="97">
        <f t="shared" si="8"/>
        <v>54.661993000000002</v>
      </c>
      <c r="I65" s="13">
        <f>F65*G65</f>
        <v>54661.993000000002</v>
      </c>
    </row>
    <row r="66" spans="1:22" ht="15.75" hidden="1" customHeight="1">
      <c r="A66" s="29">
        <v>28</v>
      </c>
      <c r="B66" s="145" t="s">
        <v>48</v>
      </c>
      <c r="C66" s="38" t="s">
        <v>113</v>
      </c>
      <c r="D66" s="37"/>
      <c r="E66" s="146">
        <v>18890</v>
      </c>
      <c r="F66" s="36">
        <f>SUM(E66/1000)</f>
        <v>18.89</v>
      </c>
      <c r="G66" s="36">
        <v>225.35</v>
      </c>
      <c r="H66" s="97">
        <f t="shared" si="8"/>
        <v>4.2568615000000003</v>
      </c>
      <c r="I66" s="13">
        <f t="shared" ref="I66:I69" si="9">F66*G66</f>
        <v>4256.8615</v>
      </c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9"/>
    </row>
    <row r="67" spans="1:22" ht="15.75" hidden="1" customHeight="1">
      <c r="A67" s="29">
        <v>29</v>
      </c>
      <c r="B67" s="145" t="s">
        <v>49</v>
      </c>
      <c r="C67" s="38" t="s">
        <v>75</v>
      </c>
      <c r="D67" s="37" t="s">
        <v>52</v>
      </c>
      <c r="E67" s="146">
        <v>3004</v>
      </c>
      <c r="F67" s="36">
        <f>SUM(E67/100)</f>
        <v>30.04</v>
      </c>
      <c r="G67" s="36">
        <v>2829.78</v>
      </c>
      <c r="H67" s="97">
        <f t="shared" si="8"/>
        <v>85.006591200000017</v>
      </c>
      <c r="I67" s="13">
        <f t="shared" si="9"/>
        <v>85006.59120000001</v>
      </c>
      <c r="J67" s="25"/>
      <c r="K67" s="25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2" ht="15.75" hidden="1" customHeight="1">
      <c r="A68" s="29">
        <v>30</v>
      </c>
      <c r="B68" s="171" t="s">
        <v>114</v>
      </c>
      <c r="C68" s="38" t="s">
        <v>33</v>
      </c>
      <c r="D68" s="37"/>
      <c r="E68" s="146">
        <v>16.2</v>
      </c>
      <c r="F68" s="36">
        <f>SUM(E68)</f>
        <v>16.2</v>
      </c>
      <c r="G68" s="36">
        <v>46.08</v>
      </c>
      <c r="H68" s="97">
        <f t="shared" si="8"/>
        <v>0.74649599999999994</v>
      </c>
      <c r="I68" s="13">
        <f t="shared" si="9"/>
        <v>746.49599999999998</v>
      </c>
      <c r="J68" s="3"/>
      <c r="K68" s="3"/>
      <c r="L68" s="3"/>
      <c r="M68" s="3"/>
      <c r="N68" s="3"/>
      <c r="O68" s="3"/>
      <c r="P68" s="3"/>
      <c r="Q68" s="3"/>
      <c r="S68" s="3"/>
      <c r="T68" s="3"/>
      <c r="U68" s="3"/>
    </row>
    <row r="69" spans="1:22" ht="15.75" hidden="1" customHeight="1">
      <c r="A69" s="29">
        <v>31</v>
      </c>
      <c r="B69" s="171" t="s">
        <v>115</v>
      </c>
      <c r="C69" s="38" t="s">
        <v>33</v>
      </c>
      <c r="D69" s="37"/>
      <c r="E69" s="146">
        <v>16.2</v>
      </c>
      <c r="F69" s="36">
        <f>SUM(E69)</f>
        <v>16.2</v>
      </c>
      <c r="G69" s="36">
        <v>49.7</v>
      </c>
      <c r="H69" s="97">
        <f t="shared" si="8"/>
        <v>0.80513999999999997</v>
      </c>
      <c r="I69" s="13">
        <f t="shared" si="9"/>
        <v>805.14</v>
      </c>
      <c r="J69" s="5"/>
      <c r="K69" s="5"/>
      <c r="L69" s="5"/>
      <c r="M69" s="5"/>
      <c r="N69" s="5"/>
      <c r="O69" s="5"/>
      <c r="P69" s="5"/>
      <c r="Q69" s="5"/>
      <c r="R69" s="213"/>
      <c r="S69" s="213"/>
      <c r="T69" s="213"/>
      <c r="U69" s="213"/>
    </row>
    <row r="70" spans="1:22" ht="10.5" hidden="1" customHeight="1">
      <c r="A70" s="29">
        <v>13</v>
      </c>
      <c r="B70" s="96" t="s">
        <v>55</v>
      </c>
      <c r="C70" s="16" t="s">
        <v>56</v>
      </c>
      <c r="D70" s="96" t="s">
        <v>52</v>
      </c>
      <c r="E70" s="18">
        <v>15</v>
      </c>
      <c r="F70" s="82">
        <v>15</v>
      </c>
      <c r="G70" s="13">
        <v>49.88</v>
      </c>
      <c r="H70" s="97">
        <f t="shared" si="8"/>
        <v>0.74820000000000009</v>
      </c>
      <c r="I70" s="13">
        <v>0</v>
      </c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2" ht="17.25" customHeight="1">
      <c r="A71" s="29"/>
      <c r="B71" s="156" t="s">
        <v>168</v>
      </c>
      <c r="C71" s="38"/>
      <c r="D71" s="37"/>
      <c r="E71" s="17"/>
      <c r="F71" s="112"/>
      <c r="G71" s="36"/>
      <c r="H71" s="97"/>
      <c r="I71" s="13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2" ht="37.5" customHeight="1">
      <c r="A72" s="29">
        <v>19</v>
      </c>
      <c r="B72" s="37" t="s">
        <v>169</v>
      </c>
      <c r="C72" s="40" t="s">
        <v>170</v>
      </c>
      <c r="D72" s="37"/>
      <c r="E72" s="17">
        <v>5162.6000000000004</v>
      </c>
      <c r="F72" s="36">
        <f>E72*12</f>
        <v>61951.200000000004</v>
      </c>
      <c r="G72" s="36">
        <v>2.37</v>
      </c>
      <c r="H72" s="97"/>
      <c r="I72" s="13">
        <f>G72*F72/12</f>
        <v>12235.362000000001</v>
      </c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1:22" ht="32.25" hidden="1" customHeight="1">
      <c r="A73" s="168"/>
      <c r="B73" s="167" t="s">
        <v>116</v>
      </c>
      <c r="C73" s="167"/>
      <c r="D73" s="167"/>
      <c r="E73" s="167"/>
      <c r="F73" s="167"/>
      <c r="G73" s="167"/>
      <c r="H73" s="167"/>
      <c r="I73" s="18"/>
    </row>
    <row r="74" spans="1:22" ht="17.25" hidden="1" customHeight="1">
      <c r="A74" s="29">
        <v>19</v>
      </c>
      <c r="B74" s="79" t="s">
        <v>117</v>
      </c>
      <c r="C74" s="16"/>
      <c r="D74" s="96"/>
      <c r="E74" s="74"/>
      <c r="F74" s="13">
        <v>1</v>
      </c>
      <c r="G74" s="13">
        <v>27865.200000000001</v>
      </c>
      <c r="H74" s="97">
        <f>G74*F74/1000</f>
        <v>27.865200000000002</v>
      </c>
      <c r="I74" s="13">
        <v>0</v>
      </c>
    </row>
    <row r="75" spans="1:22" ht="15" customHeight="1">
      <c r="A75" s="29"/>
      <c r="B75" s="48" t="s">
        <v>70</v>
      </c>
      <c r="C75" s="48"/>
      <c r="D75" s="48"/>
      <c r="E75" s="18"/>
      <c r="F75" s="18"/>
      <c r="G75" s="29"/>
      <c r="H75" s="29"/>
      <c r="I75" s="18"/>
    </row>
    <row r="76" spans="1:22" ht="29.25" hidden="1" customHeight="1">
      <c r="A76" s="29">
        <v>22</v>
      </c>
      <c r="B76" s="96" t="s">
        <v>71</v>
      </c>
      <c r="C76" s="16" t="s">
        <v>73</v>
      </c>
      <c r="D76" s="96" t="s">
        <v>204</v>
      </c>
      <c r="E76" s="18">
        <v>10</v>
      </c>
      <c r="F76" s="13">
        <v>1</v>
      </c>
      <c r="G76" s="121">
        <v>684.19</v>
      </c>
      <c r="H76" s="97">
        <f t="shared" ref="H76:H80" si="10">SUM(F76*G76/1000)</f>
        <v>0.68419000000000008</v>
      </c>
      <c r="I76" s="13">
        <f>G76*0.4</f>
        <v>273.67600000000004</v>
      </c>
    </row>
    <row r="77" spans="1:22" ht="24" hidden="1" customHeight="1">
      <c r="A77" s="29"/>
      <c r="B77" s="96" t="s">
        <v>130</v>
      </c>
      <c r="C77" s="16" t="s">
        <v>31</v>
      </c>
      <c r="D77" s="96"/>
      <c r="E77" s="18">
        <v>1</v>
      </c>
      <c r="F77" s="13">
        <v>1</v>
      </c>
      <c r="G77" s="13">
        <v>99.85</v>
      </c>
      <c r="H77" s="97">
        <f>F77*G77/1000</f>
        <v>9.9849999999999994E-2</v>
      </c>
      <c r="I77" s="13">
        <v>0</v>
      </c>
    </row>
    <row r="78" spans="1:22" ht="16.5" hidden="1" customHeight="1">
      <c r="A78" s="29"/>
      <c r="B78" s="96" t="s">
        <v>131</v>
      </c>
      <c r="C78" s="16" t="s">
        <v>31</v>
      </c>
      <c r="D78" s="96"/>
      <c r="E78" s="18">
        <v>1</v>
      </c>
      <c r="F78" s="13">
        <v>1</v>
      </c>
      <c r="G78" s="13">
        <v>120.26</v>
      </c>
      <c r="H78" s="97">
        <f>F78*G78/1000</f>
        <v>0.12026000000000001</v>
      </c>
      <c r="I78" s="13">
        <v>0</v>
      </c>
    </row>
    <row r="79" spans="1:22" ht="29.25" hidden="1" customHeight="1">
      <c r="A79" s="29">
        <v>19</v>
      </c>
      <c r="B79" s="96" t="s">
        <v>72</v>
      </c>
      <c r="C79" s="16" t="s">
        <v>31</v>
      </c>
      <c r="D79" s="96"/>
      <c r="E79" s="18">
        <v>2</v>
      </c>
      <c r="F79" s="94">
        <v>2</v>
      </c>
      <c r="G79" s="13">
        <v>852.99</v>
      </c>
      <c r="H79" s="97">
        <f>F79*G79/1000</f>
        <v>1.7059800000000001</v>
      </c>
      <c r="I79" s="13">
        <f>G79</f>
        <v>852.99</v>
      </c>
    </row>
    <row r="80" spans="1:22" ht="15.75" hidden="1" customHeight="1">
      <c r="A80" s="29">
        <v>17</v>
      </c>
      <c r="B80" s="96" t="s">
        <v>82</v>
      </c>
      <c r="C80" s="16" t="s">
        <v>109</v>
      </c>
      <c r="D80" s="96"/>
      <c r="E80" s="18">
        <v>1</v>
      </c>
      <c r="F80" s="82">
        <f>SUM(E80)</f>
        <v>1</v>
      </c>
      <c r="G80" s="13">
        <v>358.51</v>
      </c>
      <c r="H80" s="97">
        <f t="shared" si="10"/>
        <v>0.35851</v>
      </c>
      <c r="I80" s="13">
        <v>0</v>
      </c>
    </row>
    <row r="81" spans="1:9" ht="15.75" customHeight="1">
      <c r="A81" s="29">
        <v>20</v>
      </c>
      <c r="B81" s="37" t="s">
        <v>171</v>
      </c>
      <c r="C81" s="38" t="s">
        <v>109</v>
      </c>
      <c r="D81" s="37" t="s">
        <v>181</v>
      </c>
      <c r="E81" s="17">
        <v>1</v>
      </c>
      <c r="F81" s="36">
        <f>E81*12</f>
        <v>12</v>
      </c>
      <c r="G81" s="36">
        <v>55.55</v>
      </c>
      <c r="H81" s="13"/>
      <c r="I81" s="13">
        <f>G81*1</f>
        <v>55.55</v>
      </c>
    </row>
    <row r="82" spans="1:9" ht="12" hidden="1" customHeight="1">
      <c r="A82" s="29"/>
      <c r="B82" s="49" t="s">
        <v>74</v>
      </c>
      <c r="C82" s="38"/>
      <c r="D82" s="29"/>
      <c r="E82" s="18"/>
      <c r="F82" s="18"/>
      <c r="G82" s="36"/>
      <c r="H82" s="36"/>
      <c r="I82" s="18"/>
    </row>
    <row r="83" spans="1:9" ht="15.75" hidden="1" customHeight="1">
      <c r="A83" s="29">
        <v>29</v>
      </c>
      <c r="B83" s="51" t="s">
        <v>118</v>
      </c>
      <c r="C83" s="16" t="s">
        <v>75</v>
      </c>
      <c r="D83" s="96"/>
      <c r="E83" s="18"/>
      <c r="F83" s="13">
        <v>1.35</v>
      </c>
      <c r="G83" s="13">
        <v>2759.44</v>
      </c>
      <c r="H83" s="97">
        <f t="shared" ref="H83" si="11">SUM(F83*G83/1000)</f>
        <v>3.725244</v>
      </c>
      <c r="I83" s="13">
        <v>0</v>
      </c>
    </row>
    <row r="84" spans="1:9" ht="15.75" customHeight="1">
      <c r="A84" s="222" t="s">
        <v>136</v>
      </c>
      <c r="B84" s="223"/>
      <c r="C84" s="223"/>
      <c r="D84" s="223"/>
      <c r="E84" s="223"/>
      <c r="F84" s="223"/>
      <c r="G84" s="223"/>
      <c r="H84" s="223"/>
      <c r="I84" s="224"/>
    </row>
    <row r="85" spans="1:9" ht="15.75" customHeight="1">
      <c r="A85" s="29">
        <v>21</v>
      </c>
      <c r="B85" s="32" t="s">
        <v>119</v>
      </c>
      <c r="C85" s="38" t="s">
        <v>53</v>
      </c>
      <c r="D85" s="62"/>
      <c r="E85" s="36">
        <v>5162.6000000000004</v>
      </c>
      <c r="F85" s="36">
        <f>SUM(E85*12)</f>
        <v>61951.200000000004</v>
      </c>
      <c r="G85" s="36">
        <v>3.22</v>
      </c>
      <c r="H85" s="99">
        <f>SUM(F85*G85/1000)</f>
        <v>199.48286400000003</v>
      </c>
      <c r="I85" s="13">
        <f>F85/12*G85</f>
        <v>16623.572000000004</v>
      </c>
    </row>
    <row r="86" spans="1:9" ht="31.5" customHeight="1">
      <c r="A86" s="29">
        <v>22</v>
      </c>
      <c r="B86" s="37" t="s">
        <v>172</v>
      </c>
      <c r="C86" s="109" t="s">
        <v>173</v>
      </c>
      <c r="D86" s="37"/>
      <c r="E86" s="17">
        <v>5162.6000000000004</v>
      </c>
      <c r="F86" s="36">
        <f>E86*12</f>
        <v>61951.200000000004</v>
      </c>
      <c r="G86" s="36">
        <v>3.64</v>
      </c>
      <c r="H86" s="97">
        <f>F86*G86/1000</f>
        <v>225.50236800000002</v>
      </c>
      <c r="I86" s="13">
        <f>F86/12*G86</f>
        <v>18791.864000000001</v>
      </c>
    </row>
    <row r="87" spans="1:9" ht="15.75" customHeight="1">
      <c r="A87" s="168"/>
      <c r="B87" s="39" t="s">
        <v>77</v>
      </c>
      <c r="C87" s="40"/>
      <c r="D87" s="15"/>
      <c r="E87" s="15"/>
      <c r="F87" s="15"/>
      <c r="G87" s="18"/>
      <c r="H87" s="18"/>
      <c r="I87" s="31">
        <f>I86+I85+I81+I72+I61+I53+I52+I51+I50+I49+I48+I47+I46+I45+I32+I31+I30+I21+I20+I18+I17+I16</f>
        <v>128301.51932540002</v>
      </c>
    </row>
    <row r="88" spans="1:9" ht="15.75" customHeight="1">
      <c r="A88" s="225" t="s">
        <v>58</v>
      </c>
      <c r="B88" s="226"/>
      <c r="C88" s="226"/>
      <c r="D88" s="226"/>
      <c r="E88" s="226"/>
      <c r="F88" s="226"/>
      <c r="G88" s="226"/>
      <c r="H88" s="226"/>
      <c r="I88" s="227"/>
    </row>
    <row r="89" spans="1:9" ht="21" customHeight="1">
      <c r="A89" s="29">
        <v>23</v>
      </c>
      <c r="B89" s="63" t="s">
        <v>276</v>
      </c>
      <c r="C89" s="64" t="s">
        <v>30</v>
      </c>
      <c r="D89" s="34"/>
      <c r="E89" s="34"/>
      <c r="F89" s="192">
        <v>3.4129999999999998</v>
      </c>
      <c r="G89" s="192">
        <v>241.69</v>
      </c>
      <c r="H89" s="99"/>
      <c r="I89" s="13">
        <f>G89*3.413</f>
        <v>824.88797</v>
      </c>
    </row>
    <row r="90" spans="1:9" ht="18.75" customHeight="1">
      <c r="A90" s="29">
        <v>24</v>
      </c>
      <c r="B90" s="63" t="s">
        <v>277</v>
      </c>
      <c r="C90" s="64" t="s">
        <v>109</v>
      </c>
      <c r="D90" s="34" t="s">
        <v>282</v>
      </c>
      <c r="E90" s="34"/>
      <c r="F90" s="192">
        <v>1</v>
      </c>
      <c r="G90" s="192">
        <v>101.85</v>
      </c>
      <c r="H90" s="99"/>
      <c r="I90" s="13">
        <v>0</v>
      </c>
    </row>
    <row r="91" spans="1:9" ht="30.75" customHeight="1">
      <c r="A91" s="29">
        <v>25</v>
      </c>
      <c r="B91" s="63" t="s">
        <v>202</v>
      </c>
      <c r="C91" s="64" t="s">
        <v>37</v>
      </c>
      <c r="D91" s="203" t="s">
        <v>180</v>
      </c>
      <c r="E91" s="34"/>
      <c r="F91" s="192">
        <v>0.06</v>
      </c>
      <c r="G91" s="192">
        <v>4233.72</v>
      </c>
      <c r="H91" s="99"/>
      <c r="I91" s="13">
        <v>0</v>
      </c>
    </row>
    <row r="92" spans="1:9" ht="30.75" customHeight="1">
      <c r="A92" s="29">
        <v>26</v>
      </c>
      <c r="B92" s="191" t="s">
        <v>278</v>
      </c>
      <c r="C92" s="40" t="s">
        <v>279</v>
      </c>
      <c r="D92" s="193" t="s">
        <v>283</v>
      </c>
      <c r="E92" s="34"/>
      <c r="F92" s="192">
        <v>0.01</v>
      </c>
      <c r="G92" s="192">
        <v>44423.62</v>
      </c>
      <c r="H92" s="99"/>
      <c r="I92" s="13">
        <f>G92*0.01</f>
        <v>444.23620000000005</v>
      </c>
    </row>
    <row r="93" spans="1:9" ht="32.25" customHeight="1">
      <c r="A93" s="29">
        <v>27</v>
      </c>
      <c r="B93" s="63" t="s">
        <v>222</v>
      </c>
      <c r="C93" s="64" t="s">
        <v>149</v>
      </c>
      <c r="D93" s="202" t="s">
        <v>280</v>
      </c>
      <c r="E93" s="34"/>
      <c r="F93" s="192">
        <v>2</v>
      </c>
      <c r="G93" s="192">
        <v>614.47</v>
      </c>
      <c r="H93" s="99"/>
      <c r="I93" s="13">
        <f>G93*2</f>
        <v>1228.94</v>
      </c>
    </row>
    <row r="94" spans="1:9" ht="37.5" customHeight="1">
      <c r="A94" s="29">
        <v>28</v>
      </c>
      <c r="B94" s="63" t="s">
        <v>143</v>
      </c>
      <c r="C94" s="64" t="s">
        <v>144</v>
      </c>
      <c r="D94" s="203" t="s">
        <v>281</v>
      </c>
      <c r="E94" s="34"/>
      <c r="F94" s="192">
        <v>2</v>
      </c>
      <c r="G94" s="192">
        <v>64.040000000000006</v>
      </c>
      <c r="H94" s="99"/>
      <c r="I94" s="13">
        <f>G94*1</f>
        <v>64.040000000000006</v>
      </c>
    </row>
    <row r="95" spans="1:9" ht="15.75" customHeight="1">
      <c r="A95" s="29"/>
      <c r="B95" s="45" t="s">
        <v>50</v>
      </c>
      <c r="C95" s="41"/>
      <c r="D95" s="53"/>
      <c r="E95" s="41">
        <v>1</v>
      </c>
      <c r="F95" s="41"/>
      <c r="G95" s="41"/>
      <c r="H95" s="41"/>
      <c r="I95" s="31">
        <f>SUM(I89:I94)</f>
        <v>2562.1041700000001</v>
      </c>
    </row>
    <row r="96" spans="1:9" ht="15.75" customHeight="1">
      <c r="A96" s="29"/>
      <c r="B96" s="51" t="s">
        <v>76</v>
      </c>
      <c r="C96" s="15"/>
      <c r="D96" s="15"/>
      <c r="E96" s="42"/>
      <c r="F96" s="42"/>
      <c r="G96" s="43"/>
      <c r="H96" s="43"/>
      <c r="I96" s="17">
        <v>0</v>
      </c>
    </row>
    <row r="97" spans="1:9" ht="15.75" customHeight="1">
      <c r="A97" s="54"/>
      <c r="B97" s="46" t="s">
        <v>141</v>
      </c>
      <c r="C97" s="34"/>
      <c r="D97" s="34"/>
      <c r="E97" s="34"/>
      <c r="F97" s="34"/>
      <c r="G97" s="34"/>
      <c r="H97" s="34"/>
      <c r="I97" s="44">
        <f>I87+I95</f>
        <v>130863.62349540002</v>
      </c>
    </row>
    <row r="98" spans="1:9" ht="15.75">
      <c r="A98" s="219" t="s">
        <v>284</v>
      </c>
      <c r="B98" s="219"/>
      <c r="C98" s="219"/>
      <c r="D98" s="219"/>
      <c r="E98" s="219"/>
      <c r="F98" s="219"/>
      <c r="G98" s="219"/>
      <c r="H98" s="219"/>
      <c r="I98" s="219"/>
    </row>
    <row r="99" spans="1:9" ht="15.75">
      <c r="A99" s="60"/>
      <c r="B99" s="220" t="s">
        <v>285</v>
      </c>
      <c r="C99" s="220"/>
      <c r="D99" s="220"/>
      <c r="E99" s="220"/>
      <c r="F99" s="220"/>
      <c r="G99" s="220"/>
      <c r="H99" s="77"/>
      <c r="I99" s="3"/>
    </row>
    <row r="100" spans="1:9">
      <c r="A100" s="71"/>
      <c r="B100" s="218" t="s">
        <v>6</v>
      </c>
      <c r="C100" s="218"/>
      <c r="D100" s="218"/>
      <c r="E100" s="218"/>
      <c r="F100" s="218"/>
      <c r="G100" s="218"/>
      <c r="H100" s="24"/>
      <c r="I100" s="5"/>
    </row>
    <row r="101" spans="1:9">
      <c r="A101" s="10"/>
      <c r="B101" s="10"/>
      <c r="C101" s="10"/>
      <c r="D101" s="10"/>
      <c r="E101" s="10"/>
      <c r="F101" s="10"/>
      <c r="G101" s="10"/>
      <c r="H101" s="10"/>
      <c r="I101" s="10"/>
    </row>
    <row r="102" spans="1:9" ht="15.75">
      <c r="A102" s="221" t="s">
        <v>7</v>
      </c>
      <c r="B102" s="221"/>
      <c r="C102" s="221"/>
      <c r="D102" s="221"/>
      <c r="E102" s="221"/>
      <c r="F102" s="221"/>
      <c r="G102" s="221"/>
      <c r="H102" s="221"/>
      <c r="I102" s="221"/>
    </row>
    <row r="103" spans="1:9" ht="15.75">
      <c r="A103" s="221" t="s">
        <v>8</v>
      </c>
      <c r="B103" s="221"/>
      <c r="C103" s="221"/>
      <c r="D103" s="221"/>
      <c r="E103" s="221"/>
      <c r="F103" s="221"/>
      <c r="G103" s="221"/>
      <c r="H103" s="221"/>
      <c r="I103" s="221"/>
    </row>
    <row r="104" spans="1:9" ht="15.75">
      <c r="A104" s="215" t="s">
        <v>59</v>
      </c>
      <c r="B104" s="215"/>
      <c r="C104" s="215"/>
      <c r="D104" s="215"/>
      <c r="E104" s="215"/>
      <c r="F104" s="215"/>
      <c r="G104" s="215"/>
      <c r="H104" s="215"/>
      <c r="I104" s="215"/>
    </row>
    <row r="105" spans="1:9" ht="15.75">
      <c r="A105" s="11"/>
    </row>
    <row r="106" spans="1:9" ht="15.75">
      <c r="A106" s="216" t="s">
        <v>9</v>
      </c>
      <c r="B106" s="216"/>
      <c r="C106" s="216"/>
      <c r="D106" s="216"/>
      <c r="E106" s="216"/>
      <c r="F106" s="216"/>
      <c r="G106" s="216"/>
      <c r="H106" s="216"/>
      <c r="I106" s="216"/>
    </row>
    <row r="107" spans="1:9" ht="15.75">
      <c r="A107" s="4"/>
    </row>
    <row r="108" spans="1:9" ht="15.75">
      <c r="B108" s="69" t="s">
        <v>10</v>
      </c>
      <c r="C108" s="217" t="s">
        <v>219</v>
      </c>
      <c r="D108" s="217"/>
      <c r="E108" s="217"/>
      <c r="F108" s="75"/>
      <c r="I108" s="70"/>
    </row>
    <row r="109" spans="1:9">
      <c r="A109" s="71"/>
      <c r="C109" s="218" t="s">
        <v>11</v>
      </c>
      <c r="D109" s="218"/>
      <c r="E109" s="218"/>
      <c r="F109" s="24"/>
      <c r="I109" s="68" t="s">
        <v>12</v>
      </c>
    </row>
    <row r="110" spans="1:9" ht="15.75">
      <c r="A110" s="25"/>
      <c r="C110" s="12"/>
      <c r="D110" s="12"/>
      <c r="G110" s="12"/>
      <c r="H110" s="12"/>
    </row>
    <row r="111" spans="1:9" ht="15.75">
      <c r="B111" s="69" t="s">
        <v>13</v>
      </c>
      <c r="C111" s="212"/>
      <c r="D111" s="212"/>
      <c r="E111" s="212"/>
      <c r="F111" s="76"/>
      <c r="I111" s="70"/>
    </row>
    <row r="112" spans="1:9">
      <c r="A112" s="71"/>
      <c r="C112" s="213" t="s">
        <v>11</v>
      </c>
      <c r="D112" s="213"/>
      <c r="E112" s="213"/>
      <c r="F112" s="71"/>
      <c r="I112" s="68" t="s">
        <v>12</v>
      </c>
    </row>
    <row r="113" spans="1:9" ht="15.75">
      <c r="A113" s="4" t="s">
        <v>14</v>
      </c>
    </row>
    <row r="114" spans="1:9">
      <c r="A114" s="214" t="s">
        <v>15</v>
      </c>
      <c r="B114" s="214"/>
      <c r="C114" s="214"/>
      <c r="D114" s="214"/>
      <c r="E114" s="214"/>
      <c r="F114" s="214"/>
      <c r="G114" s="214"/>
      <c r="H114" s="214"/>
      <c r="I114" s="214"/>
    </row>
    <row r="115" spans="1:9" ht="45" customHeight="1">
      <c r="A115" s="211" t="s">
        <v>16</v>
      </c>
      <c r="B115" s="211"/>
      <c r="C115" s="211"/>
      <c r="D115" s="211"/>
      <c r="E115" s="211"/>
      <c r="F115" s="211"/>
      <c r="G115" s="211"/>
      <c r="H115" s="211"/>
      <c r="I115" s="211"/>
    </row>
    <row r="116" spans="1:9" ht="30" customHeight="1">
      <c r="A116" s="211" t="s">
        <v>17</v>
      </c>
      <c r="B116" s="211"/>
      <c r="C116" s="211"/>
      <c r="D116" s="211"/>
      <c r="E116" s="211"/>
      <c r="F116" s="211"/>
      <c r="G116" s="211"/>
      <c r="H116" s="211"/>
      <c r="I116" s="211"/>
    </row>
    <row r="117" spans="1:9" ht="30" customHeight="1">
      <c r="A117" s="211" t="s">
        <v>21</v>
      </c>
      <c r="B117" s="211"/>
      <c r="C117" s="211"/>
      <c r="D117" s="211"/>
      <c r="E117" s="211"/>
      <c r="F117" s="211"/>
      <c r="G117" s="211"/>
      <c r="H117" s="211"/>
      <c r="I117" s="211"/>
    </row>
    <row r="118" spans="1:9" ht="15" customHeight="1">
      <c r="A118" s="211" t="s">
        <v>20</v>
      </c>
      <c r="B118" s="211"/>
      <c r="C118" s="211"/>
      <c r="D118" s="211"/>
      <c r="E118" s="211"/>
      <c r="F118" s="211"/>
      <c r="G118" s="211"/>
      <c r="H118" s="211"/>
      <c r="I118" s="211"/>
    </row>
  </sheetData>
  <autoFilter ref="I12:I64"/>
  <mergeCells count="29">
    <mergeCell ref="A14:I14"/>
    <mergeCell ref="A15:I15"/>
    <mergeCell ref="A28:I28"/>
    <mergeCell ref="A44:I44"/>
    <mergeCell ref="A54:I54"/>
    <mergeCell ref="A3:I3"/>
    <mergeCell ref="A4:I4"/>
    <mergeCell ref="A5:I5"/>
    <mergeCell ref="A8:I8"/>
    <mergeCell ref="A10:I10"/>
    <mergeCell ref="R69:U69"/>
    <mergeCell ref="C112:E112"/>
    <mergeCell ref="A88:I88"/>
    <mergeCell ref="A98:I98"/>
    <mergeCell ref="B99:G99"/>
    <mergeCell ref="B100:G100"/>
    <mergeCell ref="A102:I102"/>
    <mergeCell ref="A103:I103"/>
    <mergeCell ref="A104:I104"/>
    <mergeCell ref="A106:I106"/>
    <mergeCell ref="C108:E108"/>
    <mergeCell ref="C109:E109"/>
    <mergeCell ref="C111:E111"/>
    <mergeCell ref="A84:I84"/>
    <mergeCell ref="A114:I114"/>
    <mergeCell ref="A115:I115"/>
    <mergeCell ref="A116:I116"/>
    <mergeCell ref="A117:I117"/>
    <mergeCell ref="A118:I118"/>
  </mergeCells>
  <pageMargins left="0.70866141732283472" right="0.23622047244094491" top="0.27559055118110237" bottom="0.27559055118110237" header="0.31496062992125984" footer="0.31496062992125984"/>
  <pageSetup paperSize="9" scale="63" orientation="portrait" r:id="rId1"/>
  <rowBreaks count="1" manualBreakCount="1">
    <brk id="100" max="8" man="1"/>
  </rowBreaks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24"/>
  <sheetViews>
    <sheetView topLeftCell="A60" zoomScaleNormal="100" workbookViewId="0">
      <selection activeCell="J93" sqref="J9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4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158</v>
      </c>
      <c r="I1" s="26"/>
      <c r="J1" s="1"/>
      <c r="K1" s="1"/>
      <c r="L1" s="1"/>
      <c r="M1" s="1"/>
    </row>
    <row r="2" spans="1:13" ht="15.75" customHeight="1">
      <c r="A2" s="28" t="s">
        <v>60</v>
      </c>
      <c r="J2" s="2"/>
      <c r="K2" s="2"/>
      <c r="L2" s="2"/>
      <c r="M2" s="2"/>
    </row>
    <row r="3" spans="1:13" ht="15.75" customHeight="1">
      <c r="A3" s="228" t="s">
        <v>151</v>
      </c>
      <c r="B3" s="228"/>
      <c r="C3" s="228"/>
      <c r="D3" s="228"/>
      <c r="E3" s="228"/>
      <c r="F3" s="228"/>
      <c r="G3" s="228"/>
      <c r="H3" s="228"/>
      <c r="I3" s="228"/>
      <c r="J3" s="3"/>
      <c r="K3" s="3"/>
      <c r="L3" s="3"/>
    </row>
    <row r="4" spans="1:13" ht="31.5" customHeight="1">
      <c r="A4" s="229" t="s">
        <v>120</v>
      </c>
      <c r="B4" s="229"/>
      <c r="C4" s="229"/>
      <c r="D4" s="229"/>
      <c r="E4" s="229"/>
      <c r="F4" s="229"/>
      <c r="G4" s="229"/>
      <c r="H4" s="229"/>
      <c r="I4" s="229"/>
    </row>
    <row r="5" spans="1:13" ht="15.75" customHeight="1">
      <c r="A5" s="228" t="s">
        <v>286</v>
      </c>
      <c r="B5" s="232"/>
      <c r="C5" s="232"/>
      <c r="D5" s="232"/>
      <c r="E5" s="232"/>
      <c r="F5" s="232"/>
      <c r="G5" s="232"/>
      <c r="H5" s="232"/>
      <c r="I5" s="232"/>
      <c r="J5" s="2"/>
      <c r="K5" s="2"/>
      <c r="L5" s="2"/>
      <c r="M5" s="2"/>
    </row>
    <row r="6" spans="1:13" ht="15.75" customHeight="1">
      <c r="A6" s="2"/>
      <c r="B6" s="72"/>
      <c r="C6" s="72"/>
      <c r="D6" s="72"/>
      <c r="E6" s="72"/>
      <c r="F6" s="72"/>
      <c r="G6" s="72"/>
      <c r="H6" s="72"/>
      <c r="I6" s="30">
        <v>44377</v>
      </c>
      <c r="J6" s="2"/>
      <c r="K6" s="2"/>
      <c r="L6" s="2"/>
      <c r="M6" s="2"/>
    </row>
    <row r="7" spans="1:13" ht="15.75" customHeight="1">
      <c r="B7" s="69"/>
      <c r="C7" s="69"/>
      <c r="D7" s="69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30" t="s">
        <v>224</v>
      </c>
      <c r="B8" s="230"/>
      <c r="C8" s="230"/>
      <c r="D8" s="230"/>
      <c r="E8" s="230"/>
      <c r="F8" s="230"/>
      <c r="G8" s="230"/>
      <c r="H8" s="230"/>
      <c r="I8" s="230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31" t="s">
        <v>133</v>
      </c>
      <c r="B10" s="231"/>
      <c r="C10" s="231"/>
      <c r="D10" s="231"/>
      <c r="E10" s="231"/>
      <c r="F10" s="231"/>
      <c r="G10" s="231"/>
      <c r="H10" s="231"/>
      <c r="I10" s="231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33" t="s">
        <v>57</v>
      </c>
      <c r="B14" s="233"/>
      <c r="C14" s="233"/>
      <c r="D14" s="233"/>
      <c r="E14" s="233"/>
      <c r="F14" s="233"/>
      <c r="G14" s="233"/>
      <c r="H14" s="233"/>
      <c r="I14" s="233"/>
      <c r="J14" s="8"/>
      <c r="K14" s="8"/>
      <c r="L14" s="8"/>
      <c r="M14" s="8"/>
    </row>
    <row r="15" spans="1:13" ht="15.75" customHeight="1">
      <c r="A15" s="234" t="s">
        <v>4</v>
      </c>
      <c r="B15" s="234"/>
      <c r="C15" s="234"/>
      <c r="D15" s="234"/>
      <c r="E15" s="234"/>
      <c r="F15" s="234"/>
      <c r="G15" s="234"/>
      <c r="H15" s="234"/>
      <c r="I15" s="234"/>
      <c r="J15" s="8"/>
      <c r="K15" s="8"/>
      <c r="L15" s="8"/>
      <c r="M15" s="8"/>
    </row>
    <row r="16" spans="1:13" ht="15.75" customHeight="1">
      <c r="A16" s="29">
        <v>1</v>
      </c>
      <c r="B16" s="32" t="s">
        <v>81</v>
      </c>
      <c r="C16" s="133" t="s">
        <v>87</v>
      </c>
      <c r="D16" s="32" t="s">
        <v>178</v>
      </c>
      <c r="E16" s="146">
        <v>129.88</v>
      </c>
      <c r="F16" s="134">
        <f>SUM(E16*156/100)</f>
        <v>202.61279999999999</v>
      </c>
      <c r="G16" s="134">
        <v>239.2</v>
      </c>
      <c r="H16" s="83">
        <f t="shared" ref="H16:H26" si="0">SUM(F16*G16/1000)</f>
        <v>48.464981759999993</v>
      </c>
      <c r="I16" s="13">
        <f>F16/12*G16</f>
        <v>4038.7484799999997</v>
      </c>
      <c r="J16" s="8"/>
      <c r="K16" s="8"/>
      <c r="L16" s="8"/>
      <c r="M16" s="8"/>
    </row>
    <row r="17" spans="1:13" ht="15.75" customHeight="1">
      <c r="A17" s="29">
        <v>2</v>
      </c>
      <c r="B17" s="32" t="s">
        <v>83</v>
      </c>
      <c r="C17" s="133" t="s">
        <v>87</v>
      </c>
      <c r="D17" s="32" t="s">
        <v>179</v>
      </c>
      <c r="E17" s="146">
        <v>519.52</v>
      </c>
      <c r="F17" s="134">
        <f>SUM(E17*104/100)</f>
        <v>540.30079999999998</v>
      </c>
      <c r="G17" s="134">
        <v>239.2</v>
      </c>
      <c r="H17" s="83">
        <f t="shared" si="0"/>
        <v>129.23995135999999</v>
      </c>
      <c r="I17" s="13">
        <f>F17/12*G17</f>
        <v>10769.995946666666</v>
      </c>
      <c r="J17" s="22"/>
      <c r="K17" s="8"/>
      <c r="L17" s="8"/>
      <c r="M17" s="8"/>
    </row>
    <row r="18" spans="1:13" ht="15.75" customHeight="1">
      <c r="A18" s="29">
        <v>3</v>
      </c>
      <c r="B18" s="32" t="s">
        <v>84</v>
      </c>
      <c r="C18" s="133" t="s">
        <v>87</v>
      </c>
      <c r="D18" s="32" t="s">
        <v>180</v>
      </c>
      <c r="E18" s="146">
        <f>SUM(E16+E17)</f>
        <v>649.4</v>
      </c>
      <c r="F18" s="134">
        <f>SUM(E18*18/100)</f>
        <v>116.892</v>
      </c>
      <c r="G18" s="134">
        <v>688.14</v>
      </c>
      <c r="H18" s="83">
        <f t="shared" si="0"/>
        <v>80.438060879999995</v>
      </c>
      <c r="I18" s="13">
        <f>F18/18*2*G18</f>
        <v>8937.5623199999991</v>
      </c>
      <c r="J18" s="22"/>
      <c r="K18" s="8"/>
      <c r="L18" s="8"/>
      <c r="M18" s="8"/>
    </row>
    <row r="19" spans="1:13" ht="15.75" customHeight="1">
      <c r="A19" s="29">
        <v>4</v>
      </c>
      <c r="B19" s="32" t="s">
        <v>88</v>
      </c>
      <c r="C19" s="136" t="s">
        <v>89</v>
      </c>
      <c r="D19" s="135" t="s">
        <v>187</v>
      </c>
      <c r="E19" s="137">
        <v>124.8</v>
      </c>
      <c r="F19" s="138">
        <f>SUM(E19/10)</f>
        <v>12.48</v>
      </c>
      <c r="G19" s="138">
        <v>232.1</v>
      </c>
      <c r="H19" s="83">
        <f t="shared" si="0"/>
        <v>2.8966080000000001</v>
      </c>
      <c r="I19" s="13">
        <f>F19*G19</f>
        <v>2896.6080000000002</v>
      </c>
      <c r="J19" s="22"/>
      <c r="K19" s="8"/>
      <c r="L19" s="8"/>
      <c r="M19" s="8"/>
    </row>
    <row r="20" spans="1:13" ht="18" customHeight="1">
      <c r="A20" s="29">
        <v>5</v>
      </c>
      <c r="B20" s="32" t="s">
        <v>93</v>
      </c>
      <c r="C20" s="133" t="s">
        <v>87</v>
      </c>
      <c r="D20" s="32" t="s">
        <v>187</v>
      </c>
      <c r="E20" s="146">
        <v>57.5</v>
      </c>
      <c r="F20" s="134">
        <f>SUM(E20*12/100)</f>
        <v>6.9</v>
      </c>
      <c r="G20" s="134">
        <v>297.19</v>
      </c>
      <c r="H20" s="83">
        <f t="shared" si="0"/>
        <v>2.050611</v>
      </c>
      <c r="I20" s="13">
        <f>F20*G20/12</f>
        <v>170.88424999999998</v>
      </c>
      <c r="J20" s="22"/>
      <c r="K20" s="8"/>
      <c r="L20" s="8"/>
      <c r="M20" s="8"/>
    </row>
    <row r="21" spans="1:13" ht="17.25" customHeight="1">
      <c r="A21" s="29">
        <v>6</v>
      </c>
      <c r="B21" s="32" t="s">
        <v>94</v>
      </c>
      <c r="C21" s="133" t="s">
        <v>87</v>
      </c>
      <c r="D21" s="32" t="s">
        <v>187</v>
      </c>
      <c r="E21" s="146">
        <v>13.41</v>
      </c>
      <c r="F21" s="134">
        <f>SUM(E21*12/100)</f>
        <v>1.6092000000000002</v>
      </c>
      <c r="G21" s="134">
        <v>294.77999999999997</v>
      </c>
      <c r="H21" s="83">
        <f t="shared" si="0"/>
        <v>0.47435997600000002</v>
      </c>
      <c r="I21" s="13">
        <f>F21*G21/12</f>
        <v>39.529997999999999</v>
      </c>
      <c r="J21" s="22"/>
      <c r="K21" s="8"/>
      <c r="L21" s="8"/>
      <c r="M21" s="8"/>
    </row>
    <row r="22" spans="1:13" ht="17.25" hidden="1" customHeight="1">
      <c r="A22" s="29">
        <v>7</v>
      </c>
      <c r="B22" s="32" t="s">
        <v>95</v>
      </c>
      <c r="C22" s="133" t="s">
        <v>51</v>
      </c>
      <c r="D22" s="32" t="s">
        <v>206</v>
      </c>
      <c r="E22" s="146">
        <v>820.5</v>
      </c>
      <c r="F22" s="134">
        <f>SUM(E22/100)</f>
        <v>8.2050000000000001</v>
      </c>
      <c r="G22" s="134">
        <v>367.27</v>
      </c>
      <c r="H22" s="83">
        <f t="shared" si="0"/>
        <v>3.0134503500000003</v>
      </c>
      <c r="I22" s="13">
        <f t="shared" ref="I22:I26" si="1">F22*G22</f>
        <v>3013.4503500000001</v>
      </c>
      <c r="J22" s="22"/>
      <c r="K22" s="8"/>
      <c r="L22" s="8"/>
      <c r="M22" s="8"/>
    </row>
    <row r="23" spans="1:13" ht="17.25" hidden="1" customHeight="1">
      <c r="A23" s="29">
        <v>8</v>
      </c>
      <c r="B23" s="32" t="s">
        <v>96</v>
      </c>
      <c r="C23" s="133" t="s">
        <v>51</v>
      </c>
      <c r="D23" s="32" t="s">
        <v>210</v>
      </c>
      <c r="E23" s="153">
        <v>60.25</v>
      </c>
      <c r="F23" s="134">
        <f>SUM(E23/100)</f>
        <v>0.60250000000000004</v>
      </c>
      <c r="G23" s="134">
        <v>60.41</v>
      </c>
      <c r="H23" s="83">
        <f t="shared" si="0"/>
        <v>3.6397025E-2</v>
      </c>
      <c r="I23" s="13">
        <f t="shared" si="1"/>
        <v>36.397024999999999</v>
      </c>
      <c r="J23" s="22"/>
      <c r="K23" s="8"/>
      <c r="L23" s="8"/>
      <c r="M23" s="8"/>
    </row>
    <row r="24" spans="1:13" ht="15.75" hidden="1" customHeight="1">
      <c r="A24" s="29">
        <v>9</v>
      </c>
      <c r="B24" s="32" t="s">
        <v>91</v>
      </c>
      <c r="C24" s="133" t="s">
        <v>51</v>
      </c>
      <c r="D24" s="32" t="s">
        <v>187</v>
      </c>
      <c r="E24" s="146">
        <v>19.149999999999999</v>
      </c>
      <c r="F24" s="134">
        <f>E24/100</f>
        <v>0.19149999999999998</v>
      </c>
      <c r="G24" s="134">
        <v>531.55999999999995</v>
      </c>
      <c r="H24" s="83">
        <f t="shared" si="0"/>
        <v>0.10179373999999997</v>
      </c>
      <c r="I24" s="13">
        <f t="shared" si="1"/>
        <v>101.79373999999997</v>
      </c>
      <c r="J24" s="22"/>
      <c r="K24" s="8"/>
      <c r="L24" s="8"/>
      <c r="M24" s="8"/>
    </row>
    <row r="25" spans="1:13" ht="14.25" hidden="1" customHeight="1">
      <c r="A25" s="29">
        <v>10</v>
      </c>
      <c r="B25" s="32" t="s">
        <v>98</v>
      </c>
      <c r="C25" s="133" t="s">
        <v>51</v>
      </c>
      <c r="D25" s="32" t="s">
        <v>181</v>
      </c>
      <c r="E25" s="146">
        <v>31.5</v>
      </c>
      <c r="F25" s="134">
        <v>0.32</v>
      </c>
      <c r="G25" s="134">
        <v>294.77999999999997</v>
      </c>
      <c r="H25" s="83">
        <f t="shared" si="0"/>
        <v>9.43296E-2</v>
      </c>
      <c r="I25" s="13">
        <f t="shared" si="1"/>
        <v>94.329599999999999</v>
      </c>
      <c r="J25" s="22"/>
      <c r="K25" s="8"/>
      <c r="L25" s="8"/>
      <c r="M25" s="8"/>
    </row>
    <row r="26" spans="1:13" ht="16.5" hidden="1" customHeight="1">
      <c r="A26" s="29">
        <v>11</v>
      </c>
      <c r="B26" s="32" t="s">
        <v>97</v>
      </c>
      <c r="C26" s="133" t="s">
        <v>51</v>
      </c>
      <c r="D26" s="32" t="s">
        <v>211</v>
      </c>
      <c r="E26" s="146">
        <v>37.5</v>
      </c>
      <c r="F26" s="134">
        <f>SUM(E26/100)</f>
        <v>0.375</v>
      </c>
      <c r="G26" s="134">
        <v>710.37</v>
      </c>
      <c r="H26" s="83">
        <f t="shared" si="0"/>
        <v>0.26638875000000001</v>
      </c>
      <c r="I26" s="13">
        <f t="shared" si="1"/>
        <v>266.38875000000002</v>
      </c>
      <c r="J26" s="22"/>
      <c r="K26" s="8"/>
      <c r="L26" s="8"/>
      <c r="M26" s="8"/>
    </row>
    <row r="27" spans="1:13" ht="15.75" hidden="1" customHeight="1">
      <c r="A27" s="29">
        <v>12</v>
      </c>
      <c r="B27" s="32" t="s">
        <v>177</v>
      </c>
      <c r="C27" s="133" t="s">
        <v>26</v>
      </c>
      <c r="D27" s="32" t="s">
        <v>182</v>
      </c>
      <c r="E27" s="169">
        <v>4.88</v>
      </c>
      <c r="F27" s="134">
        <f>E27*258</f>
        <v>1259.04</v>
      </c>
      <c r="G27" s="134">
        <v>10.39</v>
      </c>
      <c r="H27" s="83">
        <f t="shared" ref="H27" si="2">SUM(F27*G27/1000)</f>
        <v>13.081425600000001</v>
      </c>
      <c r="I27" s="13">
        <f>F27/12*G27</f>
        <v>1090.1188</v>
      </c>
      <c r="J27" s="22"/>
      <c r="K27" s="8"/>
      <c r="L27" s="8"/>
      <c r="M27" s="8"/>
    </row>
    <row r="28" spans="1:13" ht="15.75" customHeight="1">
      <c r="A28" s="234" t="s">
        <v>80</v>
      </c>
      <c r="B28" s="234"/>
      <c r="C28" s="234"/>
      <c r="D28" s="234"/>
      <c r="E28" s="234"/>
      <c r="F28" s="234"/>
      <c r="G28" s="234"/>
      <c r="H28" s="234"/>
      <c r="I28" s="234"/>
      <c r="J28" s="22"/>
      <c r="K28" s="8"/>
      <c r="L28" s="8"/>
      <c r="M28" s="8"/>
    </row>
    <row r="29" spans="1:13" ht="15.75" customHeight="1">
      <c r="A29" s="40"/>
      <c r="B29" s="50" t="s">
        <v>29</v>
      </c>
      <c r="C29" s="50"/>
      <c r="D29" s="50"/>
      <c r="E29" s="50"/>
      <c r="F29" s="50"/>
      <c r="G29" s="50"/>
      <c r="H29" s="50"/>
      <c r="I29" s="18"/>
      <c r="J29" s="22"/>
      <c r="K29" s="8"/>
      <c r="L29" s="8"/>
      <c r="M29" s="8"/>
    </row>
    <row r="30" spans="1:13" ht="15.75" customHeight="1">
      <c r="A30" s="40">
        <v>7</v>
      </c>
      <c r="B30" s="32" t="s">
        <v>99</v>
      </c>
      <c r="C30" s="133" t="s">
        <v>100</v>
      </c>
      <c r="D30" s="32" t="s">
        <v>179</v>
      </c>
      <c r="E30" s="134">
        <v>1304.45</v>
      </c>
      <c r="F30" s="134">
        <f>SUM(E30*52/1000)</f>
        <v>67.831400000000002</v>
      </c>
      <c r="G30" s="134">
        <v>212.62</v>
      </c>
      <c r="H30" s="83">
        <f t="shared" ref="H30:H34" si="3">SUM(F30*G30/1000)</f>
        <v>14.422312268000001</v>
      </c>
      <c r="I30" s="13">
        <f>F30/6*G30</f>
        <v>2403.7187113333334</v>
      </c>
      <c r="J30" s="22"/>
      <c r="K30" s="8"/>
      <c r="L30" s="8"/>
      <c r="M30" s="8"/>
    </row>
    <row r="31" spans="1:13" ht="31.5" customHeight="1">
      <c r="A31" s="40">
        <v>8</v>
      </c>
      <c r="B31" s="32" t="s">
        <v>137</v>
      </c>
      <c r="C31" s="133" t="s">
        <v>100</v>
      </c>
      <c r="D31" s="32" t="s">
        <v>179</v>
      </c>
      <c r="E31" s="134">
        <v>287.83999999999997</v>
      </c>
      <c r="F31" s="134">
        <f>SUM(E31*52/1000)</f>
        <v>14.967679999999998</v>
      </c>
      <c r="G31" s="134">
        <v>352.77</v>
      </c>
      <c r="H31" s="83">
        <f t="shared" si="3"/>
        <v>5.2801484735999997</v>
      </c>
      <c r="I31" s="13">
        <f t="shared" ref="I31" si="4">F31/6*G31</f>
        <v>880.02474559999985</v>
      </c>
      <c r="J31" s="22"/>
      <c r="K31" s="8"/>
      <c r="L31" s="8"/>
      <c r="M31" s="8"/>
    </row>
    <row r="32" spans="1:13" ht="15.75" hidden="1" customHeight="1">
      <c r="A32" s="40">
        <v>16</v>
      </c>
      <c r="B32" s="32" t="s">
        <v>28</v>
      </c>
      <c r="C32" s="133" t="s">
        <v>100</v>
      </c>
      <c r="D32" s="32" t="s">
        <v>52</v>
      </c>
      <c r="E32" s="134">
        <v>1304.45</v>
      </c>
      <c r="F32" s="134">
        <f>SUM(E32/1000)</f>
        <v>1.3044500000000001</v>
      </c>
      <c r="G32" s="134">
        <v>4119.68</v>
      </c>
      <c r="H32" s="83">
        <f t="shared" si="3"/>
        <v>5.3739165760000009</v>
      </c>
      <c r="I32" s="13">
        <f>F32*G32</f>
        <v>5373.9165760000005</v>
      </c>
      <c r="J32" s="22"/>
      <c r="K32" s="8"/>
      <c r="L32" s="8"/>
      <c r="M32" s="8"/>
    </row>
    <row r="33" spans="1:14" ht="15.75" hidden="1" customHeight="1">
      <c r="A33" s="40">
        <v>4</v>
      </c>
      <c r="B33" s="79" t="s">
        <v>63</v>
      </c>
      <c r="C33" s="80" t="s">
        <v>33</v>
      </c>
      <c r="D33" s="79" t="s">
        <v>65</v>
      </c>
      <c r="E33" s="81"/>
      <c r="F33" s="82">
        <v>3</v>
      </c>
      <c r="G33" s="82">
        <v>191.32</v>
      </c>
      <c r="H33" s="83">
        <f t="shared" si="3"/>
        <v>0.57396000000000003</v>
      </c>
      <c r="I33" s="13">
        <v>0</v>
      </c>
      <c r="J33" s="23"/>
    </row>
    <row r="34" spans="1:14" ht="15.75" hidden="1" customHeight="1">
      <c r="A34" s="29">
        <v>9</v>
      </c>
      <c r="B34" s="79" t="s">
        <v>64</v>
      </c>
      <c r="C34" s="80" t="s">
        <v>32</v>
      </c>
      <c r="D34" s="79" t="s">
        <v>188</v>
      </c>
      <c r="E34" s="81"/>
      <c r="F34" s="82">
        <v>2</v>
      </c>
      <c r="G34" s="138">
        <v>1549.92</v>
      </c>
      <c r="H34" s="83">
        <f t="shared" si="3"/>
        <v>3.0998399999999999</v>
      </c>
      <c r="I34" s="13">
        <f>G34*1</f>
        <v>1549.92</v>
      </c>
      <c r="J34" s="23"/>
    </row>
    <row r="35" spans="1:14" ht="15.75" hidden="1" customHeight="1">
      <c r="A35" s="40"/>
      <c r="B35" s="48" t="s">
        <v>5</v>
      </c>
      <c r="C35" s="48"/>
      <c r="D35" s="48"/>
      <c r="E35" s="13"/>
      <c r="F35" s="13"/>
      <c r="G35" s="14"/>
      <c r="H35" s="14"/>
      <c r="I35" s="18"/>
      <c r="J35" s="23"/>
    </row>
    <row r="36" spans="1:14" ht="15.75" hidden="1" customHeight="1">
      <c r="A36" s="33">
        <v>6</v>
      </c>
      <c r="B36" s="79" t="s">
        <v>27</v>
      </c>
      <c r="C36" s="80" t="s">
        <v>32</v>
      </c>
      <c r="D36" s="79"/>
      <c r="E36" s="81"/>
      <c r="F36" s="82">
        <v>10</v>
      </c>
      <c r="G36" s="82">
        <v>1527.22</v>
      </c>
      <c r="H36" s="83">
        <f t="shared" ref="H36:H43" si="5">SUM(F36*G36/1000)</f>
        <v>15.272200000000002</v>
      </c>
      <c r="I36" s="13">
        <f>F36/6*G36</f>
        <v>2545.3666666666668</v>
      </c>
      <c r="J36" s="23"/>
    </row>
    <row r="37" spans="1:14" ht="15.75" hidden="1" customHeight="1">
      <c r="A37" s="33">
        <v>7</v>
      </c>
      <c r="B37" s="79" t="s">
        <v>121</v>
      </c>
      <c r="C37" s="80" t="s">
        <v>30</v>
      </c>
      <c r="D37" s="79" t="s">
        <v>122</v>
      </c>
      <c r="E37" s="82">
        <v>495</v>
      </c>
      <c r="F37" s="82">
        <f>SUM(E37*12/1000)</f>
        <v>5.94</v>
      </c>
      <c r="G37" s="82">
        <v>2102.71</v>
      </c>
      <c r="H37" s="83">
        <f t="shared" si="5"/>
        <v>12.4900974</v>
      </c>
      <c r="I37" s="13">
        <f>F37/6*G37</f>
        <v>2081.6829000000002</v>
      </c>
      <c r="J37" s="23"/>
    </row>
    <row r="38" spans="1:14" ht="15.75" hidden="1" customHeight="1">
      <c r="A38" s="33">
        <v>8</v>
      </c>
      <c r="B38" s="79" t="s">
        <v>123</v>
      </c>
      <c r="C38" s="80" t="s">
        <v>30</v>
      </c>
      <c r="D38" s="79" t="s">
        <v>104</v>
      </c>
      <c r="E38" s="81">
        <v>287.83999999999997</v>
      </c>
      <c r="F38" s="82">
        <v>8.64</v>
      </c>
      <c r="G38" s="82">
        <v>2102.71</v>
      </c>
      <c r="H38" s="83">
        <f>G38*F38/1000</f>
        <v>18.167414400000002</v>
      </c>
      <c r="I38" s="13">
        <f>F38/6*G38</f>
        <v>3027.9024000000004</v>
      </c>
      <c r="J38" s="23"/>
    </row>
    <row r="39" spans="1:14" ht="15.75" hidden="1" customHeight="1">
      <c r="A39" s="33">
        <v>7</v>
      </c>
      <c r="B39" s="79" t="s">
        <v>85</v>
      </c>
      <c r="C39" s="80" t="s">
        <v>124</v>
      </c>
      <c r="D39" s="79" t="s">
        <v>65</v>
      </c>
      <c r="E39" s="81"/>
      <c r="F39" s="82">
        <v>80</v>
      </c>
      <c r="G39" s="82">
        <v>199.44</v>
      </c>
      <c r="H39" s="83">
        <f>G39*F39/1000</f>
        <v>15.955200000000001</v>
      </c>
      <c r="I39" s="13">
        <v>0</v>
      </c>
      <c r="J39" s="23"/>
    </row>
    <row r="40" spans="1:14" ht="15.75" hidden="1" customHeight="1">
      <c r="A40" s="33">
        <v>9</v>
      </c>
      <c r="B40" s="79" t="s">
        <v>66</v>
      </c>
      <c r="C40" s="80" t="s">
        <v>30</v>
      </c>
      <c r="D40" s="79" t="s">
        <v>105</v>
      </c>
      <c r="E40" s="82">
        <v>287.83999999999997</v>
      </c>
      <c r="F40" s="82">
        <f>SUM(E40*155/1000)</f>
        <v>44.615199999999994</v>
      </c>
      <c r="G40" s="82">
        <v>350.75</v>
      </c>
      <c r="H40" s="83">
        <f t="shared" si="5"/>
        <v>15.648781399999997</v>
      </c>
      <c r="I40" s="13">
        <f>F40/6*G40</f>
        <v>2608.1302333333329</v>
      </c>
      <c r="J40" s="23"/>
    </row>
    <row r="41" spans="1:14" ht="47.25" hidden="1" customHeight="1">
      <c r="A41" s="33">
        <v>10</v>
      </c>
      <c r="B41" s="79" t="s">
        <v>78</v>
      </c>
      <c r="C41" s="80" t="s">
        <v>100</v>
      </c>
      <c r="D41" s="79" t="s">
        <v>125</v>
      </c>
      <c r="E41" s="82">
        <v>89.43</v>
      </c>
      <c r="F41" s="82">
        <f>SUM(E41*24/1000)</f>
        <v>2.1463200000000002</v>
      </c>
      <c r="G41" s="82">
        <v>5803.28</v>
      </c>
      <c r="H41" s="83">
        <f t="shared" si="5"/>
        <v>12.455695929600001</v>
      </c>
      <c r="I41" s="13">
        <f>F41/6*G41</f>
        <v>2075.9493216000001</v>
      </c>
      <c r="J41" s="23"/>
      <c r="L41" s="19"/>
      <c r="M41" s="20"/>
      <c r="N41" s="21"/>
    </row>
    <row r="42" spans="1:14" ht="15.75" hidden="1" customHeight="1">
      <c r="A42" s="33">
        <v>11</v>
      </c>
      <c r="B42" s="79" t="s">
        <v>106</v>
      </c>
      <c r="C42" s="80" t="s">
        <v>100</v>
      </c>
      <c r="D42" s="79" t="s">
        <v>67</v>
      </c>
      <c r="E42" s="82">
        <v>130.08000000000001</v>
      </c>
      <c r="F42" s="82">
        <f>SUM(E42*45/1000)</f>
        <v>5.8536000000000001</v>
      </c>
      <c r="G42" s="82">
        <v>428.7</v>
      </c>
      <c r="H42" s="83">
        <f t="shared" si="5"/>
        <v>2.5094383200000001</v>
      </c>
      <c r="I42" s="13">
        <f>F42/6*G42</f>
        <v>418.23971999999998</v>
      </c>
      <c r="J42" s="23"/>
      <c r="L42" s="19"/>
      <c r="M42" s="20"/>
      <c r="N42" s="21"/>
    </row>
    <row r="43" spans="1:14" ht="15.75" hidden="1" customHeight="1">
      <c r="A43" s="33">
        <v>12</v>
      </c>
      <c r="B43" s="79" t="s">
        <v>68</v>
      </c>
      <c r="C43" s="80" t="s">
        <v>33</v>
      </c>
      <c r="D43" s="79"/>
      <c r="E43" s="81"/>
      <c r="F43" s="82">
        <v>0.9</v>
      </c>
      <c r="G43" s="82">
        <v>798</v>
      </c>
      <c r="H43" s="83">
        <f t="shared" si="5"/>
        <v>0.71820000000000006</v>
      </c>
      <c r="I43" s="13">
        <f>F43/6*G43</f>
        <v>119.69999999999999</v>
      </c>
      <c r="J43" s="23"/>
      <c r="L43" s="19"/>
      <c r="M43" s="20"/>
      <c r="N43" s="21"/>
    </row>
    <row r="44" spans="1:14" ht="15.75" hidden="1" customHeight="1">
      <c r="A44" s="238" t="s">
        <v>134</v>
      </c>
      <c r="B44" s="239"/>
      <c r="C44" s="239"/>
      <c r="D44" s="239"/>
      <c r="E44" s="239"/>
      <c r="F44" s="239"/>
      <c r="G44" s="239"/>
      <c r="H44" s="239"/>
      <c r="I44" s="240"/>
      <c r="J44" s="23"/>
      <c r="L44" s="19"/>
      <c r="M44" s="20"/>
      <c r="N44" s="21"/>
    </row>
    <row r="45" spans="1:14" ht="15.75" hidden="1" customHeight="1">
      <c r="A45" s="40">
        <v>18</v>
      </c>
      <c r="B45" s="79" t="s">
        <v>126</v>
      </c>
      <c r="C45" s="80" t="s">
        <v>100</v>
      </c>
      <c r="D45" s="79" t="s">
        <v>41</v>
      </c>
      <c r="E45" s="81">
        <v>1369</v>
      </c>
      <c r="F45" s="82">
        <f>SUM(E45*2/1000)</f>
        <v>2.738</v>
      </c>
      <c r="G45" s="13">
        <v>849.49</v>
      </c>
      <c r="H45" s="83">
        <f t="shared" ref="H45:H53" si="6">SUM(F45*G45/1000)</f>
        <v>2.3259036200000001</v>
      </c>
      <c r="I45" s="13">
        <f t="shared" ref="I45:I47" si="7">F45/2*G45</f>
        <v>1162.95181</v>
      </c>
      <c r="J45" s="23"/>
      <c r="L45" s="19"/>
      <c r="M45" s="20"/>
      <c r="N45" s="21"/>
    </row>
    <row r="46" spans="1:14" ht="15.75" hidden="1" customHeight="1">
      <c r="A46" s="40">
        <v>19</v>
      </c>
      <c r="B46" s="79" t="s">
        <v>34</v>
      </c>
      <c r="C46" s="80" t="s">
        <v>100</v>
      </c>
      <c r="D46" s="79" t="s">
        <v>41</v>
      </c>
      <c r="E46" s="81">
        <v>1418</v>
      </c>
      <c r="F46" s="82">
        <f>SUM(E46*2/1000)</f>
        <v>2.8359999999999999</v>
      </c>
      <c r="G46" s="13">
        <v>579.48</v>
      </c>
      <c r="H46" s="83">
        <f t="shared" si="6"/>
        <v>1.6434052799999999</v>
      </c>
      <c r="I46" s="13">
        <f t="shared" si="7"/>
        <v>821.70263999999997</v>
      </c>
      <c r="J46" s="23"/>
      <c r="L46" s="19"/>
      <c r="M46" s="20"/>
      <c r="N46" s="21"/>
    </row>
    <row r="47" spans="1:14" ht="15.75" hidden="1" customHeight="1">
      <c r="A47" s="40">
        <v>20</v>
      </c>
      <c r="B47" s="79" t="s">
        <v>35</v>
      </c>
      <c r="C47" s="80" t="s">
        <v>100</v>
      </c>
      <c r="D47" s="79" t="s">
        <v>41</v>
      </c>
      <c r="E47" s="81">
        <v>4985.21</v>
      </c>
      <c r="F47" s="82">
        <f>SUM(E47*2/1000)</f>
        <v>9.9704200000000007</v>
      </c>
      <c r="G47" s="13">
        <v>579.48</v>
      </c>
      <c r="H47" s="83">
        <f t="shared" si="6"/>
        <v>5.7776589816000001</v>
      </c>
      <c r="I47" s="13">
        <f t="shared" si="7"/>
        <v>2888.8294908000003</v>
      </c>
      <c r="J47" s="23"/>
      <c r="L47" s="19"/>
      <c r="M47" s="20"/>
      <c r="N47" s="21"/>
    </row>
    <row r="48" spans="1:14" ht="15.75" hidden="1" customHeight="1">
      <c r="A48" s="40">
        <v>21</v>
      </c>
      <c r="B48" s="79" t="s">
        <v>36</v>
      </c>
      <c r="C48" s="80" t="s">
        <v>100</v>
      </c>
      <c r="D48" s="79" t="s">
        <v>41</v>
      </c>
      <c r="E48" s="81">
        <v>2474</v>
      </c>
      <c r="F48" s="82">
        <f>SUM(E48*2/1000)</f>
        <v>4.9480000000000004</v>
      </c>
      <c r="G48" s="13">
        <v>606.77</v>
      </c>
      <c r="H48" s="83">
        <f t="shared" si="6"/>
        <v>3.0022979600000004</v>
      </c>
      <c r="I48" s="13">
        <f>F48/2*G48</f>
        <v>1501.1489800000002</v>
      </c>
      <c r="J48" s="23"/>
      <c r="L48" s="19"/>
      <c r="M48" s="20"/>
      <c r="N48" s="21"/>
    </row>
    <row r="49" spans="1:14" ht="15.75" hidden="1" customHeight="1">
      <c r="A49" s="40">
        <v>22</v>
      </c>
      <c r="B49" s="79" t="s">
        <v>54</v>
      </c>
      <c r="C49" s="80" t="s">
        <v>100</v>
      </c>
      <c r="D49" s="79" t="s">
        <v>138</v>
      </c>
      <c r="E49" s="81">
        <v>1349.3</v>
      </c>
      <c r="F49" s="82">
        <f>SUM(E49*5/1000)</f>
        <v>6.7465000000000002</v>
      </c>
      <c r="G49" s="13">
        <v>1213.55</v>
      </c>
      <c r="H49" s="83">
        <f t="shared" si="6"/>
        <v>8.1872150749999992</v>
      </c>
      <c r="I49" s="13">
        <f>F49/5*G49</f>
        <v>1637.4430149999998</v>
      </c>
      <c r="J49" s="23"/>
      <c r="L49" s="19"/>
      <c r="M49" s="20"/>
      <c r="N49" s="21"/>
    </row>
    <row r="50" spans="1:14" ht="30.75" hidden="1" customHeight="1">
      <c r="A50" s="40">
        <v>13</v>
      </c>
      <c r="B50" s="79" t="s">
        <v>107</v>
      </c>
      <c r="C50" s="80" t="s">
        <v>100</v>
      </c>
      <c r="D50" s="79" t="s">
        <v>41</v>
      </c>
      <c r="E50" s="81">
        <v>1349.3</v>
      </c>
      <c r="F50" s="82">
        <f>SUM(E50*2/1000)</f>
        <v>2.6985999999999999</v>
      </c>
      <c r="G50" s="13">
        <v>1213.55</v>
      </c>
      <c r="H50" s="83">
        <f t="shared" si="6"/>
        <v>3.2748860299999998</v>
      </c>
      <c r="I50" s="13">
        <f>F50/2*G50</f>
        <v>1637.4430149999998</v>
      </c>
      <c r="J50" s="23"/>
      <c r="L50" s="19"/>
      <c r="M50" s="20"/>
      <c r="N50" s="21"/>
    </row>
    <row r="51" spans="1:14" ht="30.75" hidden="1" customHeight="1">
      <c r="A51" s="40">
        <v>14</v>
      </c>
      <c r="B51" s="79" t="s">
        <v>108</v>
      </c>
      <c r="C51" s="80" t="s">
        <v>37</v>
      </c>
      <c r="D51" s="79" t="s">
        <v>41</v>
      </c>
      <c r="E51" s="81">
        <v>40</v>
      </c>
      <c r="F51" s="82">
        <f>SUM(E51*2/100)</f>
        <v>0.8</v>
      </c>
      <c r="G51" s="13">
        <v>2730.49</v>
      </c>
      <c r="H51" s="83">
        <f t="shared" si="6"/>
        <v>2.1843919999999999</v>
      </c>
      <c r="I51" s="13">
        <f t="shared" ref="I51:I52" si="8">F51/2*G51</f>
        <v>1092.1959999999999</v>
      </c>
      <c r="J51" s="23"/>
      <c r="L51" s="19"/>
      <c r="M51" s="20"/>
      <c r="N51" s="21"/>
    </row>
    <row r="52" spans="1:14" ht="15.75" hidden="1" customHeight="1">
      <c r="A52" s="40">
        <v>15</v>
      </c>
      <c r="B52" s="79" t="s">
        <v>38</v>
      </c>
      <c r="C52" s="80" t="s">
        <v>39</v>
      </c>
      <c r="D52" s="79" t="s">
        <v>41</v>
      </c>
      <c r="E52" s="81">
        <v>1</v>
      </c>
      <c r="F52" s="82">
        <v>0.02</v>
      </c>
      <c r="G52" s="13">
        <v>5652.13</v>
      </c>
      <c r="H52" s="83">
        <f t="shared" si="6"/>
        <v>0.11304260000000001</v>
      </c>
      <c r="I52" s="13">
        <f t="shared" si="8"/>
        <v>56.521300000000004</v>
      </c>
      <c r="J52" s="23"/>
      <c r="L52" s="19"/>
      <c r="M52" s="20"/>
      <c r="N52" s="21"/>
    </row>
    <row r="53" spans="1:14" ht="15.75" hidden="1" customHeight="1">
      <c r="A53" s="40">
        <v>9</v>
      </c>
      <c r="B53" s="79" t="s">
        <v>40</v>
      </c>
      <c r="C53" s="80" t="s">
        <v>109</v>
      </c>
      <c r="D53" s="79" t="s">
        <v>69</v>
      </c>
      <c r="E53" s="81">
        <v>238</v>
      </c>
      <c r="F53" s="82">
        <f>SUM(E53)*3</f>
        <v>714</v>
      </c>
      <c r="G53" s="13">
        <v>65.67</v>
      </c>
      <c r="H53" s="83">
        <f t="shared" si="6"/>
        <v>46.888380000000005</v>
      </c>
      <c r="I53" s="13">
        <f>E53*G53</f>
        <v>15629.460000000001</v>
      </c>
      <c r="J53" s="23"/>
      <c r="L53" s="19"/>
      <c r="M53" s="20"/>
      <c r="N53" s="21"/>
    </row>
    <row r="54" spans="1:14" ht="15.75" customHeight="1">
      <c r="A54" s="238" t="s">
        <v>146</v>
      </c>
      <c r="B54" s="239"/>
      <c r="C54" s="239"/>
      <c r="D54" s="239"/>
      <c r="E54" s="239"/>
      <c r="F54" s="239"/>
      <c r="G54" s="239"/>
      <c r="H54" s="239"/>
      <c r="I54" s="240"/>
      <c r="J54" s="23"/>
      <c r="L54" s="19"/>
      <c r="M54" s="20"/>
      <c r="N54" s="21"/>
    </row>
    <row r="55" spans="1:14" ht="15.75" hidden="1" customHeight="1">
      <c r="A55" s="173"/>
      <c r="B55" s="47" t="s">
        <v>42</v>
      </c>
      <c r="C55" s="16"/>
      <c r="D55" s="15"/>
      <c r="E55" s="15"/>
      <c r="F55" s="15"/>
      <c r="G55" s="29"/>
      <c r="H55" s="29"/>
      <c r="I55" s="18"/>
      <c r="J55" s="23"/>
      <c r="L55" s="19"/>
      <c r="M55" s="20"/>
      <c r="N55" s="21"/>
    </row>
    <row r="56" spans="1:14" ht="31.5" hidden="1" customHeight="1">
      <c r="A56" s="40">
        <v>16</v>
      </c>
      <c r="B56" s="79" t="s">
        <v>110</v>
      </c>
      <c r="C56" s="80" t="s">
        <v>87</v>
      </c>
      <c r="D56" s="79" t="s">
        <v>111</v>
      </c>
      <c r="E56" s="81">
        <v>176.9</v>
      </c>
      <c r="F56" s="82">
        <f>SUM(E56*6/100)</f>
        <v>10.614000000000001</v>
      </c>
      <c r="G56" s="13">
        <v>1547.28</v>
      </c>
      <c r="H56" s="83">
        <f>SUM(F56*G56/1000)</f>
        <v>16.422829920000002</v>
      </c>
      <c r="I56" s="13">
        <f>F56/6*G56</f>
        <v>2737.13832</v>
      </c>
      <c r="J56" s="23"/>
      <c r="L56" s="19"/>
      <c r="M56" s="20"/>
      <c r="N56" s="21"/>
    </row>
    <row r="57" spans="1:14" ht="15.75" hidden="1" customHeight="1">
      <c r="A57" s="40">
        <v>17</v>
      </c>
      <c r="B57" s="79" t="s">
        <v>127</v>
      </c>
      <c r="C57" s="80" t="s">
        <v>87</v>
      </c>
      <c r="D57" s="79" t="s">
        <v>111</v>
      </c>
      <c r="E57" s="74">
        <v>56</v>
      </c>
      <c r="F57" s="87">
        <v>3.36</v>
      </c>
      <c r="G57" s="82">
        <v>1547.28</v>
      </c>
      <c r="H57" s="83">
        <f>F57*G57/1000</f>
        <v>5.1988607999999994</v>
      </c>
      <c r="I57" s="13">
        <f>F57/6*G57</f>
        <v>866.47679999999991</v>
      </c>
      <c r="J57" s="23"/>
      <c r="L57" s="19"/>
      <c r="M57" s="20"/>
      <c r="N57" s="21"/>
    </row>
    <row r="58" spans="1:14" ht="15.75" hidden="1" customHeight="1">
      <c r="A58" s="40"/>
      <c r="B58" s="79" t="s">
        <v>128</v>
      </c>
      <c r="C58" s="80" t="s">
        <v>129</v>
      </c>
      <c r="D58" s="79" t="s">
        <v>41</v>
      </c>
      <c r="E58" s="88">
        <v>8</v>
      </c>
      <c r="F58" s="13">
        <v>16</v>
      </c>
      <c r="G58" s="82">
        <v>180.78</v>
      </c>
      <c r="H58" s="83">
        <f>SUM(F58*G58/1000)</f>
        <v>2.8924799999999999</v>
      </c>
      <c r="I58" s="13">
        <v>0</v>
      </c>
      <c r="J58" s="23"/>
      <c r="L58" s="19"/>
      <c r="M58" s="20"/>
      <c r="N58" s="21"/>
    </row>
    <row r="59" spans="1:14" ht="15.75" hidden="1" customHeight="1">
      <c r="A59" s="40">
        <v>15</v>
      </c>
      <c r="B59" s="32" t="s">
        <v>160</v>
      </c>
      <c r="C59" s="133" t="s">
        <v>161</v>
      </c>
      <c r="D59" s="32" t="s">
        <v>207</v>
      </c>
      <c r="E59" s="180"/>
      <c r="F59" s="36">
        <v>8</v>
      </c>
      <c r="G59" s="151">
        <v>1645</v>
      </c>
      <c r="H59" s="94"/>
      <c r="I59" s="13">
        <f>G59*2</f>
        <v>3290</v>
      </c>
      <c r="J59" s="23"/>
      <c r="L59" s="19"/>
      <c r="M59" s="20"/>
      <c r="N59" s="21"/>
    </row>
    <row r="60" spans="1:14" ht="15.75" customHeight="1">
      <c r="A60" s="40"/>
      <c r="B60" s="172" t="s">
        <v>43</v>
      </c>
      <c r="C60" s="172"/>
      <c r="D60" s="172"/>
      <c r="E60" s="172"/>
      <c r="F60" s="172"/>
      <c r="G60" s="172"/>
      <c r="H60" s="172"/>
      <c r="I60" s="35"/>
      <c r="J60" s="23"/>
      <c r="L60" s="19"/>
      <c r="M60" s="20"/>
      <c r="N60" s="21"/>
    </row>
    <row r="61" spans="1:14" ht="15.75" hidden="1" customHeight="1">
      <c r="A61" s="40">
        <v>27</v>
      </c>
      <c r="B61" s="79" t="s">
        <v>139</v>
      </c>
      <c r="C61" s="80"/>
      <c r="D61" s="79" t="s">
        <v>52</v>
      </c>
      <c r="E61" s="81">
        <v>1349.3</v>
      </c>
      <c r="F61" s="83">
        <v>13.493</v>
      </c>
      <c r="G61" s="13">
        <v>793.61</v>
      </c>
      <c r="H61" s="89">
        <f>F61*G61/1000</f>
        <v>10.708179729999999</v>
      </c>
      <c r="I61" s="13">
        <v>0</v>
      </c>
      <c r="J61" s="23"/>
      <c r="L61" s="19"/>
      <c r="M61" s="20"/>
      <c r="N61" s="21"/>
    </row>
    <row r="62" spans="1:14" ht="15.75" customHeight="1">
      <c r="A62" s="40">
        <v>9</v>
      </c>
      <c r="B62" s="108" t="s">
        <v>86</v>
      </c>
      <c r="C62" s="109" t="s">
        <v>26</v>
      </c>
      <c r="D62" s="108" t="s">
        <v>187</v>
      </c>
      <c r="E62" s="110">
        <v>200</v>
      </c>
      <c r="F62" s="111">
        <f>E62*12</f>
        <v>2400</v>
      </c>
      <c r="G62" s="112">
        <v>1.4</v>
      </c>
      <c r="H62" s="95">
        <f>F62*G62</f>
        <v>3360</v>
      </c>
      <c r="I62" s="13">
        <f>F62/12*G62</f>
        <v>280</v>
      </c>
      <c r="J62" s="23"/>
      <c r="L62" s="19"/>
      <c r="M62" s="20"/>
      <c r="N62" s="21"/>
    </row>
    <row r="63" spans="1:14" ht="15.75" customHeight="1">
      <c r="A63" s="40"/>
      <c r="B63" s="172" t="s">
        <v>44</v>
      </c>
      <c r="C63" s="16"/>
      <c r="D63" s="37"/>
      <c r="E63" s="15"/>
      <c r="F63" s="15"/>
      <c r="G63" s="29"/>
      <c r="H63" s="29"/>
      <c r="I63" s="18"/>
      <c r="J63" s="23"/>
      <c r="L63" s="19"/>
    </row>
    <row r="64" spans="1:14" ht="15.75" hidden="1" customHeight="1">
      <c r="A64" s="40">
        <v>17</v>
      </c>
      <c r="B64" s="96" t="s">
        <v>45</v>
      </c>
      <c r="C64" s="16" t="s">
        <v>109</v>
      </c>
      <c r="D64" s="96" t="s">
        <v>180</v>
      </c>
      <c r="E64" s="18">
        <v>40</v>
      </c>
      <c r="F64" s="82">
        <v>40</v>
      </c>
      <c r="G64" s="121">
        <v>303.35000000000002</v>
      </c>
      <c r="H64" s="97">
        <f t="shared" ref="H64" si="9">SUM(F64*G64/1000)</f>
        <v>12.134</v>
      </c>
      <c r="I64" s="13">
        <f>G64*2</f>
        <v>606.70000000000005</v>
      </c>
      <c r="J64" s="23"/>
      <c r="L64" s="19"/>
    </row>
    <row r="65" spans="1:22" ht="19.5" hidden="1" customHeight="1">
      <c r="A65" s="29">
        <v>29</v>
      </c>
      <c r="B65" s="96" t="s">
        <v>46</v>
      </c>
      <c r="C65" s="16" t="s">
        <v>109</v>
      </c>
      <c r="D65" s="96" t="s">
        <v>65</v>
      </c>
      <c r="E65" s="18">
        <v>20</v>
      </c>
      <c r="F65" s="82">
        <v>20</v>
      </c>
      <c r="G65" s="13">
        <v>76.25</v>
      </c>
      <c r="H65" s="97">
        <f t="shared" ref="H65:H71" si="10">SUM(F65*G65/1000)</f>
        <v>1.5249999999999999</v>
      </c>
      <c r="I65" s="13">
        <v>0</v>
      </c>
    </row>
    <row r="66" spans="1:22" ht="22.5" customHeight="1">
      <c r="A66" s="29">
        <v>10</v>
      </c>
      <c r="B66" s="145" t="s">
        <v>47</v>
      </c>
      <c r="C66" s="170" t="s">
        <v>112</v>
      </c>
      <c r="D66" s="37"/>
      <c r="E66" s="146">
        <v>18890</v>
      </c>
      <c r="F66" s="166">
        <f>SUM(E66/100)</f>
        <v>188.9</v>
      </c>
      <c r="G66" s="36">
        <v>289.37</v>
      </c>
      <c r="H66" s="97">
        <f t="shared" si="10"/>
        <v>54.661993000000002</v>
      </c>
      <c r="I66" s="13">
        <f>F66*G66</f>
        <v>54661.993000000002</v>
      </c>
    </row>
    <row r="67" spans="1:22" ht="23.25" customHeight="1">
      <c r="A67" s="29">
        <v>11</v>
      </c>
      <c r="B67" s="145" t="s">
        <v>48</v>
      </c>
      <c r="C67" s="38" t="s">
        <v>113</v>
      </c>
      <c r="D67" s="37"/>
      <c r="E67" s="146">
        <v>18890</v>
      </c>
      <c r="F67" s="36">
        <f>SUM(E67/1000)</f>
        <v>18.89</v>
      </c>
      <c r="G67" s="36">
        <v>225.35</v>
      </c>
      <c r="H67" s="97">
        <f t="shared" si="10"/>
        <v>4.2568615000000003</v>
      </c>
      <c r="I67" s="13">
        <f t="shared" ref="I67:I70" si="11">F67*G67</f>
        <v>4256.8615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9"/>
    </row>
    <row r="68" spans="1:22" ht="20.25" customHeight="1">
      <c r="A68" s="29">
        <v>12</v>
      </c>
      <c r="B68" s="145" t="s">
        <v>49</v>
      </c>
      <c r="C68" s="38" t="s">
        <v>75</v>
      </c>
      <c r="D68" s="37"/>
      <c r="E68" s="146">
        <v>3004</v>
      </c>
      <c r="F68" s="36">
        <f>SUM(E68/100)</f>
        <v>30.04</v>
      </c>
      <c r="G68" s="36">
        <v>2829.78</v>
      </c>
      <c r="H68" s="97">
        <f t="shared" si="10"/>
        <v>85.006591200000017</v>
      </c>
      <c r="I68" s="13">
        <f t="shared" si="11"/>
        <v>85006.59120000001</v>
      </c>
      <c r="J68" s="25"/>
      <c r="K68" s="25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2" ht="21" customHeight="1">
      <c r="A69" s="29">
        <v>13</v>
      </c>
      <c r="B69" s="171" t="s">
        <v>114</v>
      </c>
      <c r="C69" s="38" t="s">
        <v>33</v>
      </c>
      <c r="D69" s="37"/>
      <c r="E69" s="146">
        <v>16.2</v>
      </c>
      <c r="F69" s="36">
        <f>SUM(E69)</f>
        <v>16.2</v>
      </c>
      <c r="G69" s="36">
        <v>46.08</v>
      </c>
      <c r="H69" s="97">
        <f t="shared" si="10"/>
        <v>0.74649599999999994</v>
      </c>
      <c r="I69" s="13">
        <f t="shared" si="11"/>
        <v>746.49599999999998</v>
      </c>
      <c r="J69" s="3"/>
      <c r="K69" s="3"/>
      <c r="L69" s="3"/>
      <c r="M69" s="3"/>
      <c r="N69" s="3"/>
      <c r="O69" s="3"/>
      <c r="P69" s="3"/>
      <c r="Q69" s="3"/>
      <c r="S69" s="3"/>
      <c r="T69" s="3"/>
      <c r="U69" s="3"/>
    </row>
    <row r="70" spans="1:22" ht="22.5" customHeight="1">
      <c r="A70" s="29">
        <v>14</v>
      </c>
      <c r="B70" s="171" t="s">
        <v>115</v>
      </c>
      <c r="C70" s="38" t="s">
        <v>33</v>
      </c>
      <c r="D70" s="37"/>
      <c r="E70" s="146">
        <v>16.2</v>
      </c>
      <c r="F70" s="36">
        <f>SUM(E70)</f>
        <v>16.2</v>
      </c>
      <c r="G70" s="36">
        <v>49.7</v>
      </c>
      <c r="H70" s="97">
        <f t="shared" si="10"/>
        <v>0.80513999999999997</v>
      </c>
      <c r="I70" s="13">
        <f t="shared" si="11"/>
        <v>805.14</v>
      </c>
      <c r="J70" s="5"/>
      <c r="K70" s="5"/>
      <c r="L70" s="5"/>
      <c r="M70" s="5"/>
      <c r="N70" s="5"/>
      <c r="O70" s="5"/>
      <c r="P70" s="5"/>
      <c r="Q70" s="5"/>
      <c r="R70" s="213"/>
      <c r="S70" s="213"/>
      <c r="T70" s="213"/>
      <c r="U70" s="213"/>
    </row>
    <row r="71" spans="1:22" ht="18.75" hidden="1" customHeight="1">
      <c r="A71" s="29">
        <v>11</v>
      </c>
      <c r="B71" s="96" t="s">
        <v>55</v>
      </c>
      <c r="C71" s="16" t="s">
        <v>56</v>
      </c>
      <c r="D71" s="96" t="s">
        <v>52</v>
      </c>
      <c r="E71" s="18">
        <v>15</v>
      </c>
      <c r="F71" s="82">
        <v>15</v>
      </c>
      <c r="G71" s="13">
        <v>49.88</v>
      </c>
      <c r="H71" s="97">
        <f t="shared" si="10"/>
        <v>0.74820000000000009</v>
      </c>
      <c r="I71" s="13">
        <f>G71*F71</f>
        <v>748.2</v>
      </c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2" ht="18.75" customHeight="1">
      <c r="A72" s="29"/>
      <c r="B72" s="156" t="s">
        <v>168</v>
      </c>
      <c r="C72" s="38"/>
      <c r="D72" s="37"/>
      <c r="E72" s="17"/>
      <c r="F72" s="112"/>
      <c r="G72" s="36"/>
      <c r="H72" s="97"/>
      <c r="I72" s="13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1:22" ht="28.5" customHeight="1">
      <c r="A73" s="29">
        <v>15</v>
      </c>
      <c r="B73" s="37" t="s">
        <v>169</v>
      </c>
      <c r="C73" s="40" t="s">
        <v>170</v>
      </c>
      <c r="D73" s="37"/>
      <c r="E73" s="17">
        <v>5162.6000000000004</v>
      </c>
      <c r="F73" s="36">
        <f>E73*12</f>
        <v>61951.200000000004</v>
      </c>
      <c r="G73" s="36">
        <v>2.37</v>
      </c>
      <c r="H73" s="97"/>
      <c r="I73" s="13">
        <f>G73*F73/12</f>
        <v>12235.362000000001</v>
      </c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</row>
    <row r="74" spans="1:22" ht="19.5" hidden="1" customHeight="1">
      <c r="A74" s="173"/>
      <c r="B74" s="172" t="s">
        <v>116</v>
      </c>
      <c r="C74" s="172"/>
      <c r="D74" s="172"/>
      <c r="E74" s="172"/>
      <c r="F74" s="172"/>
      <c r="G74" s="172"/>
      <c r="H74" s="172"/>
      <c r="I74" s="18"/>
    </row>
    <row r="75" spans="1:22" ht="14.25" hidden="1" customHeight="1">
      <c r="A75" s="29">
        <v>19</v>
      </c>
      <c r="B75" s="79" t="s">
        <v>117</v>
      </c>
      <c r="C75" s="16"/>
      <c r="D75" s="96"/>
      <c r="E75" s="74"/>
      <c r="F75" s="13">
        <v>1</v>
      </c>
      <c r="G75" s="13">
        <v>27865.200000000001</v>
      </c>
      <c r="H75" s="97">
        <f>G75*F75/1000</f>
        <v>27.865200000000002</v>
      </c>
      <c r="I75" s="13">
        <v>0</v>
      </c>
    </row>
    <row r="76" spans="1:22" ht="17.25" customHeight="1">
      <c r="A76" s="29"/>
      <c r="B76" s="48" t="s">
        <v>70</v>
      </c>
      <c r="C76" s="48"/>
      <c r="D76" s="48"/>
      <c r="E76" s="18"/>
      <c r="F76" s="18"/>
      <c r="G76" s="29"/>
      <c r="H76" s="29"/>
      <c r="I76" s="18"/>
    </row>
    <row r="77" spans="1:22" ht="33.75" hidden="1" customHeight="1">
      <c r="A77" s="29">
        <v>12</v>
      </c>
      <c r="B77" s="37" t="s">
        <v>176</v>
      </c>
      <c r="C77" s="38" t="s">
        <v>109</v>
      </c>
      <c r="D77" s="37"/>
      <c r="E77" s="17">
        <v>2</v>
      </c>
      <c r="F77" s="36">
        <f>E77</f>
        <v>2</v>
      </c>
      <c r="G77" s="36">
        <v>2112.2800000000002</v>
      </c>
      <c r="H77" s="174"/>
      <c r="I77" s="18">
        <f>G77*1</f>
        <v>2112.2800000000002</v>
      </c>
    </row>
    <row r="78" spans="1:22" ht="16.5" hidden="1" customHeight="1">
      <c r="A78" s="29">
        <v>19</v>
      </c>
      <c r="B78" s="37" t="s">
        <v>71</v>
      </c>
      <c r="C78" s="38" t="s">
        <v>73</v>
      </c>
      <c r="D78" s="37" t="s">
        <v>212</v>
      </c>
      <c r="E78" s="17">
        <v>8</v>
      </c>
      <c r="F78" s="36">
        <f>E78/10</f>
        <v>0.8</v>
      </c>
      <c r="G78" s="36">
        <v>684.19</v>
      </c>
      <c r="H78" s="97">
        <f t="shared" ref="H78:H82" si="12">SUM(F78*G78/1000)</f>
        <v>0.54735200000000006</v>
      </c>
      <c r="I78" s="13">
        <f>G78*0.3</f>
        <v>205.25700000000001</v>
      </c>
    </row>
    <row r="79" spans="1:22" ht="27.75" hidden="1" customHeight="1">
      <c r="A79" s="29"/>
      <c r="B79" s="96" t="s">
        <v>130</v>
      </c>
      <c r="C79" s="16" t="s">
        <v>31</v>
      </c>
      <c r="D79" s="96"/>
      <c r="E79" s="18">
        <v>1</v>
      </c>
      <c r="F79" s="13">
        <v>1</v>
      </c>
      <c r="G79" s="13">
        <v>99.85</v>
      </c>
      <c r="H79" s="97">
        <f>F79*G79/1000</f>
        <v>9.9849999999999994E-2</v>
      </c>
      <c r="I79" s="13">
        <v>0</v>
      </c>
    </row>
    <row r="80" spans="1:22" ht="31.5" hidden="1" customHeight="1">
      <c r="A80" s="29"/>
      <c r="B80" s="96" t="s">
        <v>131</v>
      </c>
      <c r="C80" s="16" t="s">
        <v>31</v>
      </c>
      <c r="D80" s="96"/>
      <c r="E80" s="18">
        <v>1</v>
      </c>
      <c r="F80" s="13">
        <v>1</v>
      </c>
      <c r="G80" s="13">
        <v>120.26</v>
      </c>
      <c r="H80" s="97">
        <f>F80*G80/1000</f>
        <v>0.12026000000000001</v>
      </c>
      <c r="I80" s="13">
        <v>0</v>
      </c>
    </row>
    <row r="81" spans="1:9" ht="33" hidden="1" customHeight="1">
      <c r="A81" s="29">
        <v>19</v>
      </c>
      <c r="B81" s="96" t="s">
        <v>72</v>
      </c>
      <c r="C81" s="16" t="s">
        <v>31</v>
      </c>
      <c r="D81" s="96"/>
      <c r="E81" s="18">
        <v>2</v>
      </c>
      <c r="F81" s="94">
        <v>2</v>
      </c>
      <c r="G81" s="13">
        <v>852.99</v>
      </c>
      <c r="H81" s="97">
        <f>F81*G81/1000</f>
        <v>1.7059800000000001</v>
      </c>
      <c r="I81" s="13">
        <f>G81</f>
        <v>852.99</v>
      </c>
    </row>
    <row r="82" spans="1:9" ht="20.25" hidden="1" customHeight="1">
      <c r="A82" s="29">
        <v>17</v>
      </c>
      <c r="B82" s="96" t="s">
        <v>82</v>
      </c>
      <c r="C82" s="16" t="s">
        <v>109</v>
      </c>
      <c r="D82" s="96"/>
      <c r="E82" s="18">
        <v>1</v>
      </c>
      <c r="F82" s="82">
        <f>SUM(E82)</f>
        <v>1</v>
      </c>
      <c r="G82" s="13">
        <v>358.51</v>
      </c>
      <c r="H82" s="97">
        <f t="shared" si="12"/>
        <v>0.35851</v>
      </c>
      <c r="I82" s="13">
        <v>0</v>
      </c>
    </row>
    <row r="83" spans="1:9" ht="30.75" customHeight="1">
      <c r="A83" s="29">
        <v>16</v>
      </c>
      <c r="B83" s="37" t="s">
        <v>171</v>
      </c>
      <c r="C83" s="38" t="s">
        <v>109</v>
      </c>
      <c r="D83" s="37" t="s">
        <v>181</v>
      </c>
      <c r="E83" s="17">
        <v>1</v>
      </c>
      <c r="F83" s="36">
        <f>E83*12</f>
        <v>12</v>
      </c>
      <c r="G83" s="36">
        <v>55.55</v>
      </c>
      <c r="H83" s="97"/>
      <c r="I83" s="13">
        <f>G83*F83/12</f>
        <v>55.54999999999999</v>
      </c>
    </row>
    <row r="84" spans="1:9" ht="19.5" hidden="1" customHeight="1">
      <c r="A84" s="29"/>
      <c r="B84" s="49" t="s">
        <v>74</v>
      </c>
      <c r="C84" s="38"/>
      <c r="D84" s="29"/>
      <c r="E84" s="18"/>
      <c r="F84" s="18"/>
      <c r="G84" s="36"/>
      <c r="H84" s="36"/>
      <c r="I84" s="18"/>
    </row>
    <row r="85" spans="1:9" ht="19.5" hidden="1" customHeight="1">
      <c r="A85" s="29">
        <v>39</v>
      </c>
      <c r="B85" s="51" t="s">
        <v>118</v>
      </c>
      <c r="C85" s="16" t="s">
        <v>75</v>
      </c>
      <c r="D85" s="96"/>
      <c r="E85" s="18"/>
      <c r="F85" s="13">
        <v>1.35</v>
      </c>
      <c r="G85" s="13">
        <v>2759.44</v>
      </c>
      <c r="H85" s="97">
        <f t="shared" ref="H85" si="13">SUM(F85*G85/1000)</f>
        <v>3.725244</v>
      </c>
      <c r="I85" s="13">
        <v>0</v>
      </c>
    </row>
    <row r="86" spans="1:9" ht="15.75" customHeight="1">
      <c r="A86" s="222" t="s">
        <v>147</v>
      </c>
      <c r="B86" s="223"/>
      <c r="C86" s="223"/>
      <c r="D86" s="223"/>
      <c r="E86" s="223"/>
      <c r="F86" s="223"/>
      <c r="G86" s="223"/>
      <c r="H86" s="223"/>
      <c r="I86" s="224"/>
    </row>
    <row r="87" spans="1:9" ht="15.75" customHeight="1">
      <c r="A87" s="29">
        <v>17</v>
      </c>
      <c r="B87" s="32" t="s">
        <v>119</v>
      </c>
      <c r="C87" s="38" t="s">
        <v>53</v>
      </c>
      <c r="D87" s="62"/>
      <c r="E87" s="36">
        <v>5162.6000000000004</v>
      </c>
      <c r="F87" s="36">
        <f>SUM(E87*12)</f>
        <v>61951.200000000004</v>
      </c>
      <c r="G87" s="36">
        <v>3.22</v>
      </c>
      <c r="H87" s="99">
        <f>SUM(F87*G87/1000)</f>
        <v>199.48286400000003</v>
      </c>
      <c r="I87" s="13">
        <f>F87/12*G87</f>
        <v>16623.572000000004</v>
      </c>
    </row>
    <row r="88" spans="1:9" ht="31.5" customHeight="1">
      <c r="A88" s="29">
        <v>18</v>
      </c>
      <c r="B88" s="37" t="s">
        <v>172</v>
      </c>
      <c r="C88" s="109" t="s">
        <v>173</v>
      </c>
      <c r="D88" s="37"/>
      <c r="E88" s="17">
        <v>5162.6000000000004</v>
      </c>
      <c r="F88" s="36">
        <f>E88*12</f>
        <v>61951.200000000004</v>
      </c>
      <c r="G88" s="36">
        <v>3.64</v>
      </c>
      <c r="H88" s="97">
        <f>F88*G88/1000</f>
        <v>225.50236800000002</v>
      </c>
      <c r="I88" s="13">
        <f>F88/12*G88</f>
        <v>18791.864000000001</v>
      </c>
    </row>
    <row r="89" spans="1:9" ht="15.75" customHeight="1">
      <c r="A89" s="173"/>
      <c r="B89" s="39" t="s">
        <v>77</v>
      </c>
      <c r="C89" s="40"/>
      <c r="D89" s="15"/>
      <c r="E89" s="15"/>
      <c r="F89" s="15"/>
      <c r="G89" s="18"/>
      <c r="H89" s="18"/>
      <c r="I89" s="31">
        <f>I88+I87+I83+I73+I70+I67+I68+I69+I66+I62+I31+I30+I21+I20+I19+I18+I17+I16</f>
        <v>223600.50215160006</v>
      </c>
    </row>
    <row r="90" spans="1:9" ht="15.75" customHeight="1">
      <c r="A90" s="225" t="s">
        <v>58</v>
      </c>
      <c r="B90" s="226"/>
      <c r="C90" s="226"/>
      <c r="D90" s="226"/>
      <c r="E90" s="226"/>
      <c r="F90" s="226"/>
      <c r="G90" s="226"/>
      <c r="H90" s="226"/>
      <c r="I90" s="227"/>
    </row>
    <row r="91" spans="1:9" ht="21" customHeight="1">
      <c r="A91" s="174">
        <v>19</v>
      </c>
      <c r="B91" s="63" t="s">
        <v>198</v>
      </c>
      <c r="C91" s="64" t="s">
        <v>39</v>
      </c>
      <c r="D91" s="34" t="s">
        <v>195</v>
      </c>
      <c r="E91" s="34"/>
      <c r="F91" s="33">
        <v>0.04</v>
      </c>
      <c r="G91" s="33">
        <v>28224.75</v>
      </c>
      <c r="H91" s="201"/>
      <c r="I91" s="175">
        <v>0</v>
      </c>
    </row>
    <row r="92" spans="1:9" ht="19.5" customHeight="1">
      <c r="A92" s="29">
        <v>20</v>
      </c>
      <c r="B92" s="63" t="s">
        <v>276</v>
      </c>
      <c r="C92" s="64" t="s">
        <v>30</v>
      </c>
      <c r="D92" s="34"/>
      <c r="E92" s="34"/>
      <c r="F92" s="192">
        <f>3.413+3.413+3.413</f>
        <v>10.238999999999999</v>
      </c>
      <c r="G92" s="192">
        <v>241.69</v>
      </c>
      <c r="H92" s="99"/>
      <c r="I92" s="13">
        <f>G92*6.826</f>
        <v>1649.77594</v>
      </c>
    </row>
    <row r="93" spans="1:9" ht="16.5" customHeight="1">
      <c r="A93" s="29">
        <v>21</v>
      </c>
      <c r="B93" s="63" t="s">
        <v>287</v>
      </c>
      <c r="C93" s="64" t="s">
        <v>209</v>
      </c>
      <c r="D93" s="34" t="s">
        <v>149</v>
      </c>
      <c r="E93" s="34"/>
      <c r="F93" s="192">
        <v>1</v>
      </c>
      <c r="G93" s="192">
        <v>7567.04</v>
      </c>
      <c r="H93" s="99"/>
      <c r="I93" s="13">
        <f>G93*1</f>
        <v>7567.04</v>
      </c>
    </row>
    <row r="94" spans="1:9" ht="17.25" customHeight="1">
      <c r="A94" s="29">
        <v>22</v>
      </c>
      <c r="B94" s="155" t="s">
        <v>288</v>
      </c>
      <c r="C94" s="100" t="s">
        <v>217</v>
      </c>
      <c r="D94" s="34" t="s">
        <v>289</v>
      </c>
      <c r="E94" s="34"/>
      <c r="F94" s="192">
        <v>0.1</v>
      </c>
      <c r="G94" s="192">
        <v>16727.16</v>
      </c>
      <c r="H94" s="99"/>
      <c r="I94" s="13">
        <f>G94*0.1</f>
        <v>1672.7160000000001</v>
      </c>
    </row>
    <row r="95" spans="1:9" ht="30" customHeight="1">
      <c r="A95" s="29">
        <v>23</v>
      </c>
      <c r="B95" s="63" t="s">
        <v>202</v>
      </c>
      <c r="C95" s="64" t="s">
        <v>37</v>
      </c>
      <c r="D95" s="203" t="s">
        <v>187</v>
      </c>
      <c r="E95" s="34"/>
      <c r="F95" s="192">
        <v>7.0000000000000007E-2</v>
      </c>
      <c r="G95" s="192">
        <v>4233.72</v>
      </c>
      <c r="H95" s="99"/>
      <c r="I95" s="13">
        <v>0</v>
      </c>
    </row>
    <row r="96" spans="1:9" ht="17.25" customHeight="1">
      <c r="A96" s="29">
        <v>24</v>
      </c>
      <c r="B96" s="63" t="s">
        <v>226</v>
      </c>
      <c r="C96" s="64" t="s">
        <v>159</v>
      </c>
      <c r="D96" s="34" t="s">
        <v>309</v>
      </c>
      <c r="E96" s="34"/>
      <c r="F96" s="192">
        <v>21</v>
      </c>
      <c r="G96" s="192">
        <v>295.36</v>
      </c>
      <c r="H96" s="99"/>
      <c r="I96" s="13">
        <v>0</v>
      </c>
    </row>
    <row r="97" spans="1:9" ht="16.5" customHeight="1">
      <c r="A97" s="29"/>
      <c r="B97" s="45" t="s">
        <v>50</v>
      </c>
      <c r="C97" s="41"/>
      <c r="D97" s="53"/>
      <c r="E97" s="41">
        <v>1</v>
      </c>
      <c r="F97" s="41"/>
      <c r="G97" s="41"/>
      <c r="H97" s="41"/>
      <c r="I97" s="31">
        <f>SUM(I91:I95)</f>
        <v>10889.531940000001</v>
      </c>
    </row>
    <row r="98" spans="1:9" ht="15.75" customHeight="1">
      <c r="A98" s="29"/>
      <c r="B98" s="51" t="s">
        <v>76</v>
      </c>
      <c r="C98" s="15"/>
      <c r="D98" s="15"/>
      <c r="E98" s="42"/>
      <c r="F98" s="42"/>
      <c r="G98" s="43"/>
      <c r="H98" s="43"/>
      <c r="I98" s="17">
        <v>0</v>
      </c>
    </row>
    <row r="99" spans="1:9" ht="17.25" customHeight="1">
      <c r="A99" s="54"/>
      <c r="B99" s="46" t="s">
        <v>141</v>
      </c>
      <c r="C99" s="34"/>
      <c r="D99" s="34"/>
      <c r="E99" s="34"/>
      <c r="F99" s="34"/>
      <c r="G99" s="34"/>
      <c r="H99" s="34"/>
      <c r="I99" s="44">
        <f>I89+I97</f>
        <v>234490.03409160004</v>
      </c>
    </row>
    <row r="100" spans="1:9" ht="16.5" customHeight="1">
      <c r="A100" s="219" t="s">
        <v>290</v>
      </c>
      <c r="B100" s="219"/>
      <c r="C100" s="219"/>
      <c r="D100" s="219"/>
      <c r="E100" s="219"/>
      <c r="F100" s="219"/>
      <c r="G100" s="219"/>
      <c r="H100" s="219"/>
      <c r="I100" s="219"/>
    </row>
    <row r="101" spans="1:9" ht="15.75" customHeight="1">
      <c r="A101" s="60"/>
      <c r="B101" s="220" t="s">
        <v>291</v>
      </c>
      <c r="C101" s="220"/>
      <c r="D101" s="220"/>
      <c r="E101" s="220"/>
      <c r="F101" s="220"/>
      <c r="G101" s="220"/>
      <c r="H101" s="77"/>
      <c r="I101" s="3"/>
    </row>
    <row r="102" spans="1:9" ht="15.75" customHeight="1">
      <c r="A102" s="71"/>
      <c r="B102" s="218" t="s">
        <v>6</v>
      </c>
      <c r="C102" s="218"/>
      <c r="D102" s="218"/>
      <c r="E102" s="218"/>
      <c r="F102" s="218"/>
      <c r="G102" s="218"/>
      <c r="H102" s="24"/>
      <c r="I102" s="5"/>
    </row>
    <row r="103" spans="1:9" ht="15.75" customHeight="1">
      <c r="A103" s="10"/>
      <c r="B103" s="10"/>
      <c r="C103" s="10"/>
      <c r="D103" s="10"/>
      <c r="E103" s="10"/>
      <c r="F103" s="10"/>
      <c r="G103" s="10"/>
      <c r="H103" s="10"/>
      <c r="I103" s="10"/>
    </row>
    <row r="104" spans="1:9" ht="15.75">
      <c r="A104" s="221" t="s">
        <v>7</v>
      </c>
      <c r="B104" s="221"/>
      <c r="C104" s="221"/>
      <c r="D104" s="221"/>
      <c r="E104" s="221"/>
      <c r="F104" s="221"/>
      <c r="G104" s="221"/>
      <c r="H104" s="221"/>
      <c r="I104" s="221"/>
    </row>
    <row r="105" spans="1:9" ht="15.75">
      <c r="A105" s="221" t="s">
        <v>8</v>
      </c>
      <c r="B105" s="221"/>
      <c r="C105" s="221"/>
      <c r="D105" s="221"/>
      <c r="E105" s="221"/>
      <c r="F105" s="221"/>
      <c r="G105" s="221"/>
      <c r="H105" s="221"/>
      <c r="I105" s="221"/>
    </row>
    <row r="106" spans="1:9" ht="15.75">
      <c r="A106" s="215" t="s">
        <v>59</v>
      </c>
      <c r="B106" s="215"/>
      <c r="C106" s="215"/>
      <c r="D106" s="215"/>
      <c r="E106" s="215"/>
      <c r="F106" s="215"/>
      <c r="G106" s="215"/>
      <c r="H106" s="215"/>
      <c r="I106" s="215"/>
    </row>
    <row r="107" spans="1:9" ht="15.75">
      <c r="A107" s="11"/>
    </row>
    <row r="108" spans="1:9" ht="15.75">
      <c r="A108" s="216" t="s">
        <v>9</v>
      </c>
      <c r="B108" s="216"/>
      <c r="C108" s="216"/>
      <c r="D108" s="216"/>
      <c r="E108" s="216"/>
      <c r="F108" s="216"/>
      <c r="G108" s="216"/>
      <c r="H108" s="216"/>
      <c r="I108" s="216"/>
    </row>
    <row r="109" spans="1:9" ht="15.75">
      <c r="A109" s="4"/>
    </row>
    <row r="110" spans="1:9" ht="15.75">
      <c r="B110" s="69" t="s">
        <v>10</v>
      </c>
      <c r="C110" s="217" t="s">
        <v>219</v>
      </c>
      <c r="D110" s="217"/>
      <c r="E110" s="217"/>
      <c r="F110" s="75"/>
      <c r="I110" s="70"/>
    </row>
    <row r="111" spans="1:9">
      <c r="A111" s="71"/>
      <c r="C111" s="218" t="s">
        <v>11</v>
      </c>
      <c r="D111" s="218"/>
      <c r="E111" s="218"/>
      <c r="F111" s="24"/>
      <c r="I111" s="68" t="s">
        <v>12</v>
      </c>
    </row>
    <row r="112" spans="1:9" ht="15.75">
      <c r="A112" s="25"/>
      <c r="C112" s="12"/>
      <c r="D112" s="12"/>
      <c r="G112" s="12"/>
      <c r="H112" s="12"/>
    </row>
    <row r="113" spans="1:9" ht="15.75">
      <c r="B113" s="69" t="s">
        <v>13</v>
      </c>
      <c r="C113" s="212"/>
      <c r="D113" s="212"/>
      <c r="E113" s="212"/>
      <c r="F113" s="76"/>
      <c r="I113" s="70"/>
    </row>
    <row r="114" spans="1:9">
      <c r="A114" s="71"/>
      <c r="C114" s="213" t="s">
        <v>11</v>
      </c>
      <c r="D114" s="213"/>
      <c r="E114" s="213"/>
      <c r="F114" s="71"/>
      <c r="I114" s="68" t="s">
        <v>12</v>
      </c>
    </row>
    <row r="115" spans="1:9" ht="15.75">
      <c r="A115" s="4" t="s">
        <v>14</v>
      </c>
    </row>
    <row r="116" spans="1:9">
      <c r="A116" s="214" t="s">
        <v>15</v>
      </c>
      <c r="B116" s="214"/>
      <c r="C116" s="214"/>
      <c r="D116" s="214"/>
      <c r="E116" s="214"/>
      <c r="F116" s="214"/>
      <c r="G116" s="214"/>
      <c r="H116" s="214"/>
      <c r="I116" s="214"/>
    </row>
    <row r="117" spans="1:9" ht="15.75">
      <c r="A117" s="211" t="s">
        <v>16</v>
      </c>
      <c r="B117" s="211"/>
      <c r="C117" s="211"/>
      <c r="D117" s="211"/>
      <c r="E117" s="211"/>
      <c r="F117" s="211"/>
      <c r="G117" s="211"/>
      <c r="H117" s="211"/>
      <c r="I117" s="211"/>
    </row>
    <row r="118" spans="1:9" ht="15.75">
      <c r="A118" s="211" t="s">
        <v>17</v>
      </c>
      <c r="B118" s="211"/>
      <c r="C118" s="211"/>
      <c r="D118" s="211"/>
      <c r="E118" s="211"/>
      <c r="F118" s="211"/>
      <c r="G118" s="211"/>
      <c r="H118" s="211"/>
      <c r="I118" s="211"/>
    </row>
    <row r="119" spans="1:9" ht="15.75">
      <c r="A119" s="211" t="s">
        <v>21</v>
      </c>
      <c r="B119" s="211"/>
      <c r="C119" s="211"/>
      <c r="D119" s="211"/>
      <c r="E119" s="211"/>
      <c r="F119" s="211"/>
      <c r="G119" s="211"/>
      <c r="H119" s="211"/>
      <c r="I119" s="211"/>
    </row>
    <row r="120" spans="1:9" ht="15.75">
      <c r="A120" s="211" t="s">
        <v>20</v>
      </c>
      <c r="B120" s="211"/>
      <c r="C120" s="211"/>
      <c r="D120" s="211"/>
      <c r="E120" s="211"/>
      <c r="F120" s="211"/>
      <c r="G120" s="211"/>
      <c r="H120" s="211"/>
      <c r="I120" s="211"/>
    </row>
    <row r="121" spans="1:9" ht="45" customHeight="1"/>
    <row r="122" spans="1:9" ht="30" customHeight="1"/>
    <row r="123" spans="1:9" ht="30" customHeight="1"/>
    <row r="124" spans="1:9" ht="15" customHeight="1"/>
  </sheetData>
  <autoFilter ref="I12:I65"/>
  <mergeCells count="29">
    <mergeCell ref="A14:I14"/>
    <mergeCell ref="A15:I15"/>
    <mergeCell ref="A28:I28"/>
    <mergeCell ref="A44:I44"/>
    <mergeCell ref="A54:I54"/>
    <mergeCell ref="A3:I3"/>
    <mergeCell ref="A4:I4"/>
    <mergeCell ref="A5:I5"/>
    <mergeCell ref="A8:I8"/>
    <mergeCell ref="A10:I10"/>
    <mergeCell ref="R70:U70"/>
    <mergeCell ref="C114:E114"/>
    <mergeCell ref="A90:I90"/>
    <mergeCell ref="A100:I100"/>
    <mergeCell ref="B101:G101"/>
    <mergeCell ref="B102:G102"/>
    <mergeCell ref="A104:I104"/>
    <mergeCell ref="A105:I105"/>
    <mergeCell ref="A106:I106"/>
    <mergeCell ref="A108:I108"/>
    <mergeCell ref="C110:E110"/>
    <mergeCell ref="C111:E111"/>
    <mergeCell ref="C113:E113"/>
    <mergeCell ref="A86:I86"/>
    <mergeCell ref="A116:I116"/>
    <mergeCell ref="A117:I117"/>
    <mergeCell ref="A118:I118"/>
    <mergeCell ref="A119:I119"/>
    <mergeCell ref="A120:I120"/>
  </mergeCells>
  <pageMargins left="0.70866141732283472" right="0.23622047244094491" top="0.27559055118110237" bottom="0.27559055118110237" header="0.31496062992125984" footer="0.31496062992125984"/>
  <pageSetup paperSize="9" scale="62" orientation="portrait" r:id="rId1"/>
  <rowBreaks count="1" manualBreakCount="1">
    <brk id="115" max="8" man="1"/>
  </rowBreaks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40"/>
  <sheetViews>
    <sheetView topLeftCell="A28" workbookViewId="0">
      <selection activeCell="I64" sqref="I64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158</v>
      </c>
      <c r="I1" s="26"/>
      <c r="J1" s="1"/>
      <c r="K1" s="1"/>
      <c r="L1" s="1"/>
      <c r="M1" s="1"/>
    </row>
    <row r="2" spans="1:13" ht="15.75" customHeight="1">
      <c r="A2" s="28" t="s">
        <v>60</v>
      </c>
      <c r="J2" s="2"/>
      <c r="K2" s="2"/>
      <c r="L2" s="2"/>
      <c r="M2" s="2"/>
    </row>
    <row r="3" spans="1:13" ht="15.75" customHeight="1">
      <c r="A3" s="228" t="s">
        <v>152</v>
      </c>
      <c r="B3" s="228"/>
      <c r="C3" s="228"/>
      <c r="D3" s="228"/>
      <c r="E3" s="228"/>
      <c r="F3" s="228"/>
      <c r="G3" s="228"/>
      <c r="H3" s="228"/>
      <c r="I3" s="228"/>
      <c r="J3" s="3"/>
      <c r="K3" s="3"/>
      <c r="L3" s="3"/>
    </row>
    <row r="4" spans="1:13" ht="31.5" customHeight="1">
      <c r="A4" s="229" t="s">
        <v>120</v>
      </c>
      <c r="B4" s="229"/>
      <c r="C4" s="229"/>
      <c r="D4" s="229"/>
      <c r="E4" s="229"/>
      <c r="F4" s="229"/>
      <c r="G4" s="229"/>
      <c r="H4" s="229"/>
      <c r="I4" s="229"/>
    </row>
    <row r="5" spans="1:13" ht="15.75" customHeight="1">
      <c r="A5" s="228" t="s">
        <v>293</v>
      </c>
      <c r="B5" s="232"/>
      <c r="C5" s="232"/>
      <c r="D5" s="232"/>
      <c r="E5" s="232"/>
      <c r="F5" s="232"/>
      <c r="G5" s="232"/>
      <c r="H5" s="232"/>
      <c r="I5" s="232"/>
      <c r="J5" s="2"/>
      <c r="K5" s="2"/>
      <c r="L5" s="2"/>
      <c r="M5" s="2"/>
    </row>
    <row r="6" spans="1:13" ht="15.75" customHeight="1">
      <c r="A6" s="2"/>
      <c r="B6" s="72"/>
      <c r="C6" s="72"/>
      <c r="D6" s="72"/>
      <c r="E6" s="72"/>
      <c r="F6" s="72"/>
      <c r="G6" s="72"/>
      <c r="H6" s="72"/>
      <c r="I6" s="30">
        <v>44408</v>
      </c>
      <c r="J6" s="2"/>
      <c r="K6" s="2"/>
      <c r="L6" s="2"/>
      <c r="M6" s="2"/>
    </row>
    <row r="7" spans="1:13" ht="15.75" customHeight="1">
      <c r="B7" s="69"/>
      <c r="C7" s="69"/>
      <c r="D7" s="69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30" t="s">
        <v>224</v>
      </c>
      <c r="B8" s="230"/>
      <c r="C8" s="230"/>
      <c r="D8" s="230"/>
      <c r="E8" s="230"/>
      <c r="F8" s="230"/>
      <c r="G8" s="230"/>
      <c r="H8" s="230"/>
      <c r="I8" s="230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31" t="s">
        <v>133</v>
      </c>
      <c r="B10" s="231"/>
      <c r="C10" s="231"/>
      <c r="D10" s="231"/>
      <c r="E10" s="231"/>
      <c r="F10" s="231"/>
      <c r="G10" s="231"/>
      <c r="H10" s="231"/>
      <c r="I10" s="231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33" t="s">
        <v>57</v>
      </c>
      <c r="B14" s="233"/>
      <c r="C14" s="233"/>
      <c r="D14" s="233"/>
      <c r="E14" s="233"/>
      <c r="F14" s="233"/>
      <c r="G14" s="233"/>
      <c r="H14" s="233"/>
      <c r="I14" s="233"/>
      <c r="J14" s="8"/>
      <c r="K14" s="8"/>
      <c r="L14" s="8"/>
      <c r="M14" s="8"/>
    </row>
    <row r="15" spans="1:13" ht="15.75" customHeight="1">
      <c r="A15" s="234" t="s">
        <v>4</v>
      </c>
      <c r="B15" s="234"/>
      <c r="C15" s="234"/>
      <c r="D15" s="234"/>
      <c r="E15" s="234"/>
      <c r="F15" s="234"/>
      <c r="G15" s="234"/>
      <c r="H15" s="234"/>
      <c r="I15" s="234"/>
      <c r="J15" s="8"/>
      <c r="K15" s="8"/>
      <c r="L15" s="8"/>
      <c r="M15" s="8"/>
    </row>
    <row r="16" spans="1:13" ht="15.75" customHeight="1">
      <c r="A16" s="29">
        <v>1</v>
      </c>
      <c r="B16" s="32" t="s">
        <v>81</v>
      </c>
      <c r="C16" s="133" t="s">
        <v>87</v>
      </c>
      <c r="D16" s="32" t="s">
        <v>178</v>
      </c>
      <c r="E16" s="146">
        <v>129.88</v>
      </c>
      <c r="F16" s="134">
        <f>SUM(E16*156/100)</f>
        <v>202.61279999999999</v>
      </c>
      <c r="G16" s="134">
        <v>239.2</v>
      </c>
      <c r="H16" s="83">
        <f t="shared" ref="H16:H26" si="0">SUM(F16*G16/1000)</f>
        <v>48.464981759999993</v>
      </c>
      <c r="I16" s="13">
        <f>F16/12*G16</f>
        <v>4038.7484799999997</v>
      </c>
      <c r="J16" s="8"/>
      <c r="K16" s="8"/>
      <c r="L16" s="8"/>
      <c r="M16" s="8"/>
    </row>
    <row r="17" spans="1:13" ht="15.75" customHeight="1">
      <c r="A17" s="29">
        <v>2</v>
      </c>
      <c r="B17" s="32" t="s">
        <v>83</v>
      </c>
      <c r="C17" s="133" t="s">
        <v>87</v>
      </c>
      <c r="D17" s="32" t="s">
        <v>179</v>
      </c>
      <c r="E17" s="146">
        <v>519.52</v>
      </c>
      <c r="F17" s="134">
        <f>SUM(E17*104/100)</f>
        <v>540.30079999999998</v>
      </c>
      <c r="G17" s="134">
        <v>239.2</v>
      </c>
      <c r="H17" s="83">
        <f t="shared" si="0"/>
        <v>129.23995135999999</v>
      </c>
      <c r="I17" s="13">
        <f>F17/12*G17</f>
        <v>10769.995946666666</v>
      </c>
      <c r="J17" s="22"/>
      <c r="K17" s="8"/>
      <c r="L17" s="8"/>
      <c r="M17" s="8"/>
    </row>
    <row r="18" spans="1:13" ht="15.75" customHeight="1">
      <c r="A18" s="29">
        <v>3</v>
      </c>
      <c r="B18" s="32" t="s">
        <v>84</v>
      </c>
      <c r="C18" s="133" t="s">
        <v>87</v>
      </c>
      <c r="D18" s="32" t="s">
        <v>180</v>
      </c>
      <c r="E18" s="146">
        <f>SUM(E16+E17)</f>
        <v>649.4</v>
      </c>
      <c r="F18" s="134">
        <f>SUM(E18*18/100)</f>
        <v>116.892</v>
      </c>
      <c r="G18" s="134">
        <v>688.14</v>
      </c>
      <c r="H18" s="83">
        <f t="shared" si="0"/>
        <v>80.438060879999995</v>
      </c>
      <c r="I18" s="13">
        <f>F18/18*2*G18</f>
        <v>8937.5623199999991</v>
      </c>
      <c r="J18" s="22"/>
      <c r="K18" s="8"/>
      <c r="L18" s="8"/>
      <c r="M18" s="8"/>
    </row>
    <row r="19" spans="1:13" ht="14.25" hidden="1" customHeight="1">
      <c r="A19" s="29">
        <v>4</v>
      </c>
      <c r="B19" s="79" t="s">
        <v>88</v>
      </c>
      <c r="C19" s="80" t="s">
        <v>89</v>
      </c>
      <c r="D19" s="79" t="s">
        <v>90</v>
      </c>
      <c r="E19" s="81">
        <v>124.8</v>
      </c>
      <c r="F19" s="82">
        <f>SUM(E19/10)</f>
        <v>12.48</v>
      </c>
      <c r="G19" s="82">
        <v>170.16</v>
      </c>
      <c r="H19" s="83">
        <f t="shared" si="0"/>
        <v>2.1235967999999996</v>
      </c>
      <c r="I19" s="13">
        <f>F19/2*G19</f>
        <v>1061.7983999999999</v>
      </c>
      <c r="J19" s="22"/>
      <c r="K19" s="8"/>
      <c r="L19" s="8"/>
      <c r="M19" s="8"/>
    </row>
    <row r="20" spans="1:13" ht="15.75" customHeight="1">
      <c r="A20" s="29">
        <v>4</v>
      </c>
      <c r="B20" s="32" t="s">
        <v>93</v>
      </c>
      <c r="C20" s="133" t="s">
        <v>87</v>
      </c>
      <c r="D20" s="32" t="s">
        <v>187</v>
      </c>
      <c r="E20" s="146">
        <v>57.5</v>
      </c>
      <c r="F20" s="134">
        <f>SUM(E20*12/100)</f>
        <v>6.9</v>
      </c>
      <c r="G20" s="134">
        <v>297.19</v>
      </c>
      <c r="H20" s="83">
        <f t="shared" si="0"/>
        <v>2.050611</v>
      </c>
      <c r="I20" s="13">
        <f>F20*G20/12</f>
        <v>170.88424999999998</v>
      </c>
      <c r="J20" s="22"/>
      <c r="K20" s="8"/>
      <c r="L20" s="8"/>
      <c r="M20" s="8"/>
    </row>
    <row r="21" spans="1:13" ht="16.5" customHeight="1">
      <c r="A21" s="29">
        <v>5</v>
      </c>
      <c r="B21" s="32" t="s">
        <v>94</v>
      </c>
      <c r="C21" s="133" t="s">
        <v>87</v>
      </c>
      <c r="D21" s="32" t="s">
        <v>187</v>
      </c>
      <c r="E21" s="146">
        <v>13.41</v>
      </c>
      <c r="F21" s="134">
        <f>SUM(E21*12/100)</f>
        <v>1.6092000000000002</v>
      </c>
      <c r="G21" s="134">
        <v>294.77999999999997</v>
      </c>
      <c r="H21" s="83">
        <f t="shared" si="0"/>
        <v>0.47435997600000002</v>
      </c>
      <c r="I21" s="13">
        <f>F21*G21/12</f>
        <v>39.529997999999999</v>
      </c>
      <c r="J21" s="22"/>
      <c r="K21" s="8"/>
      <c r="L21" s="8"/>
      <c r="M21" s="8"/>
    </row>
    <row r="22" spans="1:13" ht="15" customHeight="1">
      <c r="A22" s="29">
        <v>6</v>
      </c>
      <c r="B22" s="32" t="s">
        <v>95</v>
      </c>
      <c r="C22" s="133" t="s">
        <v>51</v>
      </c>
      <c r="D22" s="32" t="s">
        <v>303</v>
      </c>
      <c r="E22" s="146">
        <v>820.5</v>
      </c>
      <c r="F22" s="134">
        <f>SUM(E22/100)</f>
        <v>8.2050000000000001</v>
      </c>
      <c r="G22" s="134">
        <v>367.27</v>
      </c>
      <c r="H22" s="83">
        <f t="shared" si="0"/>
        <v>3.0134503500000003</v>
      </c>
      <c r="I22" s="13">
        <f t="shared" ref="I22:I26" si="1">F22*G22</f>
        <v>3013.4503500000001</v>
      </c>
      <c r="J22" s="22"/>
      <c r="K22" s="8"/>
      <c r="L22" s="8"/>
      <c r="M22" s="8"/>
    </row>
    <row r="23" spans="1:13" ht="17.25" customHeight="1">
      <c r="A23" s="29">
        <v>7</v>
      </c>
      <c r="B23" s="32" t="s">
        <v>96</v>
      </c>
      <c r="C23" s="133" t="s">
        <v>51</v>
      </c>
      <c r="D23" s="32" t="s">
        <v>304</v>
      </c>
      <c r="E23" s="153">
        <v>60.25</v>
      </c>
      <c r="F23" s="134">
        <f>SUM(E23/100)</f>
        <v>0.60250000000000004</v>
      </c>
      <c r="G23" s="134">
        <v>60.41</v>
      </c>
      <c r="H23" s="83">
        <f t="shared" si="0"/>
        <v>3.6397025E-2</v>
      </c>
      <c r="I23" s="13">
        <f t="shared" si="1"/>
        <v>36.397024999999999</v>
      </c>
      <c r="J23" s="22"/>
      <c r="K23" s="8"/>
      <c r="L23" s="8"/>
      <c r="M23" s="8"/>
    </row>
    <row r="24" spans="1:13" ht="15.75" customHeight="1">
      <c r="A24" s="29">
        <v>8</v>
      </c>
      <c r="B24" s="32" t="s">
        <v>91</v>
      </c>
      <c r="C24" s="133" t="s">
        <v>51</v>
      </c>
      <c r="D24" s="32" t="s">
        <v>211</v>
      </c>
      <c r="E24" s="146">
        <v>19.149999999999999</v>
      </c>
      <c r="F24" s="134">
        <f>E24/100</f>
        <v>0.19149999999999998</v>
      </c>
      <c r="G24" s="134">
        <v>531.55999999999995</v>
      </c>
      <c r="H24" s="83">
        <f t="shared" si="0"/>
        <v>0.10179373999999997</v>
      </c>
      <c r="I24" s="13">
        <f t="shared" si="1"/>
        <v>101.79373999999997</v>
      </c>
      <c r="J24" s="22"/>
      <c r="K24" s="8"/>
      <c r="L24" s="8"/>
      <c r="M24" s="8"/>
    </row>
    <row r="25" spans="1:13" ht="13.5" customHeight="1">
      <c r="A25" s="29">
        <v>9</v>
      </c>
      <c r="B25" s="32" t="s">
        <v>98</v>
      </c>
      <c r="C25" s="133" t="s">
        <v>51</v>
      </c>
      <c r="D25" s="32" t="s">
        <v>181</v>
      </c>
      <c r="E25" s="146">
        <v>31.5</v>
      </c>
      <c r="F25" s="134">
        <v>0.32</v>
      </c>
      <c r="G25" s="134">
        <v>294.77999999999997</v>
      </c>
      <c r="H25" s="83">
        <f t="shared" si="0"/>
        <v>9.43296E-2</v>
      </c>
      <c r="I25" s="13">
        <f t="shared" si="1"/>
        <v>94.329599999999999</v>
      </c>
      <c r="J25" s="22"/>
      <c r="K25" s="8"/>
      <c r="L25" s="8"/>
      <c r="M25" s="8"/>
    </row>
    <row r="26" spans="1:13" ht="15" customHeight="1">
      <c r="A26" s="29">
        <v>10</v>
      </c>
      <c r="B26" s="32" t="s">
        <v>97</v>
      </c>
      <c r="C26" s="133" t="s">
        <v>51</v>
      </c>
      <c r="D26" s="32" t="s">
        <v>211</v>
      </c>
      <c r="E26" s="146">
        <v>37.5</v>
      </c>
      <c r="F26" s="134">
        <f>SUM(E26/100)</f>
        <v>0.375</v>
      </c>
      <c r="G26" s="134">
        <v>710.37</v>
      </c>
      <c r="H26" s="83">
        <f t="shared" si="0"/>
        <v>0.26638875000000001</v>
      </c>
      <c r="I26" s="13">
        <f t="shared" si="1"/>
        <v>266.38875000000002</v>
      </c>
      <c r="J26" s="22"/>
      <c r="K26" s="8"/>
      <c r="L26" s="8"/>
      <c r="M26" s="8"/>
    </row>
    <row r="27" spans="1:13" ht="15.75" hidden="1" customHeight="1">
      <c r="A27" s="29">
        <v>6</v>
      </c>
      <c r="B27" s="32" t="s">
        <v>177</v>
      </c>
      <c r="C27" s="133" t="s">
        <v>26</v>
      </c>
      <c r="D27" s="32" t="s">
        <v>182</v>
      </c>
      <c r="E27" s="169">
        <v>4.88</v>
      </c>
      <c r="F27" s="134">
        <f>E27*258</f>
        <v>1259.04</v>
      </c>
      <c r="G27" s="134">
        <v>10.39</v>
      </c>
      <c r="H27" s="83">
        <f t="shared" ref="H27" si="2">SUM(F27*G27/1000)</f>
        <v>13.081425600000001</v>
      </c>
      <c r="I27" s="13">
        <f>F27/12*G27</f>
        <v>1090.1188</v>
      </c>
      <c r="J27" s="22"/>
      <c r="K27" s="8"/>
      <c r="L27" s="8"/>
      <c r="M27" s="8"/>
    </row>
    <row r="28" spans="1:13" ht="15.75" customHeight="1">
      <c r="A28" s="234" t="s">
        <v>80</v>
      </c>
      <c r="B28" s="234"/>
      <c r="C28" s="234"/>
      <c r="D28" s="234"/>
      <c r="E28" s="234"/>
      <c r="F28" s="234"/>
      <c r="G28" s="234"/>
      <c r="H28" s="234"/>
      <c r="I28" s="234"/>
      <c r="J28" s="22"/>
      <c r="K28" s="8"/>
      <c r="L28" s="8"/>
      <c r="M28" s="8"/>
    </row>
    <row r="29" spans="1:13" ht="15.75" customHeight="1">
      <c r="A29" s="40"/>
      <c r="B29" s="50" t="s">
        <v>29</v>
      </c>
      <c r="C29" s="50"/>
      <c r="D29" s="50"/>
      <c r="E29" s="50"/>
      <c r="F29" s="50"/>
      <c r="G29" s="50"/>
      <c r="H29" s="50"/>
      <c r="I29" s="18"/>
      <c r="J29" s="22"/>
      <c r="K29" s="8"/>
      <c r="L29" s="8"/>
      <c r="M29" s="8"/>
    </row>
    <row r="30" spans="1:13" ht="15.75" customHeight="1">
      <c r="A30" s="40">
        <v>11</v>
      </c>
      <c r="B30" s="32" t="s">
        <v>99</v>
      </c>
      <c r="C30" s="133" t="s">
        <v>100</v>
      </c>
      <c r="D30" s="32" t="s">
        <v>179</v>
      </c>
      <c r="E30" s="134">
        <v>1304.45</v>
      </c>
      <c r="F30" s="134">
        <f>SUM(E30*52/1000)</f>
        <v>67.831400000000002</v>
      </c>
      <c r="G30" s="134">
        <v>212.62</v>
      </c>
      <c r="H30" s="83">
        <f t="shared" ref="H30:H31" si="3">SUM(F30*G30/1000)</f>
        <v>14.422312268000001</v>
      </c>
      <c r="I30" s="13">
        <f>F30/6*G30</f>
        <v>2403.7187113333334</v>
      </c>
      <c r="J30" s="22"/>
      <c r="K30" s="8"/>
      <c r="L30" s="8"/>
      <c r="M30" s="8"/>
    </row>
    <row r="31" spans="1:13" ht="31.5" customHeight="1">
      <c r="A31" s="40">
        <v>12</v>
      </c>
      <c r="B31" s="32" t="s">
        <v>137</v>
      </c>
      <c r="C31" s="133" t="s">
        <v>100</v>
      </c>
      <c r="D31" s="32" t="s">
        <v>179</v>
      </c>
      <c r="E31" s="134">
        <v>287.83999999999997</v>
      </c>
      <c r="F31" s="134">
        <f>SUM(E31*52/1000)</f>
        <v>14.967679999999998</v>
      </c>
      <c r="G31" s="134">
        <v>352.77</v>
      </c>
      <c r="H31" s="83">
        <f t="shared" si="3"/>
        <v>5.2801484735999997</v>
      </c>
      <c r="I31" s="13">
        <f t="shared" ref="I31" si="4">F31/6*G31</f>
        <v>880.02474559999985</v>
      </c>
      <c r="J31" s="22"/>
      <c r="K31" s="8"/>
      <c r="L31" s="8"/>
      <c r="M31" s="8"/>
    </row>
    <row r="32" spans="1:13" ht="15.75" hidden="1" customHeight="1">
      <c r="A32" s="40">
        <v>16</v>
      </c>
      <c r="B32" s="79" t="s">
        <v>28</v>
      </c>
      <c r="C32" s="80" t="s">
        <v>100</v>
      </c>
      <c r="D32" s="79" t="s">
        <v>52</v>
      </c>
      <c r="E32" s="82">
        <v>1304.45</v>
      </c>
      <c r="F32" s="82">
        <f>SUM(E32/1000)</f>
        <v>1.3044500000000001</v>
      </c>
      <c r="G32" s="82">
        <v>3020.33</v>
      </c>
      <c r="H32" s="83">
        <f t="shared" ref="H32:H34" si="5">SUM(F32*G32/1000)</f>
        <v>3.9398694685</v>
      </c>
      <c r="I32" s="13">
        <f>F32*G32</f>
        <v>3939.8694685</v>
      </c>
      <c r="J32" s="22"/>
      <c r="K32" s="8"/>
      <c r="L32" s="8"/>
      <c r="M32" s="8"/>
    </row>
    <row r="33" spans="1:14" ht="15.75" hidden="1" customHeight="1">
      <c r="A33" s="40">
        <v>4</v>
      </c>
      <c r="B33" s="79" t="s">
        <v>63</v>
      </c>
      <c r="C33" s="80" t="s">
        <v>33</v>
      </c>
      <c r="D33" s="79" t="s">
        <v>65</v>
      </c>
      <c r="E33" s="81"/>
      <c r="F33" s="82">
        <v>3</v>
      </c>
      <c r="G33" s="82">
        <v>191.32</v>
      </c>
      <c r="H33" s="83">
        <f t="shared" si="5"/>
        <v>0.57396000000000003</v>
      </c>
      <c r="I33" s="13">
        <v>0</v>
      </c>
      <c r="J33" s="23"/>
    </row>
    <row r="34" spans="1:14" ht="15.75" hidden="1" customHeight="1">
      <c r="A34" s="29">
        <v>8</v>
      </c>
      <c r="B34" s="79" t="s">
        <v>64</v>
      </c>
      <c r="C34" s="80" t="s">
        <v>32</v>
      </c>
      <c r="D34" s="79" t="s">
        <v>65</v>
      </c>
      <c r="E34" s="81"/>
      <c r="F34" s="82">
        <v>2</v>
      </c>
      <c r="G34" s="82">
        <v>1136.32</v>
      </c>
      <c r="H34" s="83">
        <f t="shared" si="5"/>
        <v>2.27264</v>
      </c>
      <c r="I34" s="13">
        <v>0</v>
      </c>
      <c r="J34" s="23"/>
    </row>
    <row r="35" spans="1:14" ht="15.75" hidden="1" customHeight="1">
      <c r="A35" s="40"/>
      <c r="B35" s="48" t="s">
        <v>5</v>
      </c>
      <c r="C35" s="48"/>
      <c r="D35" s="48"/>
      <c r="E35" s="13"/>
      <c r="F35" s="13"/>
      <c r="G35" s="14"/>
      <c r="H35" s="14"/>
      <c r="I35" s="18"/>
      <c r="J35" s="23"/>
    </row>
    <row r="36" spans="1:14" ht="15.75" hidden="1" customHeight="1">
      <c r="A36" s="33">
        <v>6</v>
      </c>
      <c r="B36" s="79" t="s">
        <v>27</v>
      </c>
      <c r="C36" s="80" t="s">
        <v>32</v>
      </c>
      <c r="D36" s="79"/>
      <c r="E36" s="81"/>
      <c r="F36" s="82">
        <v>10</v>
      </c>
      <c r="G36" s="82">
        <v>1527.22</v>
      </c>
      <c r="H36" s="83">
        <f t="shared" ref="H36:H43" si="6">SUM(F36*G36/1000)</f>
        <v>15.272200000000002</v>
      </c>
      <c r="I36" s="13">
        <f>F36/6*G36</f>
        <v>2545.3666666666668</v>
      </c>
      <c r="J36" s="23"/>
    </row>
    <row r="37" spans="1:14" ht="15.75" hidden="1" customHeight="1">
      <c r="A37" s="33">
        <v>7</v>
      </c>
      <c r="B37" s="79" t="s">
        <v>121</v>
      </c>
      <c r="C37" s="80" t="s">
        <v>30</v>
      </c>
      <c r="D37" s="79" t="s">
        <v>122</v>
      </c>
      <c r="E37" s="82">
        <v>495</v>
      </c>
      <c r="F37" s="82">
        <f>SUM(E37*12/1000)</f>
        <v>5.94</v>
      </c>
      <c r="G37" s="82">
        <v>2102.71</v>
      </c>
      <c r="H37" s="83">
        <f t="shared" si="6"/>
        <v>12.4900974</v>
      </c>
      <c r="I37" s="13">
        <f>F37/6*G37</f>
        <v>2081.6829000000002</v>
      </c>
      <c r="J37" s="23"/>
    </row>
    <row r="38" spans="1:14" ht="15.75" hidden="1" customHeight="1">
      <c r="A38" s="33">
        <v>8</v>
      </c>
      <c r="B38" s="79" t="s">
        <v>123</v>
      </c>
      <c r="C38" s="80" t="s">
        <v>30</v>
      </c>
      <c r="D38" s="79" t="s">
        <v>104</v>
      </c>
      <c r="E38" s="81">
        <v>287.83999999999997</v>
      </c>
      <c r="F38" s="82">
        <v>8.64</v>
      </c>
      <c r="G38" s="82">
        <v>2102.71</v>
      </c>
      <c r="H38" s="83">
        <f>G38*F38/1000</f>
        <v>18.167414400000002</v>
      </c>
      <c r="I38" s="13">
        <f>F38/6*G38</f>
        <v>3027.9024000000004</v>
      </c>
      <c r="J38" s="23"/>
    </row>
    <row r="39" spans="1:14" ht="15.75" hidden="1" customHeight="1">
      <c r="A39" s="33">
        <v>7</v>
      </c>
      <c r="B39" s="79" t="s">
        <v>85</v>
      </c>
      <c r="C39" s="80" t="s">
        <v>124</v>
      </c>
      <c r="D39" s="79" t="s">
        <v>65</v>
      </c>
      <c r="E39" s="81"/>
      <c r="F39" s="82">
        <v>80</v>
      </c>
      <c r="G39" s="82">
        <v>199.44</v>
      </c>
      <c r="H39" s="83">
        <f>G39*F39/1000</f>
        <v>15.955200000000001</v>
      </c>
      <c r="I39" s="13">
        <v>0</v>
      </c>
      <c r="J39" s="23"/>
    </row>
    <row r="40" spans="1:14" ht="15.75" hidden="1" customHeight="1">
      <c r="A40" s="33">
        <v>9</v>
      </c>
      <c r="B40" s="79" t="s">
        <v>66</v>
      </c>
      <c r="C40" s="80" t="s">
        <v>30</v>
      </c>
      <c r="D40" s="79" t="s">
        <v>105</v>
      </c>
      <c r="E40" s="82">
        <v>287.83999999999997</v>
      </c>
      <c r="F40" s="82">
        <f>SUM(E40*155/1000)</f>
        <v>44.615199999999994</v>
      </c>
      <c r="G40" s="82">
        <v>350.75</v>
      </c>
      <c r="H40" s="83">
        <f t="shared" si="6"/>
        <v>15.648781399999997</v>
      </c>
      <c r="I40" s="13">
        <f>F40/6*G40</f>
        <v>2608.1302333333329</v>
      </c>
      <c r="J40" s="23"/>
    </row>
    <row r="41" spans="1:14" ht="47.25" hidden="1" customHeight="1">
      <c r="A41" s="33">
        <v>10</v>
      </c>
      <c r="B41" s="79" t="s">
        <v>78</v>
      </c>
      <c r="C41" s="80" t="s">
        <v>100</v>
      </c>
      <c r="D41" s="79" t="s">
        <v>125</v>
      </c>
      <c r="E41" s="82">
        <v>89.43</v>
      </c>
      <c r="F41" s="82">
        <f>SUM(E41*24/1000)</f>
        <v>2.1463200000000002</v>
      </c>
      <c r="G41" s="82">
        <v>5803.28</v>
      </c>
      <c r="H41" s="83">
        <f t="shared" si="6"/>
        <v>12.455695929600001</v>
      </c>
      <c r="I41" s="13">
        <f>F41/6*G41</f>
        <v>2075.9493216000001</v>
      </c>
      <c r="J41" s="23"/>
      <c r="L41" s="19"/>
      <c r="M41" s="20"/>
      <c r="N41" s="21"/>
    </row>
    <row r="42" spans="1:14" ht="15.75" hidden="1" customHeight="1">
      <c r="A42" s="33">
        <v>11</v>
      </c>
      <c r="B42" s="79" t="s">
        <v>106</v>
      </c>
      <c r="C42" s="80" t="s">
        <v>100</v>
      </c>
      <c r="D42" s="79" t="s">
        <v>67</v>
      </c>
      <c r="E42" s="82">
        <v>130.08000000000001</v>
      </c>
      <c r="F42" s="82">
        <f>SUM(E42*45/1000)</f>
        <v>5.8536000000000001</v>
      </c>
      <c r="G42" s="82">
        <v>428.7</v>
      </c>
      <c r="H42" s="83">
        <f t="shared" si="6"/>
        <v>2.5094383200000001</v>
      </c>
      <c r="I42" s="13">
        <f>F42/6*G42</f>
        <v>418.23971999999998</v>
      </c>
      <c r="J42" s="23"/>
      <c r="L42" s="19"/>
      <c r="M42" s="20"/>
      <c r="N42" s="21"/>
    </row>
    <row r="43" spans="1:14" ht="15.75" hidden="1" customHeight="1">
      <c r="A43" s="33">
        <v>12</v>
      </c>
      <c r="B43" s="79" t="s">
        <v>68</v>
      </c>
      <c r="C43" s="80" t="s">
        <v>33</v>
      </c>
      <c r="D43" s="79"/>
      <c r="E43" s="81"/>
      <c r="F43" s="82">
        <v>0.9</v>
      </c>
      <c r="G43" s="82">
        <v>798</v>
      </c>
      <c r="H43" s="83">
        <f t="shared" si="6"/>
        <v>0.71820000000000006</v>
      </c>
      <c r="I43" s="13">
        <f>F43/6*G43</f>
        <v>119.69999999999999</v>
      </c>
      <c r="J43" s="23"/>
      <c r="L43" s="19"/>
      <c r="M43" s="20"/>
      <c r="N43" s="21"/>
    </row>
    <row r="44" spans="1:14" ht="15.75" hidden="1" customHeight="1">
      <c r="A44" s="238" t="s">
        <v>134</v>
      </c>
      <c r="B44" s="239"/>
      <c r="C44" s="239"/>
      <c r="D44" s="239"/>
      <c r="E44" s="239"/>
      <c r="F44" s="239"/>
      <c r="G44" s="239"/>
      <c r="H44" s="239"/>
      <c r="I44" s="240"/>
      <c r="J44" s="23"/>
      <c r="L44" s="19"/>
      <c r="M44" s="20"/>
      <c r="N44" s="21"/>
    </row>
    <row r="45" spans="1:14" ht="15.75" hidden="1" customHeight="1">
      <c r="A45" s="40">
        <v>18</v>
      </c>
      <c r="B45" s="79" t="s">
        <v>126</v>
      </c>
      <c r="C45" s="80" t="s">
        <v>100</v>
      </c>
      <c r="D45" s="79" t="s">
        <v>41</v>
      </c>
      <c r="E45" s="81">
        <v>1369</v>
      </c>
      <c r="F45" s="82">
        <f>SUM(E45*2/1000)</f>
        <v>2.738</v>
      </c>
      <c r="G45" s="13">
        <v>849.49</v>
      </c>
      <c r="H45" s="83">
        <f t="shared" ref="H45:H53" si="7">SUM(F45*G45/1000)</f>
        <v>2.3259036200000001</v>
      </c>
      <c r="I45" s="13">
        <f t="shared" ref="I45:I47" si="8">F45/2*G45</f>
        <v>1162.95181</v>
      </c>
      <c r="J45" s="23"/>
      <c r="L45" s="19"/>
      <c r="M45" s="20"/>
      <c r="N45" s="21"/>
    </row>
    <row r="46" spans="1:14" ht="15.75" hidden="1" customHeight="1">
      <c r="A46" s="40">
        <v>19</v>
      </c>
      <c r="B46" s="79" t="s">
        <v>34</v>
      </c>
      <c r="C46" s="80" t="s">
        <v>100</v>
      </c>
      <c r="D46" s="79" t="s">
        <v>41</v>
      </c>
      <c r="E46" s="81">
        <v>1418</v>
      </c>
      <c r="F46" s="82">
        <f>SUM(E46*2/1000)</f>
        <v>2.8359999999999999</v>
      </c>
      <c r="G46" s="13">
        <v>579.48</v>
      </c>
      <c r="H46" s="83">
        <f t="shared" si="7"/>
        <v>1.6434052799999999</v>
      </c>
      <c r="I46" s="13">
        <f t="shared" si="8"/>
        <v>821.70263999999997</v>
      </c>
      <c r="J46" s="23"/>
      <c r="L46" s="19"/>
      <c r="M46" s="20"/>
      <c r="N46" s="21"/>
    </row>
    <row r="47" spans="1:14" ht="15.75" hidden="1" customHeight="1">
      <c r="A47" s="40">
        <v>20</v>
      </c>
      <c r="B47" s="79" t="s">
        <v>35</v>
      </c>
      <c r="C47" s="80" t="s">
        <v>100</v>
      </c>
      <c r="D47" s="79" t="s">
        <v>41</v>
      </c>
      <c r="E47" s="81">
        <v>4985.21</v>
      </c>
      <c r="F47" s="82">
        <f>SUM(E47*2/1000)</f>
        <v>9.9704200000000007</v>
      </c>
      <c r="G47" s="13">
        <v>579.48</v>
      </c>
      <c r="H47" s="83">
        <f t="shared" si="7"/>
        <v>5.7776589816000001</v>
      </c>
      <c r="I47" s="13">
        <f t="shared" si="8"/>
        <v>2888.8294908000003</v>
      </c>
      <c r="J47" s="23"/>
      <c r="L47" s="19"/>
      <c r="M47" s="20"/>
      <c r="N47" s="21"/>
    </row>
    <row r="48" spans="1:14" ht="15.75" hidden="1" customHeight="1">
      <c r="A48" s="40">
        <v>21</v>
      </c>
      <c r="B48" s="79" t="s">
        <v>36</v>
      </c>
      <c r="C48" s="80" t="s">
        <v>100</v>
      </c>
      <c r="D48" s="79" t="s">
        <v>41</v>
      </c>
      <c r="E48" s="81">
        <v>2474</v>
      </c>
      <c r="F48" s="82">
        <f>SUM(E48*2/1000)</f>
        <v>4.9480000000000004</v>
      </c>
      <c r="G48" s="13">
        <v>606.77</v>
      </c>
      <c r="H48" s="83">
        <f t="shared" si="7"/>
        <v>3.0022979600000004</v>
      </c>
      <c r="I48" s="13">
        <f>F48/2*G48</f>
        <v>1501.1489800000002</v>
      </c>
      <c r="J48" s="23"/>
      <c r="L48" s="19"/>
      <c r="M48" s="20"/>
      <c r="N48" s="21"/>
    </row>
    <row r="49" spans="1:14" ht="15.75" hidden="1" customHeight="1">
      <c r="A49" s="40">
        <v>22</v>
      </c>
      <c r="B49" s="79" t="s">
        <v>54</v>
      </c>
      <c r="C49" s="80" t="s">
        <v>100</v>
      </c>
      <c r="D49" s="79" t="s">
        <v>138</v>
      </c>
      <c r="E49" s="81">
        <v>1349.3</v>
      </c>
      <c r="F49" s="82">
        <f>SUM(E49*5/1000)</f>
        <v>6.7465000000000002</v>
      </c>
      <c r="G49" s="13">
        <v>1213.55</v>
      </c>
      <c r="H49" s="83">
        <f t="shared" si="7"/>
        <v>8.1872150749999992</v>
      </c>
      <c r="I49" s="13">
        <f>F49/5*G49</f>
        <v>1637.4430149999998</v>
      </c>
      <c r="J49" s="23"/>
      <c r="L49" s="19"/>
      <c r="M49" s="20"/>
      <c r="N49" s="21"/>
    </row>
    <row r="50" spans="1:14" ht="30.75" hidden="1" customHeight="1">
      <c r="A50" s="40">
        <v>13</v>
      </c>
      <c r="B50" s="79" t="s">
        <v>107</v>
      </c>
      <c r="C50" s="80" t="s">
        <v>100</v>
      </c>
      <c r="D50" s="79" t="s">
        <v>41</v>
      </c>
      <c r="E50" s="81">
        <v>1349.3</v>
      </c>
      <c r="F50" s="82">
        <f>SUM(E50*2/1000)</f>
        <v>2.6985999999999999</v>
      </c>
      <c r="G50" s="13">
        <v>1213.55</v>
      </c>
      <c r="H50" s="83">
        <f t="shared" si="7"/>
        <v>3.2748860299999998</v>
      </c>
      <c r="I50" s="13">
        <f>F50/2*G50</f>
        <v>1637.4430149999998</v>
      </c>
      <c r="J50" s="23"/>
      <c r="L50" s="19"/>
      <c r="M50" s="20"/>
      <c r="N50" s="21"/>
    </row>
    <row r="51" spans="1:14" ht="30.75" hidden="1" customHeight="1">
      <c r="A51" s="40">
        <v>14</v>
      </c>
      <c r="B51" s="79" t="s">
        <v>108</v>
      </c>
      <c r="C51" s="80" t="s">
        <v>37</v>
      </c>
      <c r="D51" s="79" t="s">
        <v>41</v>
      </c>
      <c r="E51" s="81">
        <v>40</v>
      </c>
      <c r="F51" s="82">
        <f>SUM(E51*2/100)</f>
        <v>0.8</v>
      </c>
      <c r="G51" s="13">
        <v>2730.49</v>
      </c>
      <c r="H51" s="83">
        <f t="shared" si="7"/>
        <v>2.1843919999999999</v>
      </c>
      <c r="I51" s="13">
        <f t="shared" ref="I51:I52" si="9">F51/2*G51</f>
        <v>1092.1959999999999</v>
      </c>
      <c r="J51" s="23"/>
      <c r="L51" s="19"/>
      <c r="M51" s="20"/>
      <c r="N51" s="21"/>
    </row>
    <row r="52" spans="1:14" ht="15.75" hidden="1" customHeight="1">
      <c r="A52" s="40">
        <v>15</v>
      </c>
      <c r="B52" s="79" t="s">
        <v>38</v>
      </c>
      <c r="C52" s="80" t="s">
        <v>39</v>
      </c>
      <c r="D52" s="79" t="s">
        <v>41</v>
      </c>
      <c r="E52" s="81">
        <v>1</v>
      </c>
      <c r="F52" s="82">
        <v>0.02</v>
      </c>
      <c r="G52" s="13">
        <v>5652.13</v>
      </c>
      <c r="H52" s="83">
        <f t="shared" si="7"/>
        <v>0.11304260000000001</v>
      </c>
      <c r="I52" s="13">
        <f t="shared" si="9"/>
        <v>56.521300000000004</v>
      </c>
      <c r="J52" s="23"/>
      <c r="L52" s="19"/>
      <c r="M52" s="20"/>
      <c r="N52" s="21"/>
    </row>
    <row r="53" spans="1:14" ht="15.75" hidden="1" customHeight="1">
      <c r="A53" s="40">
        <v>9</v>
      </c>
      <c r="B53" s="79" t="s">
        <v>40</v>
      </c>
      <c r="C53" s="80" t="s">
        <v>109</v>
      </c>
      <c r="D53" s="79" t="s">
        <v>69</v>
      </c>
      <c r="E53" s="81">
        <v>238</v>
      </c>
      <c r="F53" s="82">
        <f>SUM(E53)*3</f>
        <v>714</v>
      </c>
      <c r="G53" s="13">
        <v>65.67</v>
      </c>
      <c r="H53" s="83">
        <f t="shared" si="7"/>
        <v>46.888380000000005</v>
      </c>
      <c r="I53" s="13">
        <f>E53*G53</f>
        <v>15629.460000000001</v>
      </c>
      <c r="J53" s="23"/>
      <c r="L53" s="19"/>
      <c r="M53" s="20"/>
      <c r="N53" s="21"/>
    </row>
    <row r="54" spans="1:14" ht="15.75" customHeight="1">
      <c r="A54" s="238" t="s">
        <v>146</v>
      </c>
      <c r="B54" s="239"/>
      <c r="C54" s="239"/>
      <c r="D54" s="239"/>
      <c r="E54" s="239"/>
      <c r="F54" s="239"/>
      <c r="G54" s="239"/>
      <c r="H54" s="239"/>
      <c r="I54" s="240"/>
      <c r="J54" s="23"/>
      <c r="L54" s="19"/>
      <c r="M54" s="20"/>
      <c r="N54" s="21"/>
    </row>
    <row r="55" spans="1:14" ht="18" hidden="1" customHeight="1">
      <c r="A55" s="78"/>
      <c r="B55" s="47" t="s">
        <v>42</v>
      </c>
      <c r="C55" s="16"/>
      <c r="D55" s="15"/>
      <c r="E55" s="15"/>
      <c r="F55" s="15"/>
      <c r="G55" s="29"/>
      <c r="H55" s="29"/>
      <c r="I55" s="18"/>
      <c r="J55" s="23"/>
      <c r="L55" s="19"/>
      <c r="M55" s="20"/>
      <c r="N55" s="21"/>
    </row>
    <row r="56" spans="1:14" ht="21.75" hidden="1" customHeight="1">
      <c r="A56" s="40">
        <v>16</v>
      </c>
      <c r="B56" s="79" t="s">
        <v>110</v>
      </c>
      <c r="C56" s="80" t="s">
        <v>87</v>
      </c>
      <c r="D56" s="79" t="s">
        <v>111</v>
      </c>
      <c r="E56" s="81">
        <v>176.9</v>
      </c>
      <c r="F56" s="82">
        <f>SUM(E56*6/100)</f>
        <v>10.614000000000001</v>
      </c>
      <c r="G56" s="13">
        <v>1547.28</v>
      </c>
      <c r="H56" s="83">
        <f>SUM(F56*G56/1000)</f>
        <v>16.422829920000002</v>
      </c>
      <c r="I56" s="13">
        <f>F56/6*G56</f>
        <v>2737.13832</v>
      </c>
      <c r="J56" s="23"/>
      <c r="L56" s="19"/>
      <c r="M56" s="20"/>
      <c r="N56" s="21"/>
    </row>
    <row r="57" spans="1:14" ht="19.5" hidden="1" customHeight="1">
      <c r="A57" s="40">
        <v>17</v>
      </c>
      <c r="B57" s="79" t="s">
        <v>127</v>
      </c>
      <c r="C57" s="80" t="s">
        <v>87</v>
      </c>
      <c r="D57" s="79" t="s">
        <v>111</v>
      </c>
      <c r="E57" s="74">
        <v>56</v>
      </c>
      <c r="F57" s="87">
        <v>3.36</v>
      </c>
      <c r="G57" s="82">
        <v>1547.28</v>
      </c>
      <c r="H57" s="83">
        <f>F57*G57/1000</f>
        <v>5.1988607999999994</v>
      </c>
      <c r="I57" s="13">
        <f>F57/6*G57</f>
        <v>866.47679999999991</v>
      </c>
      <c r="J57" s="23"/>
      <c r="L57" s="19"/>
      <c r="M57" s="20"/>
      <c r="N57" s="21"/>
    </row>
    <row r="58" spans="1:14" ht="18.75" hidden="1" customHeight="1">
      <c r="A58" s="40"/>
      <c r="B58" s="79" t="s">
        <v>128</v>
      </c>
      <c r="C58" s="80" t="s">
        <v>129</v>
      </c>
      <c r="D58" s="79" t="s">
        <v>41</v>
      </c>
      <c r="E58" s="88">
        <v>8</v>
      </c>
      <c r="F58" s="13">
        <v>16</v>
      </c>
      <c r="G58" s="82">
        <v>180.78</v>
      </c>
      <c r="H58" s="83">
        <f>SUM(F58*G58/1000)</f>
        <v>2.8924799999999999</v>
      </c>
      <c r="I58" s="13">
        <v>0</v>
      </c>
      <c r="J58" s="23"/>
      <c r="L58" s="19"/>
      <c r="M58" s="20"/>
      <c r="N58" s="21"/>
    </row>
    <row r="59" spans="1:14" ht="18.75" hidden="1" customHeight="1">
      <c r="A59" s="40">
        <v>13</v>
      </c>
      <c r="B59" s="32" t="s">
        <v>160</v>
      </c>
      <c r="C59" s="133" t="s">
        <v>161</v>
      </c>
      <c r="D59" s="32" t="s">
        <v>302</v>
      </c>
      <c r="E59" s="180"/>
      <c r="F59" s="36">
        <v>8</v>
      </c>
      <c r="G59" s="151">
        <v>1645</v>
      </c>
      <c r="H59" s="94"/>
      <c r="I59" s="13">
        <f>G59*1</f>
        <v>1645</v>
      </c>
      <c r="J59" s="23"/>
      <c r="L59" s="19"/>
      <c r="M59" s="20"/>
      <c r="N59" s="21"/>
    </row>
    <row r="60" spans="1:14" ht="15.75" customHeight="1">
      <c r="A60" s="40"/>
      <c r="B60" s="73" t="s">
        <v>43</v>
      </c>
      <c r="C60" s="73"/>
      <c r="D60" s="73"/>
      <c r="E60" s="73"/>
      <c r="F60" s="73"/>
      <c r="G60" s="73"/>
      <c r="H60" s="73"/>
      <c r="I60" s="35"/>
      <c r="J60" s="23"/>
      <c r="L60" s="19"/>
      <c r="M60" s="20"/>
      <c r="N60" s="21"/>
    </row>
    <row r="61" spans="1:14" ht="15.75" hidden="1" customHeight="1">
      <c r="A61" s="40">
        <v>27</v>
      </c>
      <c r="B61" s="79" t="s">
        <v>139</v>
      </c>
      <c r="C61" s="80"/>
      <c r="D61" s="79" t="s">
        <v>52</v>
      </c>
      <c r="E61" s="81">
        <v>1349.3</v>
      </c>
      <c r="F61" s="83">
        <v>13.493</v>
      </c>
      <c r="G61" s="13">
        <v>793.61</v>
      </c>
      <c r="H61" s="89">
        <f>F61*G61/1000</f>
        <v>10.708179729999999</v>
      </c>
      <c r="I61" s="13">
        <v>0</v>
      </c>
      <c r="J61" s="23"/>
      <c r="L61" s="19"/>
      <c r="M61" s="20"/>
      <c r="N61" s="21"/>
    </row>
    <row r="62" spans="1:14" ht="15.75" customHeight="1">
      <c r="A62" s="40">
        <v>13</v>
      </c>
      <c r="B62" s="90" t="s">
        <v>86</v>
      </c>
      <c r="C62" s="91" t="s">
        <v>26</v>
      </c>
      <c r="D62" s="90"/>
      <c r="E62" s="92">
        <v>270</v>
      </c>
      <c r="F62" s="93">
        <v>2400</v>
      </c>
      <c r="G62" s="94">
        <v>1.4</v>
      </c>
      <c r="H62" s="95">
        <f>F62*G62</f>
        <v>3360</v>
      </c>
      <c r="I62" s="13">
        <f>F62/12*G62</f>
        <v>280</v>
      </c>
      <c r="J62" s="23"/>
      <c r="L62" s="19"/>
      <c r="M62" s="20"/>
      <c r="N62" s="21"/>
    </row>
    <row r="63" spans="1:14" ht="15.75" customHeight="1">
      <c r="A63" s="40"/>
      <c r="B63" s="73" t="s">
        <v>44</v>
      </c>
      <c r="C63" s="16"/>
      <c r="D63" s="37"/>
      <c r="E63" s="15"/>
      <c r="F63" s="15"/>
      <c r="G63" s="29"/>
      <c r="H63" s="29"/>
      <c r="I63" s="18"/>
      <c r="J63" s="23"/>
      <c r="L63" s="19"/>
    </row>
    <row r="64" spans="1:14" ht="18" customHeight="1">
      <c r="A64" s="40">
        <v>14</v>
      </c>
      <c r="B64" s="96" t="s">
        <v>45</v>
      </c>
      <c r="C64" s="16" t="s">
        <v>109</v>
      </c>
      <c r="D64" s="96" t="s">
        <v>312</v>
      </c>
      <c r="E64" s="18">
        <v>40</v>
      </c>
      <c r="F64" s="82">
        <v>40</v>
      </c>
      <c r="G64" s="121">
        <v>303.35000000000002</v>
      </c>
      <c r="H64" s="97">
        <f t="shared" ref="H64" si="10">SUM(F64*G64/1000)</f>
        <v>12.134</v>
      </c>
      <c r="I64" s="13">
        <f>G64*12</f>
        <v>3640.2000000000003</v>
      </c>
    </row>
    <row r="65" spans="1:22" ht="19.5" hidden="1" customHeight="1">
      <c r="A65" s="29">
        <v>29</v>
      </c>
      <c r="B65" s="96" t="s">
        <v>46</v>
      </c>
      <c r="C65" s="16" t="s">
        <v>109</v>
      </c>
      <c r="D65" s="96" t="s">
        <v>65</v>
      </c>
      <c r="E65" s="18">
        <v>20</v>
      </c>
      <c r="F65" s="82">
        <v>20</v>
      </c>
      <c r="G65" s="13">
        <v>76.25</v>
      </c>
      <c r="H65" s="97">
        <f t="shared" ref="H65:H71" si="11">SUM(F65*G65/1000)</f>
        <v>1.5249999999999999</v>
      </c>
      <c r="I65" s="13">
        <v>0</v>
      </c>
    </row>
    <row r="66" spans="1:22" ht="17.25" hidden="1" customHeight="1">
      <c r="A66" s="29">
        <v>11</v>
      </c>
      <c r="B66" s="145" t="s">
        <v>47</v>
      </c>
      <c r="C66" s="170" t="s">
        <v>112</v>
      </c>
      <c r="D66" s="37"/>
      <c r="E66" s="146">
        <v>18890</v>
      </c>
      <c r="F66" s="166">
        <f>SUM(E66/100)</f>
        <v>188.9</v>
      </c>
      <c r="G66" s="36">
        <v>289.37</v>
      </c>
      <c r="H66" s="97">
        <f t="shared" si="11"/>
        <v>54.661993000000002</v>
      </c>
      <c r="I66" s="13">
        <f>F66*G66</f>
        <v>54661.993000000002</v>
      </c>
    </row>
    <row r="67" spans="1:22" ht="16.5" hidden="1" customHeight="1">
      <c r="A67" s="29">
        <v>12</v>
      </c>
      <c r="B67" s="145" t="s">
        <v>48</v>
      </c>
      <c r="C67" s="38" t="s">
        <v>113</v>
      </c>
      <c r="D67" s="37"/>
      <c r="E67" s="146">
        <v>18890</v>
      </c>
      <c r="F67" s="36">
        <f>SUM(E67/1000)</f>
        <v>18.89</v>
      </c>
      <c r="G67" s="36">
        <v>225.35</v>
      </c>
      <c r="H67" s="97">
        <f t="shared" si="11"/>
        <v>4.2568615000000003</v>
      </c>
      <c r="I67" s="13">
        <f t="shared" ref="I67:I70" si="12">F67*G67</f>
        <v>4256.8615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9"/>
    </row>
    <row r="68" spans="1:22" ht="16.5" hidden="1" customHeight="1">
      <c r="A68" s="29">
        <v>13</v>
      </c>
      <c r="B68" s="145" t="s">
        <v>49</v>
      </c>
      <c r="C68" s="38" t="s">
        <v>75</v>
      </c>
      <c r="D68" s="37"/>
      <c r="E68" s="146">
        <v>3004</v>
      </c>
      <c r="F68" s="36">
        <f>SUM(E68/100)</f>
        <v>30.04</v>
      </c>
      <c r="G68" s="36">
        <v>2829.78</v>
      </c>
      <c r="H68" s="97">
        <f t="shared" si="11"/>
        <v>85.006591200000017</v>
      </c>
      <c r="I68" s="13">
        <f t="shared" si="12"/>
        <v>85006.59120000001</v>
      </c>
      <c r="J68" s="25"/>
      <c r="K68" s="25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2" ht="16.5" hidden="1" customHeight="1">
      <c r="A69" s="29">
        <v>14</v>
      </c>
      <c r="B69" s="171" t="s">
        <v>114</v>
      </c>
      <c r="C69" s="38" t="s">
        <v>33</v>
      </c>
      <c r="D69" s="37"/>
      <c r="E69" s="146">
        <v>16.2</v>
      </c>
      <c r="F69" s="36">
        <f>SUM(E69)</f>
        <v>16.2</v>
      </c>
      <c r="G69" s="36">
        <v>46.08</v>
      </c>
      <c r="H69" s="97">
        <f t="shared" si="11"/>
        <v>0.74649599999999994</v>
      </c>
      <c r="I69" s="13">
        <f t="shared" si="12"/>
        <v>746.49599999999998</v>
      </c>
      <c r="J69" s="3"/>
      <c r="K69" s="3"/>
      <c r="L69" s="3"/>
      <c r="M69" s="3"/>
      <c r="N69" s="3"/>
      <c r="O69" s="3"/>
      <c r="P69" s="3"/>
      <c r="Q69" s="3"/>
      <c r="S69" s="3"/>
      <c r="T69" s="3"/>
      <c r="U69" s="3"/>
    </row>
    <row r="70" spans="1:22" ht="16.5" hidden="1" customHeight="1">
      <c r="A70" s="29">
        <v>15</v>
      </c>
      <c r="B70" s="171" t="s">
        <v>115</v>
      </c>
      <c r="C70" s="38" t="s">
        <v>33</v>
      </c>
      <c r="D70" s="37"/>
      <c r="E70" s="146">
        <v>16.2</v>
      </c>
      <c r="F70" s="36">
        <f>SUM(E70)</f>
        <v>16.2</v>
      </c>
      <c r="G70" s="36">
        <v>49.7</v>
      </c>
      <c r="H70" s="97">
        <f t="shared" si="11"/>
        <v>0.80513999999999997</v>
      </c>
      <c r="I70" s="13">
        <f t="shared" si="12"/>
        <v>805.14</v>
      </c>
      <c r="J70" s="5"/>
      <c r="K70" s="5"/>
      <c r="L70" s="5"/>
      <c r="M70" s="5"/>
      <c r="N70" s="5"/>
      <c r="O70" s="5"/>
      <c r="P70" s="5"/>
      <c r="Q70" s="5"/>
      <c r="R70" s="213"/>
      <c r="S70" s="213"/>
      <c r="T70" s="213"/>
      <c r="U70" s="213"/>
    </row>
    <row r="71" spans="1:22" ht="18.75" hidden="1" customHeight="1">
      <c r="A71" s="29">
        <v>13</v>
      </c>
      <c r="B71" s="96" t="s">
        <v>55</v>
      </c>
      <c r="C71" s="16" t="s">
        <v>56</v>
      </c>
      <c r="D71" s="96" t="s">
        <v>52</v>
      </c>
      <c r="E71" s="18">
        <v>15</v>
      </c>
      <c r="F71" s="82">
        <v>15</v>
      </c>
      <c r="G71" s="13">
        <v>49.88</v>
      </c>
      <c r="H71" s="97">
        <f t="shared" si="11"/>
        <v>0.74820000000000009</v>
      </c>
      <c r="I71" s="13">
        <v>0</v>
      </c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2" ht="18.75" customHeight="1">
      <c r="A72" s="29"/>
      <c r="B72" s="156" t="s">
        <v>168</v>
      </c>
      <c r="C72" s="38"/>
      <c r="D72" s="37"/>
      <c r="E72" s="17"/>
      <c r="F72" s="112"/>
      <c r="G72" s="36"/>
      <c r="H72" s="97"/>
      <c r="I72" s="13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1:22" ht="31.5" customHeight="1">
      <c r="A73" s="29">
        <v>15</v>
      </c>
      <c r="B73" s="37" t="s">
        <v>169</v>
      </c>
      <c r="C73" s="40" t="s">
        <v>170</v>
      </c>
      <c r="D73" s="37"/>
      <c r="E73" s="17">
        <v>5162.6000000000004</v>
      </c>
      <c r="F73" s="36">
        <f>E73*12</f>
        <v>61951.200000000004</v>
      </c>
      <c r="G73" s="36">
        <v>2.37</v>
      </c>
      <c r="H73" s="97"/>
      <c r="I73" s="13">
        <f>G73*F73/12</f>
        <v>12235.362000000001</v>
      </c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</row>
    <row r="74" spans="1:22" ht="21" hidden="1" customHeight="1">
      <c r="A74" s="78"/>
      <c r="B74" s="73" t="s">
        <v>116</v>
      </c>
      <c r="C74" s="73"/>
      <c r="D74" s="73"/>
      <c r="E74" s="73"/>
      <c r="F74" s="73"/>
      <c r="G74" s="73"/>
      <c r="H74" s="73"/>
      <c r="I74" s="18"/>
    </row>
    <row r="75" spans="1:22" ht="21" hidden="1" customHeight="1">
      <c r="A75" s="29">
        <v>17</v>
      </c>
      <c r="B75" s="79" t="s">
        <v>117</v>
      </c>
      <c r="C75" s="16"/>
      <c r="D75" s="96"/>
      <c r="E75" s="74"/>
      <c r="F75" s="13">
        <v>1</v>
      </c>
      <c r="G75" s="13">
        <v>10982.4</v>
      </c>
      <c r="H75" s="97">
        <f>G75*F75/1000</f>
        <v>10.9824</v>
      </c>
      <c r="I75" s="13">
        <f>G75</f>
        <v>10982.4</v>
      </c>
    </row>
    <row r="76" spans="1:22" ht="21" customHeight="1">
      <c r="A76" s="29"/>
      <c r="B76" s="48" t="s">
        <v>70</v>
      </c>
      <c r="C76" s="48"/>
      <c r="D76" s="48"/>
      <c r="E76" s="18"/>
      <c r="F76" s="18"/>
      <c r="G76" s="29"/>
      <c r="H76" s="29"/>
      <c r="I76" s="18"/>
    </row>
    <row r="77" spans="1:22" ht="18" hidden="1" customHeight="1">
      <c r="A77" s="29">
        <v>17</v>
      </c>
      <c r="B77" s="37" t="s">
        <v>71</v>
      </c>
      <c r="C77" s="38" t="s">
        <v>73</v>
      </c>
      <c r="D77" s="37"/>
      <c r="E77" s="17">
        <v>8</v>
      </c>
      <c r="F77" s="36">
        <f>E77/10</f>
        <v>0.8</v>
      </c>
      <c r="G77" s="36">
        <v>684.19</v>
      </c>
      <c r="H77" s="97">
        <f t="shared" ref="H77:H81" si="13">SUM(F77*G77/1000)</f>
        <v>0.54735200000000006</v>
      </c>
      <c r="I77" s="13">
        <f>G77*0.5</f>
        <v>342.09500000000003</v>
      </c>
    </row>
    <row r="78" spans="1:22" ht="20.25" hidden="1" customHeight="1">
      <c r="A78" s="29"/>
      <c r="B78" s="96" t="s">
        <v>130</v>
      </c>
      <c r="C78" s="16" t="s">
        <v>31</v>
      </c>
      <c r="D78" s="96"/>
      <c r="E78" s="18">
        <v>1</v>
      </c>
      <c r="F78" s="13">
        <v>1</v>
      </c>
      <c r="G78" s="13">
        <v>99.85</v>
      </c>
      <c r="H78" s="97">
        <f>F78*G78/1000</f>
        <v>9.9849999999999994E-2</v>
      </c>
      <c r="I78" s="13">
        <v>0</v>
      </c>
    </row>
    <row r="79" spans="1:22" ht="18.75" hidden="1" customHeight="1">
      <c r="A79" s="29"/>
      <c r="B79" s="96" t="s">
        <v>131</v>
      </c>
      <c r="C79" s="16" t="s">
        <v>31</v>
      </c>
      <c r="D79" s="96"/>
      <c r="E79" s="18">
        <v>1</v>
      </c>
      <c r="F79" s="13">
        <v>1</v>
      </c>
      <c r="G79" s="13">
        <v>120.26</v>
      </c>
      <c r="H79" s="97">
        <f>F79*G79/1000</f>
        <v>0.12026000000000001</v>
      </c>
      <c r="I79" s="13">
        <v>0</v>
      </c>
    </row>
    <row r="80" spans="1:22" ht="21.75" hidden="1" customHeight="1">
      <c r="A80" s="29">
        <v>19</v>
      </c>
      <c r="B80" s="96" t="s">
        <v>72</v>
      </c>
      <c r="C80" s="16" t="s">
        <v>31</v>
      </c>
      <c r="D80" s="96"/>
      <c r="E80" s="18">
        <v>2</v>
      </c>
      <c r="F80" s="94">
        <v>2</v>
      </c>
      <c r="G80" s="13">
        <v>852.99</v>
      </c>
      <c r="H80" s="97">
        <f>F80*G80/1000</f>
        <v>1.7059800000000001</v>
      </c>
      <c r="I80" s="13">
        <f>G80</f>
        <v>852.99</v>
      </c>
    </row>
    <row r="81" spans="1:9" ht="20.25" hidden="1" customHeight="1">
      <c r="A81" s="29">
        <v>17</v>
      </c>
      <c r="B81" s="96" t="s">
        <v>82</v>
      </c>
      <c r="C81" s="16" t="s">
        <v>109</v>
      </c>
      <c r="D81" s="96"/>
      <c r="E81" s="18">
        <v>1</v>
      </c>
      <c r="F81" s="82">
        <f>SUM(E81)</f>
        <v>1</v>
      </c>
      <c r="G81" s="13">
        <v>358.51</v>
      </c>
      <c r="H81" s="97">
        <f t="shared" si="13"/>
        <v>0.35851</v>
      </c>
      <c r="I81" s="13">
        <v>0</v>
      </c>
    </row>
    <row r="82" spans="1:9" ht="32.25" customHeight="1">
      <c r="A82" s="29">
        <v>16</v>
      </c>
      <c r="B82" s="37" t="s">
        <v>171</v>
      </c>
      <c r="C82" s="38" t="s">
        <v>109</v>
      </c>
      <c r="D82" s="37" t="s">
        <v>181</v>
      </c>
      <c r="E82" s="17">
        <v>1</v>
      </c>
      <c r="F82" s="36">
        <f>E82*12</f>
        <v>12</v>
      </c>
      <c r="G82" s="36">
        <v>55.55</v>
      </c>
      <c r="H82" s="97"/>
      <c r="I82" s="13">
        <f>G82*F82/12</f>
        <v>55.54999999999999</v>
      </c>
    </row>
    <row r="83" spans="1:9" ht="20.25" hidden="1" customHeight="1">
      <c r="A83" s="29"/>
      <c r="B83" s="49" t="s">
        <v>74</v>
      </c>
      <c r="C83" s="38"/>
      <c r="D83" s="29"/>
      <c r="E83" s="18"/>
      <c r="F83" s="18"/>
      <c r="G83" s="36"/>
      <c r="H83" s="36"/>
      <c r="I83" s="18"/>
    </row>
    <row r="84" spans="1:9" ht="18" hidden="1" customHeight="1">
      <c r="A84" s="29">
        <v>39</v>
      </c>
      <c r="B84" s="51" t="s">
        <v>118</v>
      </c>
      <c r="C84" s="16" t="s">
        <v>75</v>
      </c>
      <c r="D84" s="96"/>
      <c r="E84" s="18"/>
      <c r="F84" s="13">
        <v>1.35</v>
      </c>
      <c r="G84" s="13">
        <v>2759.44</v>
      </c>
      <c r="H84" s="97">
        <f t="shared" ref="H84" si="14">SUM(F84*G84/1000)</f>
        <v>3.725244</v>
      </c>
      <c r="I84" s="13">
        <v>0</v>
      </c>
    </row>
    <row r="85" spans="1:9" ht="15.75" customHeight="1">
      <c r="A85" s="222" t="s">
        <v>147</v>
      </c>
      <c r="B85" s="223"/>
      <c r="C85" s="223"/>
      <c r="D85" s="223"/>
      <c r="E85" s="223"/>
      <c r="F85" s="223"/>
      <c r="G85" s="223"/>
      <c r="H85" s="223"/>
      <c r="I85" s="224"/>
    </row>
    <row r="86" spans="1:9" ht="15.75" customHeight="1">
      <c r="A86" s="29">
        <v>17</v>
      </c>
      <c r="B86" s="32" t="s">
        <v>119</v>
      </c>
      <c r="C86" s="38" t="s">
        <v>53</v>
      </c>
      <c r="D86" s="62"/>
      <c r="E86" s="36">
        <v>5162.6000000000004</v>
      </c>
      <c r="F86" s="36">
        <f>SUM(E86*12)</f>
        <v>61951.200000000004</v>
      </c>
      <c r="G86" s="36">
        <v>3.22</v>
      </c>
      <c r="H86" s="99">
        <f>SUM(F86*G86/1000)</f>
        <v>199.48286400000003</v>
      </c>
      <c r="I86" s="13">
        <f>F86/12*G86</f>
        <v>16623.572000000004</v>
      </c>
    </row>
    <row r="87" spans="1:9" ht="31.5" customHeight="1">
      <c r="A87" s="29">
        <v>18</v>
      </c>
      <c r="B87" s="37" t="s">
        <v>172</v>
      </c>
      <c r="C87" s="109" t="s">
        <v>173</v>
      </c>
      <c r="D87" s="37"/>
      <c r="E87" s="17">
        <v>5162.6000000000004</v>
      </c>
      <c r="F87" s="36">
        <f>E87*12</f>
        <v>61951.200000000004</v>
      </c>
      <c r="G87" s="36">
        <v>3.64</v>
      </c>
      <c r="H87" s="97">
        <f>F87*G87/1000</f>
        <v>225.50236800000002</v>
      </c>
      <c r="I87" s="13">
        <f>F87/12*G87</f>
        <v>18791.864000000001</v>
      </c>
    </row>
    <row r="88" spans="1:9" ht="15.75" customHeight="1">
      <c r="A88" s="78"/>
      <c r="B88" s="39" t="s">
        <v>77</v>
      </c>
      <c r="C88" s="40"/>
      <c r="D88" s="15"/>
      <c r="E88" s="15"/>
      <c r="F88" s="15"/>
      <c r="G88" s="18"/>
      <c r="H88" s="18"/>
      <c r="I88" s="31">
        <f>I87+I86+I82+I73+I64+I62+I31+I30+I26+I25+I24+I23+I22+I21+I20+I18+I17+I16</f>
        <v>82379.371916599994</v>
      </c>
    </row>
    <row r="89" spans="1:9" ht="15.75" customHeight="1">
      <c r="A89" s="225" t="s">
        <v>58</v>
      </c>
      <c r="B89" s="226"/>
      <c r="C89" s="226"/>
      <c r="D89" s="226"/>
      <c r="E89" s="226"/>
      <c r="F89" s="226"/>
      <c r="G89" s="226"/>
      <c r="H89" s="226"/>
      <c r="I89" s="227"/>
    </row>
    <row r="90" spans="1:9" ht="19.5" customHeight="1">
      <c r="A90" s="29">
        <v>19</v>
      </c>
      <c r="B90" s="63" t="s">
        <v>226</v>
      </c>
      <c r="C90" s="64" t="s">
        <v>159</v>
      </c>
      <c r="D90" s="34" t="s">
        <v>309</v>
      </c>
      <c r="E90" s="34"/>
      <c r="F90" s="192">
        <v>9</v>
      </c>
      <c r="G90" s="192">
        <v>295.36</v>
      </c>
      <c r="H90" s="99"/>
      <c r="I90" s="13">
        <v>0</v>
      </c>
    </row>
    <row r="91" spans="1:9" ht="18.75" customHeight="1">
      <c r="A91" s="29">
        <v>20</v>
      </c>
      <c r="B91" s="63" t="s">
        <v>294</v>
      </c>
      <c r="C91" s="64" t="s">
        <v>273</v>
      </c>
      <c r="D91" s="34"/>
      <c r="E91" s="34"/>
      <c r="F91" s="192">
        <v>1</v>
      </c>
      <c r="G91" s="192">
        <v>236.08</v>
      </c>
      <c r="H91" s="97"/>
      <c r="I91" s="13">
        <f>G91*1</f>
        <v>236.08</v>
      </c>
    </row>
    <row r="92" spans="1:9" ht="31.5" customHeight="1">
      <c r="A92" s="29">
        <v>21</v>
      </c>
      <c r="B92" s="63" t="s">
        <v>203</v>
      </c>
      <c r="C92" s="64" t="s">
        <v>159</v>
      </c>
      <c r="D92" s="204" t="s">
        <v>330</v>
      </c>
      <c r="E92" s="34"/>
      <c r="F92" s="192">
        <v>2</v>
      </c>
      <c r="G92" s="192">
        <v>1478.55</v>
      </c>
      <c r="H92" s="97"/>
      <c r="I92" s="13">
        <f>G92*6</f>
        <v>8871.2999999999993</v>
      </c>
    </row>
    <row r="93" spans="1:9" ht="30" customHeight="1">
      <c r="A93" s="29">
        <v>22</v>
      </c>
      <c r="B93" s="63" t="s">
        <v>295</v>
      </c>
      <c r="C93" s="64" t="s">
        <v>159</v>
      </c>
      <c r="D93" s="33" t="s">
        <v>310</v>
      </c>
      <c r="E93" s="34"/>
      <c r="F93" s="192">
        <v>0.5</v>
      </c>
      <c r="G93" s="192">
        <v>1612.67</v>
      </c>
      <c r="H93" s="97"/>
      <c r="I93" s="13">
        <f>G93*0.5</f>
        <v>806.33500000000004</v>
      </c>
    </row>
    <row r="94" spans="1:9" ht="30" customHeight="1">
      <c r="A94" s="29">
        <v>23</v>
      </c>
      <c r="B94" s="63" t="s">
        <v>143</v>
      </c>
      <c r="C94" s="64" t="s">
        <v>144</v>
      </c>
      <c r="D94" s="193" t="s">
        <v>305</v>
      </c>
      <c r="E94" s="34"/>
      <c r="F94" s="192">
        <v>3</v>
      </c>
      <c r="G94" s="192">
        <v>64.040000000000006</v>
      </c>
      <c r="H94" s="97"/>
      <c r="I94" s="13">
        <f>G94*1</f>
        <v>64.040000000000006</v>
      </c>
    </row>
    <row r="95" spans="1:9" ht="33.75" customHeight="1">
      <c r="A95" s="29">
        <v>24</v>
      </c>
      <c r="B95" s="63" t="s">
        <v>296</v>
      </c>
      <c r="C95" s="64" t="s">
        <v>297</v>
      </c>
      <c r="D95" s="202" t="s">
        <v>307</v>
      </c>
      <c r="E95" s="34"/>
      <c r="F95" s="192">
        <v>1</v>
      </c>
      <c r="G95" s="192">
        <v>1366.66</v>
      </c>
      <c r="H95" s="97"/>
      <c r="I95" s="13">
        <f>G95*1</f>
        <v>1366.66</v>
      </c>
    </row>
    <row r="96" spans="1:9" ht="15.75" customHeight="1">
      <c r="A96" s="29">
        <v>25</v>
      </c>
      <c r="B96" s="63" t="s">
        <v>298</v>
      </c>
      <c r="C96" s="64" t="s">
        <v>273</v>
      </c>
      <c r="D96" s="34" t="s">
        <v>308</v>
      </c>
      <c r="E96" s="34"/>
      <c r="F96" s="192">
        <v>3.5</v>
      </c>
      <c r="G96" s="192">
        <v>2006</v>
      </c>
      <c r="H96" s="97"/>
      <c r="I96" s="13">
        <f>G96*3.5</f>
        <v>7021</v>
      </c>
    </row>
    <row r="97" spans="1:9" ht="35.25" customHeight="1">
      <c r="A97" s="29">
        <v>26</v>
      </c>
      <c r="B97" s="63" t="s">
        <v>299</v>
      </c>
      <c r="C97" s="64" t="s">
        <v>53</v>
      </c>
      <c r="D97" s="202" t="s">
        <v>306</v>
      </c>
      <c r="E97" s="34"/>
      <c r="F97" s="192">
        <v>6</v>
      </c>
      <c r="G97" s="192">
        <v>711.82</v>
      </c>
      <c r="H97" s="97"/>
      <c r="I97" s="13">
        <f>G97*60</f>
        <v>42709.200000000004</v>
      </c>
    </row>
    <row r="98" spans="1:9" ht="18" customHeight="1">
      <c r="A98" s="29">
        <v>27</v>
      </c>
      <c r="B98" s="63" t="s">
        <v>300</v>
      </c>
      <c r="C98" s="64" t="s">
        <v>301</v>
      </c>
      <c r="D98" s="34"/>
      <c r="E98" s="34"/>
      <c r="F98" s="192">
        <v>1</v>
      </c>
      <c r="G98" s="192">
        <v>212</v>
      </c>
      <c r="H98" s="97"/>
      <c r="I98" s="13">
        <f>G98*1</f>
        <v>212</v>
      </c>
    </row>
    <row r="99" spans="1:9" ht="18" customHeight="1">
      <c r="A99" s="29">
        <v>28</v>
      </c>
      <c r="B99" s="63" t="s">
        <v>311</v>
      </c>
      <c r="C99" s="64" t="s">
        <v>30</v>
      </c>
      <c r="D99" s="34"/>
      <c r="E99" s="34"/>
      <c r="F99" s="192">
        <v>0.32550000000000001</v>
      </c>
      <c r="G99" s="192">
        <v>4683.09</v>
      </c>
      <c r="H99" s="97"/>
      <c r="I99" s="13">
        <f>G99*0.3255</f>
        <v>1524.3457950000002</v>
      </c>
    </row>
    <row r="100" spans="1:9" ht="23.25" customHeight="1">
      <c r="A100" s="29">
        <v>29</v>
      </c>
      <c r="B100" s="63" t="s">
        <v>276</v>
      </c>
      <c r="C100" s="64" t="s">
        <v>30</v>
      </c>
      <c r="D100" s="34"/>
      <c r="E100" s="34"/>
      <c r="F100" s="192">
        <f>3.413+3.413+3.413+3.413</f>
        <v>13.651999999999999</v>
      </c>
      <c r="G100" s="192">
        <v>241.69</v>
      </c>
      <c r="H100" s="97"/>
      <c r="I100" s="13">
        <f>G100*3.413</f>
        <v>824.88797</v>
      </c>
    </row>
    <row r="101" spans="1:9" ht="33" customHeight="1">
      <c r="A101" s="29">
        <v>30</v>
      </c>
      <c r="B101" s="63" t="s">
        <v>201</v>
      </c>
      <c r="C101" s="64" t="s">
        <v>159</v>
      </c>
      <c r="D101" s="205" t="s">
        <v>336</v>
      </c>
      <c r="E101" s="34"/>
      <c r="F101" s="192">
        <v>3.2</v>
      </c>
      <c r="G101" s="192">
        <v>1584.54</v>
      </c>
      <c r="H101" s="97"/>
      <c r="I101" s="13">
        <f>G101*1.2</f>
        <v>1901.4479999999999</v>
      </c>
    </row>
    <row r="102" spans="1:9" ht="33" customHeight="1">
      <c r="A102" s="29">
        <v>31</v>
      </c>
      <c r="B102" s="63" t="s">
        <v>331</v>
      </c>
      <c r="C102" s="64" t="s">
        <v>149</v>
      </c>
      <c r="D102" s="193" t="s">
        <v>333</v>
      </c>
      <c r="E102" s="34"/>
      <c r="F102" s="192">
        <v>1</v>
      </c>
      <c r="G102" s="192">
        <v>1620.57</v>
      </c>
      <c r="H102" s="97"/>
      <c r="I102" s="13">
        <f>G102*1</f>
        <v>1620.57</v>
      </c>
    </row>
    <row r="103" spans="1:9" ht="19.5" customHeight="1">
      <c r="A103" s="29">
        <v>32</v>
      </c>
      <c r="B103" s="63" t="s">
        <v>332</v>
      </c>
      <c r="C103" s="64" t="s">
        <v>109</v>
      </c>
      <c r="D103" s="34"/>
      <c r="E103" s="34"/>
      <c r="F103" s="192">
        <v>1</v>
      </c>
      <c r="G103" s="192">
        <v>6426</v>
      </c>
      <c r="H103" s="97"/>
      <c r="I103" s="13">
        <f>G103*1</f>
        <v>6426</v>
      </c>
    </row>
    <row r="104" spans="1:9" ht="32.25" customHeight="1">
      <c r="A104" s="29">
        <v>33</v>
      </c>
      <c r="B104" s="63" t="s">
        <v>334</v>
      </c>
      <c r="C104" s="64" t="s">
        <v>149</v>
      </c>
      <c r="D104" s="193" t="s">
        <v>335</v>
      </c>
      <c r="E104" s="34"/>
      <c r="F104" s="192">
        <v>3</v>
      </c>
      <c r="G104" s="192">
        <v>697.33</v>
      </c>
      <c r="H104" s="97"/>
      <c r="I104" s="13">
        <f>G104*3</f>
        <v>2091.9900000000002</v>
      </c>
    </row>
    <row r="105" spans="1:9" ht="32.25" customHeight="1">
      <c r="A105" s="29">
        <v>34</v>
      </c>
      <c r="B105" s="63" t="s">
        <v>337</v>
      </c>
      <c r="C105" s="64" t="s">
        <v>159</v>
      </c>
      <c r="D105" s="202" t="s">
        <v>338</v>
      </c>
      <c r="E105" s="34"/>
      <c r="F105" s="192">
        <v>12</v>
      </c>
      <c r="G105" s="192">
        <v>1380.91</v>
      </c>
      <c r="H105" s="97"/>
      <c r="I105" s="13">
        <f>G105*12</f>
        <v>16570.920000000002</v>
      </c>
    </row>
    <row r="106" spans="1:9" ht="18.75" customHeight="1">
      <c r="A106" s="29">
        <v>35</v>
      </c>
      <c r="B106" s="63" t="s">
        <v>198</v>
      </c>
      <c r="C106" s="64" t="s">
        <v>39</v>
      </c>
      <c r="D106" s="34" t="s">
        <v>187</v>
      </c>
      <c r="E106" s="34"/>
      <c r="F106" s="33">
        <v>7.0000000000000007E-2</v>
      </c>
      <c r="G106" s="33">
        <v>28224.75</v>
      </c>
      <c r="H106" s="97"/>
      <c r="I106" s="13">
        <v>0</v>
      </c>
    </row>
    <row r="107" spans="1:9" ht="36.75" customHeight="1">
      <c r="A107" s="29">
        <v>36</v>
      </c>
      <c r="B107" s="63" t="s">
        <v>257</v>
      </c>
      <c r="C107" s="64" t="s">
        <v>109</v>
      </c>
      <c r="D107" s="193" t="s">
        <v>339</v>
      </c>
      <c r="E107" s="34"/>
      <c r="F107" s="192">
        <v>4</v>
      </c>
      <c r="G107" s="192">
        <v>1226.45</v>
      </c>
      <c r="H107" s="97"/>
      <c r="I107" s="13">
        <f>G107*3</f>
        <v>3679.3500000000004</v>
      </c>
    </row>
    <row r="108" spans="1:9" ht="29.25" customHeight="1">
      <c r="A108" s="29">
        <v>37</v>
      </c>
      <c r="B108" s="63" t="s">
        <v>251</v>
      </c>
      <c r="C108" s="64" t="s">
        <v>109</v>
      </c>
      <c r="D108" s="203" t="s">
        <v>340</v>
      </c>
      <c r="E108" s="34"/>
      <c r="F108" s="192">
        <v>3.5</v>
      </c>
      <c r="G108" s="192">
        <v>983.17</v>
      </c>
      <c r="H108" s="97"/>
      <c r="I108" s="13">
        <f t="shared" ref="I108:I116" si="15">G108*1</f>
        <v>983.17</v>
      </c>
    </row>
    <row r="109" spans="1:9" ht="18.75" customHeight="1">
      <c r="A109" s="29">
        <v>38</v>
      </c>
      <c r="B109" s="63" t="s">
        <v>252</v>
      </c>
      <c r="C109" s="64" t="s">
        <v>109</v>
      </c>
      <c r="D109" s="34"/>
      <c r="E109" s="34"/>
      <c r="F109" s="192">
        <v>3</v>
      </c>
      <c r="G109" s="192">
        <v>235.04</v>
      </c>
      <c r="H109" s="97"/>
      <c r="I109" s="13">
        <f t="shared" si="15"/>
        <v>235.04</v>
      </c>
    </row>
    <row r="110" spans="1:9" ht="18.75" customHeight="1">
      <c r="A110" s="29">
        <v>39</v>
      </c>
      <c r="B110" s="63" t="s">
        <v>253</v>
      </c>
      <c r="C110" s="64" t="s">
        <v>109</v>
      </c>
      <c r="D110" s="34"/>
      <c r="E110" s="34"/>
      <c r="F110" s="192">
        <v>2</v>
      </c>
      <c r="G110" s="192">
        <v>67</v>
      </c>
      <c r="H110" s="97"/>
      <c r="I110" s="13">
        <f t="shared" si="15"/>
        <v>67</v>
      </c>
    </row>
    <row r="111" spans="1:9" ht="18.75" customHeight="1">
      <c r="A111" s="29">
        <v>40</v>
      </c>
      <c r="B111" s="63" t="s">
        <v>321</v>
      </c>
      <c r="C111" s="64" t="s">
        <v>109</v>
      </c>
      <c r="D111" s="34"/>
      <c r="E111" s="34"/>
      <c r="F111" s="192">
        <v>3</v>
      </c>
      <c r="G111" s="192">
        <v>228.9</v>
      </c>
      <c r="H111" s="97"/>
      <c r="I111" s="13">
        <f t="shared" si="15"/>
        <v>228.9</v>
      </c>
    </row>
    <row r="112" spans="1:9" ht="18.75" customHeight="1">
      <c r="A112" s="29">
        <v>41</v>
      </c>
      <c r="B112" s="63" t="s">
        <v>192</v>
      </c>
      <c r="C112" s="64" t="s">
        <v>109</v>
      </c>
      <c r="D112" s="34"/>
      <c r="E112" s="34"/>
      <c r="F112" s="192">
        <v>2</v>
      </c>
      <c r="G112" s="192">
        <v>49</v>
      </c>
      <c r="H112" s="97"/>
      <c r="I112" s="13">
        <f t="shared" si="15"/>
        <v>49</v>
      </c>
    </row>
    <row r="113" spans="1:9" ht="18.75" customHeight="1">
      <c r="A113" s="29">
        <v>42</v>
      </c>
      <c r="B113" s="63" t="s">
        <v>341</v>
      </c>
      <c r="C113" s="64" t="s">
        <v>109</v>
      </c>
      <c r="D113" s="34"/>
      <c r="E113" s="34"/>
      <c r="F113" s="192">
        <v>1</v>
      </c>
      <c r="G113" s="192">
        <v>139</v>
      </c>
      <c r="H113" s="97"/>
      <c r="I113" s="13">
        <f t="shared" si="15"/>
        <v>139</v>
      </c>
    </row>
    <row r="114" spans="1:9" ht="34.5" customHeight="1">
      <c r="A114" s="29">
        <v>43</v>
      </c>
      <c r="B114" s="63" t="s">
        <v>342</v>
      </c>
      <c r="C114" s="64" t="s">
        <v>109</v>
      </c>
      <c r="D114" s="34"/>
      <c r="E114" s="34"/>
      <c r="F114" s="192">
        <v>1</v>
      </c>
      <c r="G114" s="192">
        <v>224.48</v>
      </c>
      <c r="H114" s="97"/>
      <c r="I114" s="13">
        <f t="shared" si="15"/>
        <v>224.48</v>
      </c>
    </row>
    <row r="115" spans="1:9" ht="31.5" customHeight="1">
      <c r="A115" s="29">
        <v>44</v>
      </c>
      <c r="B115" s="63" t="s">
        <v>343</v>
      </c>
      <c r="C115" s="64" t="s">
        <v>109</v>
      </c>
      <c r="D115" s="193" t="s">
        <v>344</v>
      </c>
      <c r="E115" s="34"/>
      <c r="F115" s="192">
        <v>1</v>
      </c>
      <c r="G115" s="192">
        <v>3673.62</v>
      </c>
      <c r="H115" s="97"/>
      <c r="I115" s="13">
        <f t="shared" si="15"/>
        <v>3673.62</v>
      </c>
    </row>
    <row r="116" spans="1:9" ht="18" customHeight="1">
      <c r="A116" s="29">
        <v>45</v>
      </c>
      <c r="B116" s="63" t="s">
        <v>345</v>
      </c>
      <c r="C116" s="64" t="s">
        <v>109</v>
      </c>
      <c r="D116" s="34" t="s">
        <v>344</v>
      </c>
      <c r="E116" s="34"/>
      <c r="F116" s="192">
        <v>1</v>
      </c>
      <c r="G116" s="192">
        <v>725.12</v>
      </c>
      <c r="H116" s="97"/>
      <c r="I116" s="13">
        <f t="shared" si="15"/>
        <v>725.12</v>
      </c>
    </row>
    <row r="117" spans="1:9" ht="15.75" customHeight="1">
      <c r="A117" s="29"/>
      <c r="B117" s="45" t="s">
        <v>50</v>
      </c>
      <c r="C117" s="41"/>
      <c r="D117" s="53"/>
      <c r="E117" s="41">
        <v>1</v>
      </c>
      <c r="F117" s="41"/>
      <c r="G117" s="41"/>
      <c r="H117" s="41"/>
      <c r="I117" s="31">
        <f>SUM(I90:I116)</f>
        <v>102251.456765</v>
      </c>
    </row>
    <row r="118" spans="1:9" ht="15.75" customHeight="1">
      <c r="A118" s="29"/>
      <c r="B118" s="51" t="s">
        <v>76</v>
      </c>
      <c r="C118" s="15"/>
      <c r="D118" s="15"/>
      <c r="E118" s="42"/>
      <c r="F118" s="42"/>
      <c r="G118" s="43"/>
      <c r="H118" s="43"/>
      <c r="I118" s="17">
        <v>0</v>
      </c>
    </row>
    <row r="119" spans="1:9" ht="15.75" customHeight="1">
      <c r="A119" s="54"/>
      <c r="B119" s="46" t="s">
        <v>141</v>
      </c>
      <c r="C119" s="34"/>
      <c r="D119" s="34"/>
      <c r="E119" s="34"/>
      <c r="F119" s="34"/>
      <c r="G119" s="34"/>
      <c r="H119" s="34"/>
      <c r="I119" s="44">
        <f>I88+I117</f>
        <v>184630.82868159999</v>
      </c>
    </row>
    <row r="120" spans="1:9" ht="15.75">
      <c r="A120" s="219" t="s">
        <v>346</v>
      </c>
      <c r="B120" s="219"/>
      <c r="C120" s="219"/>
      <c r="D120" s="219"/>
      <c r="E120" s="219"/>
      <c r="F120" s="219"/>
      <c r="G120" s="219"/>
      <c r="H120" s="219"/>
      <c r="I120" s="219"/>
    </row>
    <row r="121" spans="1:9" ht="15.75">
      <c r="A121" s="60"/>
      <c r="B121" s="220" t="s">
        <v>347</v>
      </c>
      <c r="C121" s="220"/>
      <c r="D121" s="220"/>
      <c r="E121" s="220"/>
      <c r="F121" s="220"/>
      <c r="G121" s="220"/>
      <c r="H121" s="77"/>
      <c r="I121" s="3"/>
    </row>
    <row r="122" spans="1:9">
      <c r="A122" s="71"/>
      <c r="B122" s="218" t="s">
        <v>6</v>
      </c>
      <c r="C122" s="218"/>
      <c r="D122" s="218"/>
      <c r="E122" s="218"/>
      <c r="F122" s="218"/>
      <c r="G122" s="218"/>
      <c r="H122" s="24"/>
      <c r="I122" s="5"/>
    </row>
    <row r="123" spans="1:9">
      <c r="A123" s="10"/>
      <c r="B123" s="10"/>
      <c r="C123" s="10"/>
      <c r="D123" s="10"/>
      <c r="E123" s="10"/>
      <c r="F123" s="10"/>
      <c r="G123" s="10"/>
      <c r="H123" s="10"/>
      <c r="I123" s="10"/>
    </row>
    <row r="124" spans="1:9" ht="15.75">
      <c r="A124" s="221" t="s">
        <v>7</v>
      </c>
      <c r="B124" s="221"/>
      <c r="C124" s="221"/>
      <c r="D124" s="221"/>
      <c r="E124" s="221"/>
      <c r="F124" s="221"/>
      <c r="G124" s="221"/>
      <c r="H124" s="221"/>
      <c r="I124" s="221"/>
    </row>
    <row r="125" spans="1:9" ht="15.75">
      <c r="A125" s="221" t="s">
        <v>8</v>
      </c>
      <c r="B125" s="221"/>
      <c r="C125" s="221"/>
      <c r="D125" s="221"/>
      <c r="E125" s="221"/>
      <c r="F125" s="221"/>
      <c r="G125" s="221"/>
      <c r="H125" s="221"/>
      <c r="I125" s="221"/>
    </row>
    <row r="126" spans="1:9" ht="15.75">
      <c r="A126" s="215" t="s">
        <v>59</v>
      </c>
      <c r="B126" s="215"/>
      <c r="C126" s="215"/>
      <c r="D126" s="215"/>
      <c r="E126" s="215"/>
      <c r="F126" s="215"/>
      <c r="G126" s="215"/>
      <c r="H126" s="215"/>
      <c r="I126" s="215"/>
    </row>
    <row r="127" spans="1:9" ht="15.75">
      <c r="A127" s="11"/>
    </row>
    <row r="128" spans="1:9" ht="15.75">
      <c r="A128" s="216" t="s">
        <v>9</v>
      </c>
      <c r="B128" s="216"/>
      <c r="C128" s="216"/>
      <c r="D128" s="216"/>
      <c r="E128" s="216"/>
      <c r="F128" s="216"/>
      <c r="G128" s="216"/>
      <c r="H128" s="216"/>
      <c r="I128" s="216"/>
    </row>
    <row r="129" spans="1:9" ht="15.75">
      <c r="A129" s="4"/>
    </row>
    <row r="130" spans="1:9" ht="15.75">
      <c r="B130" s="69" t="s">
        <v>10</v>
      </c>
      <c r="C130" s="217" t="s">
        <v>219</v>
      </c>
      <c r="D130" s="217"/>
      <c r="E130" s="217"/>
      <c r="F130" s="75"/>
      <c r="I130" s="70"/>
    </row>
    <row r="131" spans="1:9">
      <c r="A131" s="71"/>
      <c r="C131" s="218" t="s">
        <v>11</v>
      </c>
      <c r="D131" s="218"/>
      <c r="E131" s="218"/>
      <c r="F131" s="24"/>
      <c r="I131" s="68" t="s">
        <v>12</v>
      </c>
    </row>
    <row r="132" spans="1:9" ht="15.75">
      <c r="A132" s="25"/>
      <c r="C132" s="12"/>
      <c r="D132" s="12"/>
      <c r="G132" s="12"/>
      <c r="H132" s="12"/>
    </row>
    <row r="133" spans="1:9" ht="15.75">
      <c r="B133" s="69" t="s">
        <v>13</v>
      </c>
      <c r="C133" s="212"/>
      <c r="D133" s="212"/>
      <c r="E133" s="212"/>
      <c r="F133" s="76"/>
      <c r="I133" s="70"/>
    </row>
    <row r="134" spans="1:9">
      <c r="A134" s="71"/>
      <c r="C134" s="213" t="s">
        <v>11</v>
      </c>
      <c r="D134" s="213"/>
      <c r="E134" s="213"/>
      <c r="F134" s="71"/>
      <c r="I134" s="68" t="s">
        <v>12</v>
      </c>
    </row>
    <row r="135" spans="1:9" ht="15.75">
      <c r="A135" s="4" t="s">
        <v>14</v>
      </c>
    </row>
    <row r="136" spans="1:9">
      <c r="A136" s="214" t="s">
        <v>15</v>
      </c>
      <c r="B136" s="214"/>
      <c r="C136" s="214"/>
      <c r="D136" s="214"/>
      <c r="E136" s="214"/>
      <c r="F136" s="214"/>
      <c r="G136" s="214"/>
      <c r="H136" s="214"/>
      <c r="I136" s="214"/>
    </row>
    <row r="137" spans="1:9" ht="45" customHeight="1">
      <c r="A137" s="211" t="s">
        <v>16</v>
      </c>
      <c r="B137" s="211"/>
      <c r="C137" s="211"/>
      <c r="D137" s="211"/>
      <c r="E137" s="211"/>
      <c r="F137" s="211"/>
      <c r="G137" s="211"/>
      <c r="H137" s="211"/>
      <c r="I137" s="211"/>
    </row>
    <row r="138" spans="1:9" ht="30" customHeight="1">
      <c r="A138" s="211" t="s">
        <v>17</v>
      </c>
      <c r="B138" s="211"/>
      <c r="C138" s="211"/>
      <c r="D138" s="211"/>
      <c r="E138" s="211"/>
      <c r="F138" s="211"/>
      <c r="G138" s="211"/>
      <c r="H138" s="211"/>
      <c r="I138" s="211"/>
    </row>
    <row r="139" spans="1:9" ht="30" customHeight="1">
      <c r="A139" s="211" t="s">
        <v>21</v>
      </c>
      <c r="B139" s="211"/>
      <c r="C139" s="211"/>
      <c r="D139" s="211"/>
      <c r="E139" s="211"/>
      <c r="F139" s="211"/>
      <c r="G139" s="211"/>
      <c r="H139" s="211"/>
      <c r="I139" s="211"/>
    </row>
    <row r="140" spans="1:9" ht="15" customHeight="1">
      <c r="A140" s="211" t="s">
        <v>20</v>
      </c>
      <c r="B140" s="211"/>
      <c r="C140" s="211"/>
      <c r="D140" s="211"/>
      <c r="E140" s="211"/>
      <c r="F140" s="211"/>
      <c r="G140" s="211"/>
      <c r="H140" s="211"/>
      <c r="I140" s="211"/>
    </row>
  </sheetData>
  <autoFilter ref="I12:I65"/>
  <mergeCells count="29">
    <mergeCell ref="A14:I14"/>
    <mergeCell ref="A15:I15"/>
    <mergeCell ref="A28:I28"/>
    <mergeCell ref="A44:I44"/>
    <mergeCell ref="A54:I54"/>
    <mergeCell ref="A3:I3"/>
    <mergeCell ref="A4:I4"/>
    <mergeCell ref="A5:I5"/>
    <mergeCell ref="A8:I8"/>
    <mergeCell ref="A10:I10"/>
    <mergeCell ref="R70:U70"/>
    <mergeCell ref="C134:E134"/>
    <mergeCell ref="A89:I89"/>
    <mergeCell ref="A120:I120"/>
    <mergeCell ref="B121:G121"/>
    <mergeCell ref="B122:G122"/>
    <mergeCell ref="A124:I124"/>
    <mergeCell ref="A125:I125"/>
    <mergeCell ref="A126:I126"/>
    <mergeCell ref="A128:I128"/>
    <mergeCell ref="C130:E130"/>
    <mergeCell ref="C131:E131"/>
    <mergeCell ref="C133:E133"/>
    <mergeCell ref="A85:I85"/>
    <mergeCell ref="A136:I136"/>
    <mergeCell ref="A137:I137"/>
    <mergeCell ref="A138:I138"/>
    <mergeCell ref="A139:I139"/>
    <mergeCell ref="A140:I14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20"/>
  <sheetViews>
    <sheetView view="pageBreakPreview" topLeftCell="A90" zoomScale="60" zoomScaleNormal="100" workbookViewId="0">
      <selection activeCell="G107" sqref="G107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3.140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158</v>
      </c>
      <c r="I1" s="26"/>
      <c r="J1" s="1"/>
      <c r="K1" s="1"/>
      <c r="L1" s="1"/>
      <c r="M1" s="1"/>
    </row>
    <row r="2" spans="1:13" ht="15.75" customHeight="1">
      <c r="A2" s="28" t="s">
        <v>60</v>
      </c>
      <c r="J2" s="2"/>
      <c r="K2" s="2"/>
      <c r="L2" s="2"/>
      <c r="M2" s="2"/>
    </row>
    <row r="3" spans="1:13" ht="15.75" customHeight="1">
      <c r="A3" s="228" t="s">
        <v>153</v>
      </c>
      <c r="B3" s="228"/>
      <c r="C3" s="228"/>
      <c r="D3" s="228"/>
      <c r="E3" s="228"/>
      <c r="F3" s="228"/>
      <c r="G3" s="228"/>
      <c r="H3" s="228"/>
      <c r="I3" s="228"/>
      <c r="J3" s="3"/>
      <c r="K3" s="3"/>
      <c r="L3" s="3"/>
    </row>
    <row r="4" spans="1:13" ht="31.5" customHeight="1">
      <c r="A4" s="229" t="s">
        <v>120</v>
      </c>
      <c r="B4" s="229"/>
      <c r="C4" s="229"/>
      <c r="D4" s="229"/>
      <c r="E4" s="229"/>
      <c r="F4" s="229"/>
      <c r="G4" s="229"/>
      <c r="H4" s="229"/>
      <c r="I4" s="229"/>
    </row>
    <row r="5" spans="1:13" ht="15.75" customHeight="1">
      <c r="A5" s="228" t="s">
        <v>318</v>
      </c>
      <c r="B5" s="232"/>
      <c r="C5" s="232"/>
      <c r="D5" s="232"/>
      <c r="E5" s="232"/>
      <c r="F5" s="232"/>
      <c r="G5" s="232"/>
      <c r="H5" s="232"/>
      <c r="I5" s="232"/>
      <c r="J5" s="2"/>
      <c r="K5" s="2"/>
      <c r="L5" s="2"/>
      <c r="M5" s="2"/>
    </row>
    <row r="6" spans="1:13" ht="15.75" customHeight="1">
      <c r="A6" s="2"/>
      <c r="B6" s="72"/>
      <c r="C6" s="72"/>
      <c r="D6" s="72"/>
      <c r="E6" s="72"/>
      <c r="F6" s="72"/>
      <c r="G6" s="72"/>
      <c r="H6" s="72"/>
      <c r="I6" s="30">
        <v>44439</v>
      </c>
      <c r="J6" s="2"/>
      <c r="K6" s="2"/>
      <c r="L6" s="2"/>
      <c r="M6" s="2"/>
    </row>
    <row r="7" spans="1:13" ht="15.75" customHeight="1">
      <c r="B7" s="69"/>
      <c r="C7" s="69"/>
      <c r="D7" s="69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30" t="s">
        <v>215</v>
      </c>
      <c r="B8" s="230"/>
      <c r="C8" s="230"/>
      <c r="D8" s="230"/>
      <c r="E8" s="230"/>
      <c r="F8" s="230"/>
      <c r="G8" s="230"/>
      <c r="H8" s="230"/>
      <c r="I8" s="230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31" t="s">
        <v>133</v>
      </c>
      <c r="B10" s="231"/>
      <c r="C10" s="231"/>
      <c r="D10" s="231"/>
      <c r="E10" s="231"/>
      <c r="F10" s="231"/>
      <c r="G10" s="231"/>
      <c r="H10" s="231"/>
      <c r="I10" s="231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33" t="s">
        <v>57</v>
      </c>
      <c r="B14" s="233"/>
      <c r="C14" s="233"/>
      <c r="D14" s="233"/>
      <c r="E14" s="233"/>
      <c r="F14" s="233"/>
      <c r="G14" s="233"/>
      <c r="H14" s="233"/>
      <c r="I14" s="233"/>
      <c r="J14" s="8"/>
      <c r="K14" s="8"/>
      <c r="L14" s="8"/>
      <c r="M14" s="8"/>
    </row>
    <row r="15" spans="1:13" ht="15.75" customHeight="1">
      <c r="A15" s="234" t="s">
        <v>4</v>
      </c>
      <c r="B15" s="234"/>
      <c r="C15" s="234"/>
      <c r="D15" s="234"/>
      <c r="E15" s="234"/>
      <c r="F15" s="234"/>
      <c r="G15" s="234"/>
      <c r="H15" s="234"/>
      <c r="I15" s="234"/>
      <c r="J15" s="8"/>
      <c r="K15" s="8"/>
      <c r="L15" s="8"/>
      <c r="M15" s="8"/>
    </row>
    <row r="16" spans="1:13" ht="15.75" customHeight="1">
      <c r="A16" s="29">
        <v>1</v>
      </c>
      <c r="B16" s="32" t="s">
        <v>81</v>
      </c>
      <c r="C16" s="133" t="s">
        <v>87</v>
      </c>
      <c r="D16" s="32" t="s">
        <v>178</v>
      </c>
      <c r="E16" s="146">
        <v>129.88</v>
      </c>
      <c r="F16" s="134">
        <f>SUM(E16*156/100)</f>
        <v>202.61279999999999</v>
      </c>
      <c r="G16" s="134">
        <v>239.2</v>
      </c>
      <c r="H16" s="83">
        <f t="shared" ref="H16:H26" si="0">SUM(F16*G16/1000)</f>
        <v>48.464981759999993</v>
      </c>
      <c r="I16" s="13">
        <f>F16/12*G16</f>
        <v>4038.7484799999997</v>
      </c>
      <c r="J16" s="8"/>
      <c r="K16" s="8"/>
      <c r="L16" s="8"/>
      <c r="M16" s="8"/>
    </row>
    <row r="17" spans="1:13" ht="15.75" customHeight="1">
      <c r="A17" s="29">
        <v>2</v>
      </c>
      <c r="B17" s="32" t="s">
        <v>83</v>
      </c>
      <c r="C17" s="133" t="s">
        <v>87</v>
      </c>
      <c r="D17" s="32" t="s">
        <v>179</v>
      </c>
      <c r="E17" s="146">
        <v>519.52</v>
      </c>
      <c r="F17" s="134">
        <f>SUM(E17*104/100)</f>
        <v>540.30079999999998</v>
      </c>
      <c r="G17" s="134">
        <v>239.2</v>
      </c>
      <c r="H17" s="83">
        <f t="shared" si="0"/>
        <v>129.23995135999999</v>
      </c>
      <c r="I17" s="13">
        <f>F17/12*G17</f>
        <v>10769.995946666666</v>
      </c>
      <c r="J17" s="22"/>
      <c r="K17" s="8"/>
      <c r="L17" s="8"/>
      <c r="M17" s="8"/>
    </row>
    <row r="18" spans="1:13" ht="15.75" customHeight="1">
      <c r="A18" s="29">
        <v>3</v>
      </c>
      <c r="B18" s="32" t="s">
        <v>84</v>
      </c>
      <c r="C18" s="133" t="s">
        <v>87</v>
      </c>
      <c r="D18" s="32" t="s">
        <v>180</v>
      </c>
      <c r="E18" s="146">
        <f>SUM(E16+E17)</f>
        <v>649.4</v>
      </c>
      <c r="F18" s="134">
        <f>SUM(E18*18/100)</f>
        <v>116.892</v>
      </c>
      <c r="G18" s="134">
        <v>688.14</v>
      </c>
      <c r="H18" s="83">
        <f t="shared" si="0"/>
        <v>80.438060879999995</v>
      </c>
      <c r="I18" s="13">
        <f>F18/18*2*G18</f>
        <v>8937.5623199999991</v>
      </c>
      <c r="J18" s="22"/>
      <c r="K18" s="8"/>
      <c r="L18" s="8"/>
      <c r="M18" s="8"/>
    </row>
    <row r="19" spans="1:13" ht="15.75" hidden="1" customHeight="1">
      <c r="A19" s="29">
        <v>4</v>
      </c>
      <c r="B19" s="79" t="s">
        <v>88</v>
      </c>
      <c r="C19" s="80" t="s">
        <v>89</v>
      </c>
      <c r="D19" s="79" t="s">
        <v>90</v>
      </c>
      <c r="E19" s="81">
        <v>124.8</v>
      </c>
      <c r="F19" s="82">
        <f>SUM(E19/10)</f>
        <v>12.48</v>
      </c>
      <c r="G19" s="82">
        <v>170.16</v>
      </c>
      <c r="H19" s="83">
        <f t="shared" si="0"/>
        <v>2.1235967999999996</v>
      </c>
      <c r="I19" s="13">
        <f>F19/2*G19</f>
        <v>1061.7983999999999</v>
      </c>
      <c r="J19" s="22"/>
      <c r="K19" s="8"/>
      <c r="L19" s="8"/>
      <c r="M19" s="8"/>
    </row>
    <row r="20" spans="1:13" ht="15.75" customHeight="1">
      <c r="A20" s="29">
        <v>4</v>
      </c>
      <c r="B20" s="32" t="s">
        <v>93</v>
      </c>
      <c r="C20" s="133" t="s">
        <v>87</v>
      </c>
      <c r="D20" s="32" t="s">
        <v>187</v>
      </c>
      <c r="E20" s="146">
        <v>57.5</v>
      </c>
      <c r="F20" s="134">
        <f>SUM(E20*12/100)</f>
        <v>6.9</v>
      </c>
      <c r="G20" s="134">
        <v>297.19</v>
      </c>
      <c r="H20" s="83">
        <f t="shared" si="0"/>
        <v>2.050611</v>
      </c>
      <c r="I20" s="13">
        <f>F20*G20/12</f>
        <v>170.88424999999998</v>
      </c>
      <c r="J20" s="22"/>
      <c r="K20" s="8"/>
      <c r="L20" s="8"/>
      <c r="M20" s="8"/>
    </row>
    <row r="21" spans="1:13" ht="15.75" customHeight="1">
      <c r="A21" s="29">
        <v>5</v>
      </c>
      <c r="B21" s="32" t="s">
        <v>94</v>
      </c>
      <c r="C21" s="133" t="s">
        <v>87</v>
      </c>
      <c r="D21" s="32" t="s">
        <v>187</v>
      </c>
      <c r="E21" s="146">
        <v>13.41</v>
      </c>
      <c r="F21" s="134">
        <f>SUM(E21*12/100)</f>
        <v>1.6092000000000002</v>
      </c>
      <c r="G21" s="134">
        <v>294.77999999999997</v>
      </c>
      <c r="H21" s="83">
        <f t="shared" si="0"/>
        <v>0.47435997600000002</v>
      </c>
      <c r="I21" s="13">
        <f>F21*G21/12</f>
        <v>39.529997999999999</v>
      </c>
      <c r="J21" s="22"/>
      <c r="K21" s="8"/>
      <c r="L21" s="8"/>
      <c r="M21" s="8"/>
    </row>
    <row r="22" spans="1:13" ht="15.75" hidden="1" customHeight="1">
      <c r="A22" s="29">
        <v>7</v>
      </c>
      <c r="B22" s="79" t="s">
        <v>95</v>
      </c>
      <c r="C22" s="80" t="s">
        <v>51</v>
      </c>
      <c r="D22" s="79" t="s">
        <v>90</v>
      </c>
      <c r="E22" s="81">
        <v>820.5</v>
      </c>
      <c r="F22" s="82">
        <f>SUM(E22/100)</f>
        <v>8.2050000000000001</v>
      </c>
      <c r="G22" s="82">
        <v>269.26</v>
      </c>
      <c r="H22" s="83">
        <f t="shared" si="0"/>
        <v>2.2092782999999998</v>
      </c>
      <c r="I22" s="13">
        <f t="shared" ref="I22:I26" si="1">F22*G22</f>
        <v>2209.2782999999999</v>
      </c>
      <c r="J22" s="22"/>
      <c r="K22" s="8"/>
      <c r="L22" s="8"/>
      <c r="M22" s="8"/>
    </row>
    <row r="23" spans="1:13" ht="15.75" hidden="1" customHeight="1">
      <c r="A23" s="29">
        <v>8</v>
      </c>
      <c r="B23" s="79" t="s">
        <v>96</v>
      </c>
      <c r="C23" s="80" t="s">
        <v>51</v>
      </c>
      <c r="D23" s="79" t="s">
        <v>90</v>
      </c>
      <c r="E23" s="84">
        <v>60.25</v>
      </c>
      <c r="F23" s="82">
        <f>SUM(E23/100)</f>
        <v>0.60250000000000004</v>
      </c>
      <c r="G23" s="82">
        <v>44.29</v>
      </c>
      <c r="H23" s="83">
        <f t="shared" si="0"/>
        <v>2.6684724999999999E-2</v>
      </c>
      <c r="I23" s="13">
        <f t="shared" si="1"/>
        <v>26.684725</v>
      </c>
      <c r="J23" s="22"/>
      <c r="K23" s="8"/>
      <c r="L23" s="8"/>
      <c r="M23" s="8"/>
    </row>
    <row r="24" spans="1:13" ht="15.75" hidden="1" customHeight="1">
      <c r="A24" s="29">
        <v>9</v>
      </c>
      <c r="B24" s="79" t="s">
        <v>91</v>
      </c>
      <c r="C24" s="80" t="s">
        <v>51</v>
      </c>
      <c r="D24" s="79" t="s">
        <v>92</v>
      </c>
      <c r="E24" s="81">
        <v>19.149999999999999</v>
      </c>
      <c r="F24" s="82">
        <f>E24/100</f>
        <v>0.19149999999999998</v>
      </c>
      <c r="G24" s="82">
        <v>389.72</v>
      </c>
      <c r="H24" s="83">
        <f t="shared" si="0"/>
        <v>7.4631379999999997E-2</v>
      </c>
      <c r="I24" s="13">
        <f t="shared" si="1"/>
        <v>74.631379999999993</v>
      </c>
      <c r="J24" s="22"/>
      <c r="K24" s="8"/>
      <c r="L24" s="8"/>
      <c r="M24" s="8"/>
    </row>
    <row r="25" spans="1:13" ht="15.75" hidden="1" customHeight="1">
      <c r="A25" s="29">
        <v>10</v>
      </c>
      <c r="B25" s="79" t="s">
        <v>98</v>
      </c>
      <c r="C25" s="80" t="s">
        <v>51</v>
      </c>
      <c r="D25" s="79" t="s">
        <v>52</v>
      </c>
      <c r="E25" s="81">
        <v>31.5</v>
      </c>
      <c r="F25" s="82">
        <v>0.32</v>
      </c>
      <c r="G25" s="82">
        <v>216.12</v>
      </c>
      <c r="H25" s="83">
        <f t="shared" si="0"/>
        <v>6.9158399999999995E-2</v>
      </c>
      <c r="I25" s="13">
        <f t="shared" si="1"/>
        <v>69.1584</v>
      </c>
      <c r="J25" s="22"/>
      <c r="K25" s="8"/>
      <c r="L25" s="8"/>
      <c r="M25" s="8"/>
    </row>
    <row r="26" spans="1:13" ht="15.75" hidden="1" customHeight="1">
      <c r="A26" s="29">
        <v>11</v>
      </c>
      <c r="B26" s="79" t="s">
        <v>97</v>
      </c>
      <c r="C26" s="80" t="s">
        <v>51</v>
      </c>
      <c r="D26" s="79" t="s">
        <v>90</v>
      </c>
      <c r="E26" s="81">
        <v>37.5</v>
      </c>
      <c r="F26" s="82">
        <f>SUM(E26/100)</f>
        <v>0.375</v>
      </c>
      <c r="G26" s="82">
        <v>520.79999999999995</v>
      </c>
      <c r="H26" s="83">
        <f t="shared" si="0"/>
        <v>0.19529999999999997</v>
      </c>
      <c r="I26" s="13">
        <f t="shared" si="1"/>
        <v>195.29999999999998</v>
      </c>
      <c r="J26" s="22"/>
      <c r="K26" s="8"/>
      <c r="L26" s="8"/>
      <c r="M26" s="8"/>
    </row>
    <row r="27" spans="1:13" ht="15.75" hidden="1" customHeight="1">
      <c r="A27" s="29">
        <v>6</v>
      </c>
      <c r="B27" s="32" t="s">
        <v>177</v>
      </c>
      <c r="C27" s="133" t="s">
        <v>26</v>
      </c>
      <c r="D27" s="32" t="s">
        <v>182</v>
      </c>
      <c r="E27" s="169">
        <v>4.88</v>
      </c>
      <c r="F27" s="134">
        <f>E27*258</f>
        <v>1259.04</v>
      </c>
      <c r="G27" s="134">
        <v>10.39</v>
      </c>
      <c r="H27" s="83">
        <f t="shared" ref="H27" si="2">SUM(F27*G27/1000)</f>
        <v>13.081425600000001</v>
      </c>
      <c r="I27" s="13">
        <f>F27/12*G27</f>
        <v>1090.1188</v>
      </c>
      <c r="J27" s="22"/>
      <c r="K27" s="8"/>
      <c r="L27" s="8"/>
      <c r="M27" s="8"/>
    </row>
    <row r="28" spans="1:13" ht="15.75" customHeight="1">
      <c r="A28" s="234" t="s">
        <v>80</v>
      </c>
      <c r="B28" s="234"/>
      <c r="C28" s="234"/>
      <c r="D28" s="234"/>
      <c r="E28" s="234"/>
      <c r="F28" s="234"/>
      <c r="G28" s="234"/>
      <c r="H28" s="234"/>
      <c r="I28" s="234"/>
      <c r="J28" s="22"/>
      <c r="K28" s="8"/>
      <c r="L28" s="8"/>
      <c r="M28" s="8"/>
    </row>
    <row r="29" spans="1:13" ht="15.75" customHeight="1">
      <c r="A29" s="40"/>
      <c r="B29" s="50" t="s">
        <v>29</v>
      </c>
      <c r="C29" s="50"/>
      <c r="D29" s="50"/>
      <c r="E29" s="50"/>
      <c r="F29" s="50"/>
      <c r="G29" s="50"/>
      <c r="H29" s="50"/>
      <c r="I29" s="18"/>
      <c r="J29" s="22"/>
      <c r="K29" s="8"/>
      <c r="L29" s="8"/>
      <c r="M29" s="8"/>
    </row>
    <row r="30" spans="1:13" ht="15.75" customHeight="1">
      <c r="A30" s="40">
        <v>6</v>
      </c>
      <c r="B30" s="32" t="s">
        <v>99</v>
      </c>
      <c r="C30" s="133" t="s">
        <v>100</v>
      </c>
      <c r="D30" s="32" t="s">
        <v>179</v>
      </c>
      <c r="E30" s="134">
        <v>1304.45</v>
      </c>
      <c r="F30" s="134">
        <f>SUM(E30*52/1000)</f>
        <v>67.831400000000002</v>
      </c>
      <c r="G30" s="134">
        <v>212.62</v>
      </c>
      <c r="H30" s="83">
        <f t="shared" ref="H30:H31" si="3">SUM(F30*G30/1000)</f>
        <v>14.422312268000001</v>
      </c>
      <c r="I30" s="13">
        <f>F30/6*G30</f>
        <v>2403.7187113333334</v>
      </c>
      <c r="J30" s="22"/>
      <c r="K30" s="8"/>
      <c r="L30" s="8"/>
      <c r="M30" s="8"/>
    </row>
    <row r="31" spans="1:13" ht="31.5" customHeight="1">
      <c r="A31" s="40">
        <v>7</v>
      </c>
      <c r="B31" s="32" t="s">
        <v>137</v>
      </c>
      <c r="C31" s="133" t="s">
        <v>100</v>
      </c>
      <c r="D31" s="32" t="s">
        <v>179</v>
      </c>
      <c r="E31" s="134">
        <v>287.83999999999997</v>
      </c>
      <c r="F31" s="134">
        <f>SUM(E31*52/1000)</f>
        <v>14.967679999999998</v>
      </c>
      <c r="G31" s="134">
        <v>352.77</v>
      </c>
      <c r="H31" s="83">
        <f t="shared" si="3"/>
        <v>5.2801484735999997</v>
      </c>
      <c r="I31" s="13">
        <f t="shared" ref="I31" si="4">F31/6*G31</f>
        <v>880.02474559999985</v>
      </c>
      <c r="J31" s="22"/>
      <c r="K31" s="8"/>
      <c r="L31" s="8"/>
      <c r="M31" s="8"/>
    </row>
    <row r="32" spans="1:13" ht="15.75" hidden="1" customHeight="1">
      <c r="A32" s="40">
        <v>16</v>
      </c>
      <c r="B32" s="79" t="s">
        <v>28</v>
      </c>
      <c r="C32" s="80" t="s">
        <v>100</v>
      </c>
      <c r="D32" s="79" t="s">
        <v>52</v>
      </c>
      <c r="E32" s="82">
        <v>1304.45</v>
      </c>
      <c r="F32" s="82">
        <f>SUM(E32/1000)</f>
        <v>1.3044500000000001</v>
      </c>
      <c r="G32" s="82">
        <v>3020.33</v>
      </c>
      <c r="H32" s="83">
        <f t="shared" ref="H32:H34" si="5">SUM(F32*G32/1000)</f>
        <v>3.9398694685</v>
      </c>
      <c r="I32" s="13">
        <f>F32*G32</f>
        <v>3939.8694685</v>
      </c>
      <c r="J32" s="22"/>
      <c r="K32" s="8"/>
      <c r="L32" s="8"/>
      <c r="M32" s="8"/>
    </row>
    <row r="33" spans="1:14" ht="15.75" hidden="1" customHeight="1">
      <c r="A33" s="40">
        <v>4</v>
      </c>
      <c r="B33" s="79" t="s">
        <v>63</v>
      </c>
      <c r="C33" s="80" t="s">
        <v>33</v>
      </c>
      <c r="D33" s="79" t="s">
        <v>65</v>
      </c>
      <c r="E33" s="81"/>
      <c r="F33" s="82">
        <v>3</v>
      </c>
      <c r="G33" s="82">
        <v>191.32</v>
      </c>
      <c r="H33" s="83">
        <f t="shared" si="5"/>
        <v>0.57396000000000003</v>
      </c>
      <c r="I33" s="13">
        <v>0</v>
      </c>
      <c r="J33" s="23"/>
    </row>
    <row r="34" spans="1:14" ht="15.75" hidden="1" customHeight="1">
      <c r="A34" s="29">
        <v>8</v>
      </c>
      <c r="B34" s="79" t="s">
        <v>64</v>
      </c>
      <c r="C34" s="80" t="s">
        <v>32</v>
      </c>
      <c r="D34" s="79" t="s">
        <v>65</v>
      </c>
      <c r="E34" s="81"/>
      <c r="F34" s="82">
        <v>2</v>
      </c>
      <c r="G34" s="82">
        <v>1136.32</v>
      </c>
      <c r="H34" s="83">
        <f t="shared" si="5"/>
        <v>2.27264</v>
      </c>
      <c r="I34" s="13">
        <v>0</v>
      </c>
      <c r="J34" s="23"/>
    </row>
    <row r="35" spans="1:14" ht="15.75" hidden="1" customHeight="1">
      <c r="A35" s="40"/>
      <c r="B35" s="48" t="s">
        <v>5</v>
      </c>
      <c r="C35" s="48"/>
      <c r="D35" s="48"/>
      <c r="E35" s="13"/>
      <c r="F35" s="13"/>
      <c r="G35" s="14"/>
      <c r="H35" s="14"/>
      <c r="I35" s="18"/>
      <c r="J35" s="23"/>
    </row>
    <row r="36" spans="1:14" ht="15.75" hidden="1" customHeight="1">
      <c r="A36" s="33">
        <v>6</v>
      </c>
      <c r="B36" s="79" t="s">
        <v>27</v>
      </c>
      <c r="C36" s="80" t="s">
        <v>32</v>
      </c>
      <c r="D36" s="79"/>
      <c r="E36" s="81"/>
      <c r="F36" s="82">
        <v>10</v>
      </c>
      <c r="G36" s="82">
        <v>1527.22</v>
      </c>
      <c r="H36" s="83">
        <f t="shared" ref="H36:H43" si="6">SUM(F36*G36/1000)</f>
        <v>15.272200000000002</v>
      </c>
      <c r="I36" s="13">
        <f>F36/6*G36</f>
        <v>2545.3666666666668</v>
      </c>
      <c r="J36" s="23"/>
    </row>
    <row r="37" spans="1:14" ht="15.75" hidden="1" customHeight="1">
      <c r="A37" s="33">
        <v>7</v>
      </c>
      <c r="B37" s="79" t="s">
        <v>121</v>
      </c>
      <c r="C37" s="80" t="s">
        <v>30</v>
      </c>
      <c r="D37" s="79" t="s">
        <v>122</v>
      </c>
      <c r="E37" s="82">
        <v>495</v>
      </c>
      <c r="F37" s="82">
        <f>SUM(E37*12/1000)</f>
        <v>5.94</v>
      </c>
      <c r="G37" s="82">
        <v>2102.71</v>
      </c>
      <c r="H37" s="83">
        <f t="shared" si="6"/>
        <v>12.4900974</v>
      </c>
      <c r="I37" s="13">
        <f>F37/6*G37</f>
        <v>2081.6829000000002</v>
      </c>
      <c r="J37" s="23"/>
    </row>
    <row r="38" spans="1:14" ht="15.75" hidden="1" customHeight="1">
      <c r="A38" s="33">
        <v>8</v>
      </c>
      <c r="B38" s="79" t="s">
        <v>123</v>
      </c>
      <c r="C38" s="80" t="s">
        <v>30</v>
      </c>
      <c r="D38" s="79" t="s">
        <v>104</v>
      </c>
      <c r="E38" s="81">
        <v>287.83999999999997</v>
      </c>
      <c r="F38" s="82">
        <v>8.64</v>
      </c>
      <c r="G38" s="82">
        <v>2102.71</v>
      </c>
      <c r="H38" s="83">
        <f>G38*F38/1000</f>
        <v>18.167414400000002</v>
      </c>
      <c r="I38" s="13">
        <f>F38/6*G38</f>
        <v>3027.9024000000004</v>
      </c>
      <c r="J38" s="23"/>
    </row>
    <row r="39" spans="1:14" ht="15.75" hidden="1" customHeight="1">
      <c r="A39" s="33">
        <v>7</v>
      </c>
      <c r="B39" s="79" t="s">
        <v>85</v>
      </c>
      <c r="C39" s="80" t="s">
        <v>124</v>
      </c>
      <c r="D39" s="79" t="s">
        <v>65</v>
      </c>
      <c r="E39" s="81"/>
      <c r="F39" s="82">
        <v>80</v>
      </c>
      <c r="G39" s="82">
        <v>199.44</v>
      </c>
      <c r="H39" s="83">
        <f>G39*F39/1000</f>
        <v>15.955200000000001</v>
      </c>
      <c r="I39" s="13">
        <v>0</v>
      </c>
      <c r="J39" s="23"/>
    </row>
    <row r="40" spans="1:14" ht="15.75" hidden="1" customHeight="1">
      <c r="A40" s="33">
        <v>9</v>
      </c>
      <c r="B40" s="79" t="s">
        <v>66</v>
      </c>
      <c r="C40" s="80" t="s">
        <v>30</v>
      </c>
      <c r="D40" s="79" t="s">
        <v>105</v>
      </c>
      <c r="E40" s="82">
        <v>287.83999999999997</v>
      </c>
      <c r="F40" s="82">
        <f>SUM(E40*155/1000)</f>
        <v>44.615199999999994</v>
      </c>
      <c r="G40" s="82">
        <v>350.75</v>
      </c>
      <c r="H40" s="83">
        <f t="shared" si="6"/>
        <v>15.648781399999997</v>
      </c>
      <c r="I40" s="13">
        <f>F40/6*G40</f>
        <v>2608.1302333333329</v>
      </c>
      <c r="J40" s="23"/>
    </row>
    <row r="41" spans="1:14" ht="47.25" hidden="1" customHeight="1">
      <c r="A41" s="33">
        <v>10</v>
      </c>
      <c r="B41" s="79" t="s">
        <v>78</v>
      </c>
      <c r="C41" s="80" t="s">
        <v>100</v>
      </c>
      <c r="D41" s="79" t="s">
        <v>125</v>
      </c>
      <c r="E41" s="82">
        <v>89.43</v>
      </c>
      <c r="F41" s="82">
        <f>SUM(E41*24/1000)</f>
        <v>2.1463200000000002</v>
      </c>
      <c r="G41" s="82">
        <v>5803.28</v>
      </c>
      <c r="H41" s="83">
        <f t="shared" si="6"/>
        <v>12.455695929600001</v>
      </c>
      <c r="I41" s="13">
        <f>F41/6*G41</f>
        <v>2075.9493216000001</v>
      </c>
      <c r="J41" s="23"/>
      <c r="L41" s="19"/>
      <c r="M41" s="20"/>
      <c r="N41" s="21"/>
    </row>
    <row r="42" spans="1:14" ht="15.75" hidden="1" customHeight="1">
      <c r="A42" s="33">
        <v>11</v>
      </c>
      <c r="B42" s="79" t="s">
        <v>106</v>
      </c>
      <c r="C42" s="80" t="s">
        <v>100</v>
      </c>
      <c r="D42" s="79" t="s">
        <v>67</v>
      </c>
      <c r="E42" s="82">
        <v>130.08000000000001</v>
      </c>
      <c r="F42" s="82">
        <f>SUM(E42*45/1000)</f>
        <v>5.8536000000000001</v>
      </c>
      <c r="G42" s="82">
        <v>428.7</v>
      </c>
      <c r="H42" s="83">
        <f t="shared" si="6"/>
        <v>2.5094383200000001</v>
      </c>
      <c r="I42" s="13">
        <f>F42/6*G42</f>
        <v>418.23971999999998</v>
      </c>
      <c r="J42" s="23"/>
      <c r="L42" s="19"/>
      <c r="M42" s="20"/>
      <c r="N42" s="21"/>
    </row>
    <row r="43" spans="1:14" ht="15.75" hidden="1" customHeight="1">
      <c r="A43" s="33">
        <v>12</v>
      </c>
      <c r="B43" s="79" t="s">
        <v>68</v>
      </c>
      <c r="C43" s="80" t="s">
        <v>33</v>
      </c>
      <c r="D43" s="79"/>
      <c r="E43" s="81"/>
      <c r="F43" s="82">
        <v>0.9</v>
      </c>
      <c r="G43" s="82">
        <v>798</v>
      </c>
      <c r="H43" s="83">
        <f t="shared" si="6"/>
        <v>0.71820000000000006</v>
      </c>
      <c r="I43" s="13">
        <f>F43/6*G43</f>
        <v>119.69999999999999</v>
      </c>
      <c r="J43" s="23"/>
      <c r="L43" s="19"/>
      <c r="M43" s="20"/>
      <c r="N43" s="21"/>
    </row>
    <row r="44" spans="1:14" ht="15.75" customHeight="1">
      <c r="A44" s="238" t="s">
        <v>134</v>
      </c>
      <c r="B44" s="239"/>
      <c r="C44" s="239"/>
      <c r="D44" s="239"/>
      <c r="E44" s="239"/>
      <c r="F44" s="239"/>
      <c r="G44" s="239"/>
      <c r="H44" s="239"/>
      <c r="I44" s="240"/>
      <c r="J44" s="23"/>
      <c r="L44" s="19"/>
      <c r="M44" s="20"/>
      <c r="N44" s="21"/>
    </row>
    <row r="45" spans="1:14" ht="15.75" hidden="1" customHeight="1">
      <c r="A45" s="40">
        <v>18</v>
      </c>
      <c r="B45" s="79" t="s">
        <v>126</v>
      </c>
      <c r="C45" s="80" t="s">
        <v>100</v>
      </c>
      <c r="D45" s="79" t="s">
        <v>41</v>
      </c>
      <c r="E45" s="81">
        <v>1369</v>
      </c>
      <c r="F45" s="82">
        <f>SUM(E45*2/1000)</f>
        <v>2.738</v>
      </c>
      <c r="G45" s="13">
        <v>849.49</v>
      </c>
      <c r="H45" s="83">
        <f t="shared" ref="H45:H53" si="7">SUM(F45*G45/1000)</f>
        <v>2.3259036200000001</v>
      </c>
      <c r="I45" s="13">
        <f t="shared" ref="I45:I47" si="8">F45/2*G45</f>
        <v>1162.95181</v>
      </c>
      <c r="J45" s="23"/>
      <c r="L45" s="19"/>
      <c r="M45" s="20"/>
      <c r="N45" s="21"/>
    </row>
    <row r="46" spans="1:14" ht="15.75" hidden="1" customHeight="1">
      <c r="A46" s="40">
        <v>19</v>
      </c>
      <c r="B46" s="79" t="s">
        <v>34</v>
      </c>
      <c r="C46" s="80" t="s">
        <v>100</v>
      </c>
      <c r="D46" s="79" t="s">
        <v>41</v>
      </c>
      <c r="E46" s="81">
        <v>1418</v>
      </c>
      <c r="F46" s="82">
        <f>SUM(E46*2/1000)</f>
        <v>2.8359999999999999</v>
      </c>
      <c r="G46" s="13">
        <v>579.48</v>
      </c>
      <c r="H46" s="83">
        <f t="shared" si="7"/>
        <v>1.6434052799999999</v>
      </c>
      <c r="I46" s="13">
        <f t="shared" si="8"/>
        <v>821.70263999999997</v>
      </c>
      <c r="J46" s="23"/>
      <c r="L46" s="19"/>
      <c r="M46" s="20"/>
      <c r="N46" s="21"/>
    </row>
    <row r="47" spans="1:14" ht="15.75" hidden="1" customHeight="1">
      <c r="A47" s="40">
        <v>20</v>
      </c>
      <c r="B47" s="79" t="s">
        <v>35</v>
      </c>
      <c r="C47" s="80" t="s">
        <v>100</v>
      </c>
      <c r="D47" s="79" t="s">
        <v>41</v>
      </c>
      <c r="E47" s="81">
        <v>4985.21</v>
      </c>
      <c r="F47" s="82">
        <f>SUM(E47*2/1000)</f>
        <v>9.9704200000000007</v>
      </c>
      <c r="G47" s="13">
        <v>579.48</v>
      </c>
      <c r="H47" s="83">
        <f t="shared" si="7"/>
        <v>5.7776589816000001</v>
      </c>
      <c r="I47" s="13">
        <f t="shared" si="8"/>
        <v>2888.8294908000003</v>
      </c>
      <c r="J47" s="23"/>
      <c r="L47" s="19"/>
      <c r="M47" s="20"/>
      <c r="N47" s="21"/>
    </row>
    <row r="48" spans="1:14" ht="15.75" hidden="1" customHeight="1">
      <c r="A48" s="40">
        <v>21</v>
      </c>
      <c r="B48" s="79" t="s">
        <v>36</v>
      </c>
      <c r="C48" s="80" t="s">
        <v>100</v>
      </c>
      <c r="D48" s="79" t="s">
        <v>41</v>
      </c>
      <c r="E48" s="81">
        <v>2474</v>
      </c>
      <c r="F48" s="82">
        <f>SUM(E48*2/1000)</f>
        <v>4.9480000000000004</v>
      </c>
      <c r="G48" s="13">
        <v>606.77</v>
      </c>
      <c r="H48" s="83">
        <f t="shared" si="7"/>
        <v>3.0022979600000004</v>
      </c>
      <c r="I48" s="13">
        <f>F48/2*G48</f>
        <v>1501.1489800000002</v>
      </c>
      <c r="J48" s="23"/>
      <c r="L48" s="19"/>
      <c r="M48" s="20"/>
      <c r="N48" s="21"/>
    </row>
    <row r="49" spans="1:14" ht="15.75" hidden="1" customHeight="1">
      <c r="A49" s="40">
        <v>22</v>
      </c>
      <c r="B49" s="79" t="s">
        <v>54</v>
      </c>
      <c r="C49" s="80" t="s">
        <v>100</v>
      </c>
      <c r="D49" s="79" t="s">
        <v>138</v>
      </c>
      <c r="E49" s="81">
        <v>1349.3</v>
      </c>
      <c r="F49" s="82">
        <f>SUM(E49*5/1000)</f>
        <v>6.7465000000000002</v>
      </c>
      <c r="G49" s="13">
        <v>1213.55</v>
      </c>
      <c r="H49" s="83">
        <f t="shared" si="7"/>
        <v>8.1872150749999992</v>
      </c>
      <c r="I49" s="13">
        <f>F49/5*G49</f>
        <v>1637.4430149999998</v>
      </c>
      <c r="J49" s="23"/>
      <c r="L49" s="19"/>
      <c r="M49" s="20"/>
      <c r="N49" s="21"/>
    </row>
    <row r="50" spans="1:14" ht="30.75" hidden="1" customHeight="1">
      <c r="A50" s="40">
        <v>13</v>
      </c>
      <c r="B50" s="79" t="s">
        <v>107</v>
      </c>
      <c r="C50" s="80" t="s">
        <v>100</v>
      </c>
      <c r="D50" s="79" t="s">
        <v>41</v>
      </c>
      <c r="E50" s="81">
        <v>1349.3</v>
      </c>
      <c r="F50" s="82">
        <f>SUM(E50*2/1000)</f>
        <v>2.6985999999999999</v>
      </c>
      <c r="G50" s="13">
        <v>1213.55</v>
      </c>
      <c r="H50" s="83">
        <f t="shared" si="7"/>
        <v>3.2748860299999998</v>
      </c>
      <c r="I50" s="13">
        <f>F50/2*G50</f>
        <v>1637.4430149999998</v>
      </c>
      <c r="J50" s="23"/>
      <c r="L50" s="19"/>
      <c r="M50" s="20"/>
      <c r="N50" s="21"/>
    </row>
    <row r="51" spans="1:14" ht="30.75" hidden="1" customHeight="1">
      <c r="A51" s="40">
        <v>14</v>
      </c>
      <c r="B51" s="79" t="s">
        <v>108</v>
      </c>
      <c r="C51" s="80" t="s">
        <v>37</v>
      </c>
      <c r="D51" s="79" t="s">
        <v>41</v>
      </c>
      <c r="E51" s="81">
        <v>40</v>
      </c>
      <c r="F51" s="82">
        <f>SUM(E51*2/100)</f>
        <v>0.8</v>
      </c>
      <c r="G51" s="13">
        <v>2730.49</v>
      </c>
      <c r="H51" s="83">
        <f t="shared" si="7"/>
        <v>2.1843919999999999</v>
      </c>
      <c r="I51" s="13">
        <f t="shared" ref="I51:I52" si="9">F51/2*G51</f>
        <v>1092.1959999999999</v>
      </c>
      <c r="J51" s="23"/>
      <c r="L51" s="19"/>
      <c r="M51" s="20"/>
      <c r="N51" s="21"/>
    </row>
    <row r="52" spans="1:14" ht="15.75" hidden="1" customHeight="1">
      <c r="A52" s="40">
        <v>15</v>
      </c>
      <c r="B52" s="79" t="s">
        <v>38</v>
      </c>
      <c r="C52" s="80" t="s">
        <v>39</v>
      </c>
      <c r="D52" s="79" t="s">
        <v>41</v>
      </c>
      <c r="E52" s="81">
        <v>1</v>
      </c>
      <c r="F52" s="82">
        <v>0.02</v>
      </c>
      <c r="G52" s="13">
        <v>5652.13</v>
      </c>
      <c r="H52" s="83">
        <f t="shared" si="7"/>
        <v>0.11304260000000001</v>
      </c>
      <c r="I52" s="13">
        <f t="shared" si="9"/>
        <v>56.521300000000004</v>
      </c>
      <c r="J52" s="23"/>
      <c r="L52" s="19"/>
      <c r="M52" s="20"/>
      <c r="N52" s="21"/>
    </row>
    <row r="53" spans="1:14" ht="15.75" customHeight="1">
      <c r="A53" s="40">
        <v>8</v>
      </c>
      <c r="B53" s="79" t="s">
        <v>40</v>
      </c>
      <c r="C53" s="80" t="s">
        <v>109</v>
      </c>
      <c r="D53" s="177">
        <v>44466</v>
      </c>
      <c r="E53" s="81">
        <v>238</v>
      </c>
      <c r="F53" s="82">
        <f>SUM(E53)*3</f>
        <v>714</v>
      </c>
      <c r="G53" s="154">
        <v>89.59</v>
      </c>
      <c r="H53" s="83">
        <f t="shared" si="7"/>
        <v>63.967260000000003</v>
      </c>
      <c r="I53" s="13">
        <f>E53*G53</f>
        <v>21322.420000000002</v>
      </c>
      <c r="J53" s="23"/>
      <c r="L53" s="19"/>
      <c r="M53" s="20"/>
      <c r="N53" s="21"/>
    </row>
    <row r="54" spans="1:14" ht="15.75" customHeight="1">
      <c r="A54" s="238" t="s">
        <v>135</v>
      </c>
      <c r="B54" s="239"/>
      <c r="C54" s="239"/>
      <c r="D54" s="239"/>
      <c r="E54" s="239"/>
      <c r="F54" s="239"/>
      <c r="G54" s="239"/>
      <c r="H54" s="239"/>
      <c r="I54" s="240"/>
      <c r="J54" s="23"/>
      <c r="L54" s="19"/>
      <c r="M54" s="20"/>
      <c r="N54" s="21"/>
    </row>
    <row r="55" spans="1:14" ht="15.75" hidden="1" customHeight="1">
      <c r="A55" s="78"/>
      <c r="B55" s="47" t="s">
        <v>42</v>
      </c>
      <c r="C55" s="16"/>
      <c r="D55" s="15"/>
      <c r="E55" s="15"/>
      <c r="F55" s="15"/>
      <c r="G55" s="29"/>
      <c r="H55" s="29"/>
      <c r="I55" s="18"/>
      <c r="J55" s="23"/>
      <c r="L55" s="19"/>
      <c r="M55" s="20"/>
      <c r="N55" s="21"/>
    </row>
    <row r="56" spans="1:14" ht="31.5" hidden="1" customHeight="1">
      <c r="A56" s="40">
        <v>16</v>
      </c>
      <c r="B56" s="79" t="s">
        <v>110</v>
      </c>
      <c r="C56" s="80" t="s">
        <v>87</v>
      </c>
      <c r="D56" s="79" t="s">
        <v>111</v>
      </c>
      <c r="E56" s="81">
        <v>176.9</v>
      </c>
      <c r="F56" s="82">
        <f>SUM(E56*6/100)</f>
        <v>10.614000000000001</v>
      </c>
      <c r="G56" s="13">
        <v>1547.28</v>
      </c>
      <c r="H56" s="83">
        <f>SUM(F56*G56/1000)</f>
        <v>16.422829920000002</v>
      </c>
      <c r="I56" s="13">
        <f>F56/6*G56</f>
        <v>2737.13832</v>
      </c>
      <c r="J56" s="23"/>
      <c r="L56" s="19"/>
      <c r="M56" s="20"/>
      <c r="N56" s="21"/>
    </row>
    <row r="57" spans="1:14" ht="15.75" hidden="1" customHeight="1">
      <c r="A57" s="40">
        <v>17</v>
      </c>
      <c r="B57" s="79" t="s">
        <v>127</v>
      </c>
      <c r="C57" s="80" t="s">
        <v>87</v>
      </c>
      <c r="D57" s="79" t="s">
        <v>111</v>
      </c>
      <c r="E57" s="74">
        <v>56</v>
      </c>
      <c r="F57" s="87">
        <v>3.36</v>
      </c>
      <c r="G57" s="82">
        <v>1547.28</v>
      </c>
      <c r="H57" s="83">
        <f>F57*G57/1000</f>
        <v>5.1988607999999994</v>
      </c>
      <c r="I57" s="13">
        <f>F57/6*G57</f>
        <v>866.47679999999991</v>
      </c>
      <c r="J57" s="23"/>
      <c r="L57" s="19"/>
      <c r="M57" s="20"/>
      <c r="N57" s="21"/>
    </row>
    <row r="58" spans="1:14" ht="15.75" hidden="1" customHeight="1">
      <c r="A58" s="40"/>
      <c r="B58" s="79" t="s">
        <v>128</v>
      </c>
      <c r="C58" s="80" t="s">
        <v>129</v>
      </c>
      <c r="D58" s="79" t="s">
        <v>41</v>
      </c>
      <c r="E58" s="88">
        <v>8</v>
      </c>
      <c r="F58" s="13">
        <v>16</v>
      </c>
      <c r="G58" s="82">
        <v>180.78</v>
      </c>
      <c r="H58" s="83">
        <f>SUM(F58*G58/1000)</f>
        <v>2.8924799999999999</v>
      </c>
      <c r="I58" s="13">
        <v>0</v>
      </c>
      <c r="J58" s="23"/>
      <c r="L58" s="19"/>
      <c r="M58" s="20"/>
      <c r="N58" s="21"/>
    </row>
    <row r="59" spans="1:14" ht="15.75" customHeight="1">
      <c r="A59" s="40"/>
      <c r="B59" s="73" t="s">
        <v>43</v>
      </c>
      <c r="C59" s="73"/>
      <c r="D59" s="73"/>
      <c r="E59" s="73"/>
      <c r="F59" s="73"/>
      <c r="G59" s="73"/>
      <c r="H59" s="73"/>
      <c r="I59" s="35"/>
      <c r="J59" s="23"/>
      <c r="L59" s="19"/>
      <c r="M59" s="20"/>
      <c r="N59" s="21"/>
    </row>
    <row r="60" spans="1:14" ht="15.75" hidden="1" customHeight="1">
      <c r="A60" s="40">
        <v>27</v>
      </c>
      <c r="B60" s="79" t="s">
        <v>139</v>
      </c>
      <c r="C60" s="80"/>
      <c r="D60" s="79" t="s">
        <v>52</v>
      </c>
      <c r="E60" s="81">
        <v>1349.3</v>
      </c>
      <c r="F60" s="83">
        <v>13.493</v>
      </c>
      <c r="G60" s="13">
        <v>793.61</v>
      </c>
      <c r="H60" s="89">
        <f>F60*G60/1000</f>
        <v>10.708179729999999</v>
      </c>
      <c r="I60" s="13">
        <v>0</v>
      </c>
      <c r="J60" s="23"/>
      <c r="L60" s="19"/>
      <c r="M60" s="20"/>
      <c r="N60" s="21"/>
    </row>
    <row r="61" spans="1:14" ht="15.75" customHeight="1">
      <c r="A61" s="40">
        <v>9</v>
      </c>
      <c r="B61" s="90" t="s">
        <v>86</v>
      </c>
      <c r="C61" s="91" t="s">
        <v>26</v>
      </c>
      <c r="D61" s="90"/>
      <c r="E61" s="92">
        <v>270</v>
      </c>
      <c r="F61" s="93">
        <v>2400</v>
      </c>
      <c r="G61" s="94">
        <v>1.4</v>
      </c>
      <c r="H61" s="95">
        <f>F61*G61</f>
        <v>3360</v>
      </c>
      <c r="I61" s="13">
        <f>F61/12*G61</f>
        <v>280</v>
      </c>
      <c r="J61" s="23"/>
      <c r="L61" s="19"/>
      <c r="M61" s="20"/>
      <c r="N61" s="21"/>
    </row>
    <row r="62" spans="1:14" ht="21" customHeight="1">
      <c r="A62" s="40"/>
      <c r="B62" s="73" t="s">
        <v>44</v>
      </c>
      <c r="C62" s="16"/>
      <c r="D62" s="37"/>
      <c r="E62" s="15"/>
      <c r="F62" s="15"/>
      <c r="G62" s="29"/>
      <c r="H62" s="29"/>
      <c r="I62" s="18"/>
      <c r="J62" s="23"/>
      <c r="L62" s="19"/>
    </row>
    <row r="63" spans="1:14" ht="15" customHeight="1">
      <c r="A63" s="40">
        <v>10</v>
      </c>
      <c r="B63" s="145" t="s">
        <v>45</v>
      </c>
      <c r="C63" s="38" t="s">
        <v>109</v>
      </c>
      <c r="D63" s="37" t="s">
        <v>179</v>
      </c>
      <c r="E63" s="17">
        <v>40</v>
      </c>
      <c r="F63" s="134">
        <f>E63</f>
        <v>40</v>
      </c>
      <c r="G63" s="36">
        <v>303.35000000000002</v>
      </c>
      <c r="H63" s="97">
        <f t="shared" ref="H63:H70" si="10">SUM(F63*G63/1000)</f>
        <v>12.134</v>
      </c>
      <c r="I63" s="13">
        <f>G63*8</f>
        <v>2426.8000000000002</v>
      </c>
    </row>
    <row r="64" spans="1:14" ht="23.25" hidden="1" customHeight="1">
      <c r="A64" s="29">
        <v>29</v>
      </c>
      <c r="B64" s="96" t="s">
        <v>46</v>
      </c>
      <c r="C64" s="16" t="s">
        <v>109</v>
      </c>
      <c r="D64" s="96" t="s">
        <v>65</v>
      </c>
      <c r="E64" s="18">
        <v>20</v>
      </c>
      <c r="F64" s="82">
        <v>20</v>
      </c>
      <c r="G64" s="13">
        <v>76.25</v>
      </c>
      <c r="H64" s="97">
        <f t="shared" si="10"/>
        <v>1.5249999999999999</v>
      </c>
      <c r="I64" s="13">
        <v>0</v>
      </c>
    </row>
    <row r="65" spans="1:22" ht="21" hidden="1" customHeight="1">
      <c r="A65" s="29">
        <v>25</v>
      </c>
      <c r="B65" s="96" t="s">
        <v>47</v>
      </c>
      <c r="C65" s="16" t="s">
        <v>112</v>
      </c>
      <c r="D65" s="96" t="s">
        <v>52</v>
      </c>
      <c r="E65" s="81">
        <v>18890</v>
      </c>
      <c r="F65" s="13">
        <f>SUM(E65/100)</f>
        <v>188.9</v>
      </c>
      <c r="G65" s="13">
        <v>212.15</v>
      </c>
      <c r="H65" s="97">
        <f t="shared" si="10"/>
        <v>40.075135000000003</v>
      </c>
      <c r="I65" s="13">
        <f>F65*G65</f>
        <v>40075.135000000002</v>
      </c>
    </row>
    <row r="66" spans="1:22" ht="24.75" hidden="1" customHeight="1">
      <c r="A66" s="29">
        <v>26</v>
      </c>
      <c r="B66" s="96" t="s">
        <v>48</v>
      </c>
      <c r="C66" s="16" t="s">
        <v>113</v>
      </c>
      <c r="D66" s="96"/>
      <c r="E66" s="81">
        <v>18890</v>
      </c>
      <c r="F66" s="13">
        <f>SUM(E66/1000)</f>
        <v>18.89</v>
      </c>
      <c r="G66" s="13">
        <v>165.21</v>
      </c>
      <c r="H66" s="97">
        <f t="shared" si="10"/>
        <v>3.1208169000000003</v>
      </c>
      <c r="I66" s="13">
        <f t="shared" ref="I66:I69" si="11">F66*G66</f>
        <v>3120.8169000000003</v>
      </c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9"/>
    </row>
    <row r="67" spans="1:22" ht="20.25" hidden="1" customHeight="1">
      <c r="A67" s="29">
        <v>27</v>
      </c>
      <c r="B67" s="96" t="s">
        <v>49</v>
      </c>
      <c r="C67" s="16" t="s">
        <v>75</v>
      </c>
      <c r="D67" s="96" t="s">
        <v>52</v>
      </c>
      <c r="E67" s="81">
        <v>3004</v>
      </c>
      <c r="F67" s="13">
        <f>SUM(E67/100)</f>
        <v>30.04</v>
      </c>
      <c r="G67" s="13">
        <v>2074.63</v>
      </c>
      <c r="H67" s="97">
        <f t="shared" si="10"/>
        <v>62.321885200000004</v>
      </c>
      <c r="I67" s="13">
        <f t="shared" si="11"/>
        <v>62321.885200000004</v>
      </c>
      <c r="J67" s="25"/>
      <c r="K67" s="25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2" ht="22.5" hidden="1" customHeight="1">
      <c r="A68" s="29">
        <v>28</v>
      </c>
      <c r="B68" s="98" t="s">
        <v>114</v>
      </c>
      <c r="C68" s="16" t="s">
        <v>33</v>
      </c>
      <c r="D68" s="96"/>
      <c r="E68" s="81">
        <v>15.8</v>
      </c>
      <c r="F68" s="13">
        <f>SUM(E68)</f>
        <v>15.8</v>
      </c>
      <c r="G68" s="13">
        <v>42.67</v>
      </c>
      <c r="H68" s="97">
        <f t="shared" si="10"/>
        <v>0.67418600000000006</v>
      </c>
      <c r="I68" s="13">
        <f t="shared" si="11"/>
        <v>674.18600000000004</v>
      </c>
      <c r="J68" s="3"/>
      <c r="K68" s="3"/>
      <c r="L68" s="3"/>
      <c r="M68" s="3"/>
      <c r="N68" s="3"/>
      <c r="O68" s="3"/>
      <c r="P68" s="3"/>
      <c r="Q68" s="3"/>
      <c r="S68" s="3"/>
      <c r="T68" s="3"/>
      <c r="U68" s="3"/>
    </row>
    <row r="69" spans="1:22" ht="18" hidden="1" customHeight="1">
      <c r="A69" s="29">
        <v>29</v>
      </c>
      <c r="B69" s="98" t="s">
        <v>115</v>
      </c>
      <c r="C69" s="16" t="s">
        <v>33</v>
      </c>
      <c r="D69" s="96"/>
      <c r="E69" s="81">
        <v>15.8</v>
      </c>
      <c r="F69" s="13">
        <f>SUM(E69)</f>
        <v>15.8</v>
      </c>
      <c r="G69" s="13">
        <v>39.81</v>
      </c>
      <c r="H69" s="97">
        <f t="shared" si="10"/>
        <v>0.62899800000000006</v>
      </c>
      <c r="I69" s="13">
        <f t="shared" si="11"/>
        <v>628.99800000000005</v>
      </c>
      <c r="J69" s="5"/>
      <c r="K69" s="5"/>
      <c r="L69" s="5"/>
      <c r="M69" s="5"/>
      <c r="N69" s="5"/>
      <c r="O69" s="5"/>
      <c r="P69" s="5"/>
      <c r="Q69" s="5"/>
      <c r="R69" s="213"/>
      <c r="S69" s="213"/>
      <c r="T69" s="213"/>
      <c r="U69" s="213"/>
    </row>
    <row r="70" spans="1:22" ht="19.5" hidden="1" customHeight="1">
      <c r="A70" s="29">
        <v>13</v>
      </c>
      <c r="B70" s="96" t="s">
        <v>55</v>
      </c>
      <c r="C70" s="16" t="s">
        <v>56</v>
      </c>
      <c r="D70" s="96" t="s">
        <v>52</v>
      </c>
      <c r="E70" s="18">
        <v>15</v>
      </c>
      <c r="F70" s="82">
        <v>15</v>
      </c>
      <c r="G70" s="13">
        <v>49.88</v>
      </c>
      <c r="H70" s="97">
        <f t="shared" si="10"/>
        <v>0.74820000000000009</v>
      </c>
      <c r="I70" s="13">
        <v>0</v>
      </c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2" ht="19.5" hidden="1" customHeight="1">
      <c r="A71" s="78"/>
      <c r="B71" s="73" t="s">
        <v>116</v>
      </c>
      <c r="C71" s="73"/>
      <c r="D71" s="73"/>
      <c r="E71" s="73"/>
      <c r="F71" s="73"/>
      <c r="G71" s="73"/>
      <c r="H71" s="73"/>
      <c r="I71" s="18"/>
    </row>
    <row r="72" spans="1:22" ht="21" hidden="1" customHeight="1">
      <c r="A72" s="29">
        <v>11</v>
      </c>
      <c r="B72" s="90" t="s">
        <v>117</v>
      </c>
      <c r="C72" s="16"/>
      <c r="D72" s="96"/>
      <c r="E72" s="74"/>
      <c r="F72" s="13">
        <v>1</v>
      </c>
      <c r="G72" s="13">
        <v>27865.200000000001</v>
      </c>
      <c r="H72" s="97">
        <f>G72*F72/1000</f>
        <v>27.865200000000002</v>
      </c>
      <c r="I72" s="13">
        <f>G72</f>
        <v>27865.200000000001</v>
      </c>
    </row>
    <row r="73" spans="1:22" ht="21" customHeight="1">
      <c r="A73" s="29"/>
      <c r="B73" s="156" t="s">
        <v>168</v>
      </c>
      <c r="C73" s="38"/>
      <c r="D73" s="37"/>
      <c r="E73" s="17"/>
      <c r="F73" s="112"/>
      <c r="G73" s="36"/>
      <c r="H73" s="97"/>
      <c r="I73" s="13"/>
    </row>
    <row r="74" spans="1:22" ht="30.75" customHeight="1">
      <c r="A74" s="29">
        <v>11</v>
      </c>
      <c r="B74" s="37" t="s">
        <v>169</v>
      </c>
      <c r="C74" s="40" t="s">
        <v>170</v>
      </c>
      <c r="D74" s="37"/>
      <c r="E74" s="17">
        <v>5162.6000000000004</v>
      </c>
      <c r="F74" s="36">
        <f>E74*12</f>
        <v>61951.200000000004</v>
      </c>
      <c r="G74" s="36">
        <v>2.37</v>
      </c>
      <c r="H74" s="97"/>
      <c r="I74" s="13">
        <f>G74*F74/12</f>
        <v>12235.362000000001</v>
      </c>
    </row>
    <row r="75" spans="1:22" ht="15.75" customHeight="1">
      <c r="A75" s="29"/>
      <c r="B75" s="48" t="s">
        <v>70</v>
      </c>
      <c r="C75" s="48"/>
      <c r="D75" s="48"/>
      <c r="E75" s="18"/>
      <c r="F75" s="18"/>
      <c r="G75" s="29"/>
      <c r="H75" s="29"/>
      <c r="I75" s="18"/>
    </row>
    <row r="76" spans="1:22" ht="17.25" hidden="1" customHeight="1">
      <c r="A76" s="29">
        <v>11</v>
      </c>
      <c r="B76" s="96" t="s">
        <v>71</v>
      </c>
      <c r="C76" s="16" t="s">
        <v>73</v>
      </c>
      <c r="D76" s="96"/>
      <c r="E76" s="18">
        <v>10</v>
      </c>
      <c r="F76" s="13">
        <v>1</v>
      </c>
      <c r="G76" s="13">
        <v>501.62</v>
      </c>
      <c r="H76" s="97">
        <f t="shared" ref="H76:H80" si="12">SUM(F76*G76/1000)</f>
        <v>0.50161999999999995</v>
      </c>
      <c r="I76" s="13">
        <f>G76*0.2</f>
        <v>100.32400000000001</v>
      </c>
    </row>
    <row r="77" spans="1:22" ht="21" hidden="1" customHeight="1">
      <c r="A77" s="29"/>
      <c r="B77" s="96" t="s">
        <v>130</v>
      </c>
      <c r="C77" s="16" t="s">
        <v>31</v>
      </c>
      <c r="D77" s="96"/>
      <c r="E77" s="18">
        <v>1</v>
      </c>
      <c r="F77" s="13">
        <v>1</v>
      </c>
      <c r="G77" s="13">
        <v>99.85</v>
      </c>
      <c r="H77" s="97">
        <f>F77*G77/1000</f>
        <v>9.9849999999999994E-2</v>
      </c>
      <c r="I77" s="13">
        <v>0</v>
      </c>
    </row>
    <row r="78" spans="1:22" ht="18.75" hidden="1" customHeight="1">
      <c r="A78" s="29"/>
      <c r="B78" s="96" t="s">
        <v>131</v>
      </c>
      <c r="C78" s="16" t="s">
        <v>31</v>
      </c>
      <c r="D78" s="96"/>
      <c r="E78" s="18">
        <v>1</v>
      </c>
      <c r="F78" s="13">
        <v>1</v>
      </c>
      <c r="G78" s="13">
        <v>120.26</v>
      </c>
      <c r="H78" s="97">
        <f>F78*G78/1000</f>
        <v>0.12026000000000001</v>
      </c>
      <c r="I78" s="13">
        <v>0</v>
      </c>
    </row>
    <row r="79" spans="1:22" ht="22.5" hidden="1" customHeight="1">
      <c r="A79" s="29">
        <v>19</v>
      </c>
      <c r="B79" s="96" t="s">
        <v>72</v>
      </c>
      <c r="C79" s="16" t="s">
        <v>31</v>
      </c>
      <c r="D79" s="96"/>
      <c r="E79" s="18">
        <v>2</v>
      </c>
      <c r="F79" s="94">
        <v>2</v>
      </c>
      <c r="G79" s="13">
        <v>852.99</v>
      </c>
      <c r="H79" s="97">
        <f>F79*G79/1000</f>
        <v>1.7059800000000001</v>
      </c>
      <c r="I79" s="13">
        <f>G79</f>
        <v>852.99</v>
      </c>
    </row>
    <row r="80" spans="1:22" ht="15.75" hidden="1" customHeight="1">
      <c r="A80" s="29">
        <v>10</v>
      </c>
      <c r="B80" s="96" t="s">
        <v>82</v>
      </c>
      <c r="C80" s="16" t="s">
        <v>109</v>
      </c>
      <c r="D80" s="96"/>
      <c r="E80" s="18">
        <v>1</v>
      </c>
      <c r="F80" s="82">
        <f>SUM(E80)</f>
        <v>1</v>
      </c>
      <c r="G80" s="13">
        <v>358.51</v>
      </c>
      <c r="H80" s="97">
        <f t="shared" si="12"/>
        <v>0.35851</v>
      </c>
      <c r="I80" s="13">
        <f>G80</f>
        <v>358.51</v>
      </c>
    </row>
    <row r="81" spans="1:9" ht="29.25" customHeight="1">
      <c r="A81" s="29">
        <v>12</v>
      </c>
      <c r="B81" s="37" t="s">
        <v>171</v>
      </c>
      <c r="C81" s="38" t="s">
        <v>109</v>
      </c>
      <c r="D81" s="37" t="s">
        <v>181</v>
      </c>
      <c r="E81" s="17">
        <v>1</v>
      </c>
      <c r="F81" s="36">
        <f>E81*12</f>
        <v>12</v>
      </c>
      <c r="G81" s="36">
        <v>55.55</v>
      </c>
      <c r="H81" s="97"/>
      <c r="I81" s="13">
        <f>G81*F81/12</f>
        <v>55.54999999999999</v>
      </c>
    </row>
    <row r="82" spans="1:9" ht="15.75" hidden="1" customHeight="1">
      <c r="A82" s="29"/>
      <c r="B82" s="49" t="s">
        <v>74</v>
      </c>
      <c r="C82" s="38"/>
      <c r="D82" s="29"/>
      <c r="E82" s="18"/>
      <c r="F82" s="18"/>
      <c r="G82" s="36"/>
      <c r="H82" s="36"/>
      <c r="I82" s="18"/>
    </row>
    <row r="83" spans="1:9" ht="15.75" hidden="1" customHeight="1">
      <c r="A83" s="29">
        <v>39</v>
      </c>
      <c r="B83" s="51" t="s">
        <v>118</v>
      </c>
      <c r="C83" s="16" t="s">
        <v>75</v>
      </c>
      <c r="D83" s="96"/>
      <c r="E83" s="18"/>
      <c r="F83" s="13">
        <v>1.35</v>
      </c>
      <c r="G83" s="13">
        <v>2759.44</v>
      </c>
      <c r="H83" s="97">
        <f t="shared" ref="H83" si="13">SUM(F83*G83/1000)</f>
        <v>3.725244</v>
      </c>
      <c r="I83" s="13">
        <v>0</v>
      </c>
    </row>
    <row r="84" spans="1:9" ht="15.75" customHeight="1">
      <c r="A84" s="222" t="s">
        <v>136</v>
      </c>
      <c r="B84" s="223"/>
      <c r="C84" s="223"/>
      <c r="D84" s="223"/>
      <c r="E84" s="223"/>
      <c r="F84" s="223"/>
      <c r="G84" s="223"/>
      <c r="H84" s="223"/>
      <c r="I84" s="224"/>
    </row>
    <row r="85" spans="1:9" ht="15.75" customHeight="1">
      <c r="A85" s="29">
        <v>13</v>
      </c>
      <c r="B85" s="32" t="s">
        <v>119</v>
      </c>
      <c r="C85" s="38" t="s">
        <v>53</v>
      </c>
      <c r="D85" s="62"/>
      <c r="E85" s="36">
        <v>5162.6000000000004</v>
      </c>
      <c r="F85" s="36">
        <f>SUM(E85*12)</f>
        <v>61951.200000000004</v>
      </c>
      <c r="G85" s="36">
        <v>3.22</v>
      </c>
      <c r="H85" s="99">
        <f>SUM(F85*G85/1000)</f>
        <v>199.48286400000003</v>
      </c>
      <c r="I85" s="13">
        <f>F85/12*G85</f>
        <v>16623.572000000004</v>
      </c>
    </row>
    <row r="86" spans="1:9" ht="31.5" customHeight="1">
      <c r="A86" s="29">
        <v>14</v>
      </c>
      <c r="B86" s="37" t="s">
        <v>172</v>
      </c>
      <c r="C86" s="109" t="s">
        <v>173</v>
      </c>
      <c r="D86" s="37"/>
      <c r="E86" s="17">
        <v>5162.6000000000004</v>
      </c>
      <c r="F86" s="36">
        <f>E86*12</f>
        <v>61951.200000000004</v>
      </c>
      <c r="G86" s="36">
        <v>3.64</v>
      </c>
      <c r="H86" s="97">
        <f>F86*G86/1000</f>
        <v>225.50236800000002</v>
      </c>
      <c r="I86" s="13">
        <f>F86/12*G86</f>
        <v>18791.864000000001</v>
      </c>
    </row>
    <row r="87" spans="1:9" ht="15.75" customHeight="1">
      <c r="A87" s="78"/>
      <c r="B87" s="39" t="s">
        <v>77</v>
      </c>
      <c r="C87" s="40"/>
      <c r="D87" s="15"/>
      <c r="E87" s="15"/>
      <c r="F87" s="15"/>
      <c r="G87" s="18"/>
      <c r="H87" s="18"/>
      <c r="I87" s="31">
        <f>I86+I85+I81+I74+I63+I61+I31+I30+I21+I20+I18+I17+I16+I53</f>
        <v>98976.032451599996</v>
      </c>
    </row>
    <row r="88" spans="1:9" ht="15.75" customHeight="1">
      <c r="A88" s="225" t="s">
        <v>58</v>
      </c>
      <c r="B88" s="226"/>
      <c r="C88" s="226"/>
      <c r="D88" s="226"/>
      <c r="E88" s="226"/>
      <c r="F88" s="226"/>
      <c r="G88" s="226"/>
      <c r="H88" s="226"/>
      <c r="I88" s="227"/>
    </row>
    <row r="89" spans="1:9" ht="18.75" customHeight="1">
      <c r="A89" s="29">
        <v>15</v>
      </c>
      <c r="B89" s="63" t="s">
        <v>319</v>
      </c>
      <c r="C89" s="100" t="s">
        <v>190</v>
      </c>
      <c r="D89" s="34"/>
      <c r="E89" s="34"/>
      <c r="F89" s="192">
        <v>0.16</v>
      </c>
      <c r="G89" s="192">
        <v>4113.16</v>
      </c>
      <c r="H89" s="99"/>
      <c r="I89" s="13">
        <f>G89*0.16</f>
        <v>658.10559999999998</v>
      </c>
    </row>
    <row r="90" spans="1:9" ht="18" customHeight="1">
      <c r="A90" s="29">
        <v>16</v>
      </c>
      <c r="B90" s="191" t="s">
        <v>320</v>
      </c>
      <c r="C90" s="40" t="s">
        <v>26</v>
      </c>
      <c r="D90" s="34" t="s">
        <v>322</v>
      </c>
      <c r="E90" s="34"/>
      <c r="F90" s="192">
        <v>2</v>
      </c>
      <c r="G90" s="192">
        <v>2604.1999999999998</v>
      </c>
      <c r="H90" s="97"/>
      <c r="I90" s="13">
        <f>G90*2</f>
        <v>5208.3999999999996</v>
      </c>
    </row>
    <row r="91" spans="1:9" ht="21" customHeight="1">
      <c r="A91" s="29">
        <v>17</v>
      </c>
      <c r="B91" s="63" t="s">
        <v>311</v>
      </c>
      <c r="C91" s="64" t="s">
        <v>30</v>
      </c>
      <c r="D91" s="34"/>
      <c r="E91" s="34"/>
      <c r="F91" s="192">
        <f>0.3255+0.016</f>
        <v>0.34150000000000003</v>
      </c>
      <c r="G91" s="192">
        <v>4683.09</v>
      </c>
      <c r="H91" s="97"/>
      <c r="I91" s="13">
        <f>G91*0.016</f>
        <v>74.92944</v>
      </c>
    </row>
    <row r="92" spans="1:9" ht="30.75" customHeight="1">
      <c r="A92" s="29">
        <v>18</v>
      </c>
      <c r="B92" s="63" t="s">
        <v>251</v>
      </c>
      <c r="C92" s="64" t="s">
        <v>109</v>
      </c>
      <c r="D92" s="193" t="s">
        <v>323</v>
      </c>
      <c r="E92" s="34"/>
      <c r="F92" s="192">
        <v>2.5</v>
      </c>
      <c r="G92" s="192">
        <v>983.17</v>
      </c>
      <c r="H92" s="97"/>
      <c r="I92" s="13">
        <f>G92*0.5</f>
        <v>491.58499999999998</v>
      </c>
    </row>
    <row r="93" spans="1:9" ht="20.25" customHeight="1">
      <c r="A93" s="29">
        <v>19</v>
      </c>
      <c r="B93" s="63" t="s">
        <v>252</v>
      </c>
      <c r="C93" s="64" t="s">
        <v>109</v>
      </c>
      <c r="D93" s="34"/>
      <c r="E93" s="34"/>
      <c r="F93" s="192">
        <v>2</v>
      </c>
      <c r="G93" s="192">
        <v>235.04</v>
      </c>
      <c r="H93" s="97"/>
      <c r="I93" s="13">
        <f>G93*1</f>
        <v>235.04</v>
      </c>
    </row>
    <row r="94" spans="1:9" ht="18" customHeight="1">
      <c r="A94" s="29">
        <v>20</v>
      </c>
      <c r="B94" s="63" t="s">
        <v>321</v>
      </c>
      <c r="C94" s="64" t="s">
        <v>109</v>
      </c>
      <c r="D94" s="34"/>
      <c r="E94" s="34"/>
      <c r="F94" s="192">
        <v>2</v>
      </c>
      <c r="G94" s="192">
        <v>228.9</v>
      </c>
      <c r="H94" s="97"/>
      <c r="I94" s="13">
        <f>G94*1</f>
        <v>228.9</v>
      </c>
    </row>
    <row r="95" spans="1:9" ht="18" customHeight="1">
      <c r="A95" s="29">
        <v>21</v>
      </c>
      <c r="B95" s="63" t="s">
        <v>192</v>
      </c>
      <c r="C95" s="64" t="s">
        <v>109</v>
      </c>
      <c r="D95" s="34"/>
      <c r="E95" s="34"/>
      <c r="F95" s="192">
        <v>1</v>
      </c>
      <c r="G95" s="192">
        <v>49</v>
      </c>
      <c r="H95" s="97"/>
      <c r="I95" s="13">
        <f>G95*1</f>
        <v>49</v>
      </c>
    </row>
    <row r="96" spans="1:9" ht="31.5" customHeight="1">
      <c r="A96" s="29">
        <v>22</v>
      </c>
      <c r="B96" s="63" t="s">
        <v>202</v>
      </c>
      <c r="C96" s="64" t="s">
        <v>37</v>
      </c>
      <c r="D96" s="203" t="s">
        <v>187</v>
      </c>
      <c r="E96" s="34"/>
      <c r="F96" s="192">
        <v>0.08</v>
      </c>
      <c r="G96" s="192">
        <v>4233.72</v>
      </c>
      <c r="H96" s="97"/>
      <c r="I96" s="13">
        <v>0</v>
      </c>
    </row>
    <row r="97" spans="1:9" ht="15.75" customHeight="1">
      <c r="A97" s="29"/>
      <c r="B97" s="45" t="s">
        <v>50</v>
      </c>
      <c r="C97" s="41"/>
      <c r="D97" s="53"/>
      <c r="E97" s="41">
        <v>1</v>
      </c>
      <c r="F97" s="41"/>
      <c r="G97" s="41"/>
      <c r="H97" s="41"/>
      <c r="I97" s="31">
        <f>SUM(I89:I95)</f>
        <v>6945.960039999999</v>
      </c>
    </row>
    <row r="98" spans="1:9" ht="15.75" customHeight="1">
      <c r="A98" s="29"/>
      <c r="B98" s="51" t="s">
        <v>76</v>
      </c>
      <c r="C98" s="15"/>
      <c r="D98" s="15"/>
      <c r="E98" s="42"/>
      <c r="F98" s="42"/>
      <c r="G98" s="43"/>
      <c r="H98" s="43"/>
      <c r="I98" s="17">
        <v>0</v>
      </c>
    </row>
    <row r="99" spans="1:9" ht="15.75" customHeight="1">
      <c r="A99" s="54"/>
      <c r="B99" s="46" t="s">
        <v>141</v>
      </c>
      <c r="C99" s="34"/>
      <c r="D99" s="34"/>
      <c r="E99" s="34"/>
      <c r="F99" s="34"/>
      <c r="G99" s="34"/>
      <c r="H99" s="34"/>
      <c r="I99" s="44">
        <f>I87+I97</f>
        <v>105921.9924916</v>
      </c>
    </row>
    <row r="100" spans="1:9" ht="15.75">
      <c r="A100" s="219" t="s">
        <v>324</v>
      </c>
      <c r="B100" s="219"/>
      <c r="C100" s="219"/>
      <c r="D100" s="219"/>
      <c r="E100" s="219"/>
      <c r="F100" s="219"/>
      <c r="G100" s="219"/>
      <c r="H100" s="219"/>
      <c r="I100" s="219"/>
    </row>
    <row r="101" spans="1:9" ht="15.75">
      <c r="A101" s="60"/>
      <c r="B101" s="220" t="s">
        <v>325</v>
      </c>
      <c r="C101" s="220"/>
      <c r="D101" s="220"/>
      <c r="E101" s="220"/>
      <c r="F101" s="220"/>
      <c r="G101" s="220"/>
      <c r="H101" s="77"/>
      <c r="I101" s="3"/>
    </row>
    <row r="102" spans="1:9">
      <c r="A102" s="71"/>
      <c r="B102" s="218" t="s">
        <v>6</v>
      </c>
      <c r="C102" s="218"/>
      <c r="D102" s="218"/>
      <c r="E102" s="218"/>
      <c r="F102" s="218"/>
      <c r="G102" s="218"/>
      <c r="H102" s="24"/>
      <c r="I102" s="5"/>
    </row>
    <row r="103" spans="1:9">
      <c r="A103" s="10"/>
      <c r="B103" s="10"/>
      <c r="C103" s="10"/>
      <c r="D103" s="10"/>
      <c r="E103" s="10"/>
      <c r="F103" s="10"/>
      <c r="G103" s="10"/>
      <c r="H103" s="10"/>
      <c r="I103" s="10"/>
    </row>
    <row r="104" spans="1:9" ht="15.75">
      <c r="A104" s="221" t="s">
        <v>7</v>
      </c>
      <c r="B104" s="221"/>
      <c r="C104" s="221"/>
      <c r="D104" s="221"/>
      <c r="E104" s="221"/>
      <c r="F104" s="221"/>
      <c r="G104" s="221"/>
      <c r="H104" s="221"/>
      <c r="I104" s="221"/>
    </row>
    <row r="105" spans="1:9" ht="15.75">
      <c r="A105" s="221" t="s">
        <v>8</v>
      </c>
      <c r="B105" s="221"/>
      <c r="C105" s="221"/>
      <c r="D105" s="221"/>
      <c r="E105" s="221"/>
      <c r="F105" s="221"/>
      <c r="G105" s="221"/>
      <c r="H105" s="221"/>
      <c r="I105" s="221"/>
    </row>
    <row r="106" spans="1:9" ht="15.75">
      <c r="A106" s="215" t="s">
        <v>59</v>
      </c>
      <c r="B106" s="215"/>
      <c r="C106" s="215"/>
      <c r="D106" s="215"/>
      <c r="E106" s="215"/>
      <c r="F106" s="215"/>
      <c r="G106" s="215"/>
      <c r="H106" s="215"/>
      <c r="I106" s="215"/>
    </row>
    <row r="107" spans="1:9" ht="15.75">
      <c r="A107" s="11"/>
    </row>
    <row r="108" spans="1:9" ht="15.75">
      <c r="A108" s="216" t="s">
        <v>9</v>
      </c>
      <c r="B108" s="216"/>
      <c r="C108" s="216"/>
      <c r="D108" s="216"/>
      <c r="E108" s="216"/>
      <c r="F108" s="216"/>
      <c r="G108" s="216"/>
      <c r="H108" s="216"/>
      <c r="I108" s="216"/>
    </row>
    <row r="109" spans="1:9" ht="15.75">
      <c r="A109" s="4"/>
    </row>
    <row r="110" spans="1:9" ht="15.75">
      <c r="B110" s="69" t="s">
        <v>10</v>
      </c>
      <c r="C110" s="217" t="s">
        <v>219</v>
      </c>
      <c r="D110" s="217"/>
      <c r="E110" s="217"/>
      <c r="F110" s="75"/>
      <c r="I110" s="70"/>
    </row>
    <row r="111" spans="1:9">
      <c r="A111" s="71"/>
      <c r="C111" s="218" t="s">
        <v>11</v>
      </c>
      <c r="D111" s="218"/>
      <c r="E111" s="218"/>
      <c r="F111" s="24"/>
      <c r="I111" s="68" t="s">
        <v>12</v>
      </c>
    </row>
    <row r="112" spans="1:9" ht="15.75">
      <c r="A112" s="25"/>
      <c r="C112" s="12"/>
      <c r="D112" s="12"/>
      <c r="G112" s="12"/>
      <c r="H112" s="12"/>
    </row>
    <row r="113" spans="1:9" ht="15.75">
      <c r="B113" s="69" t="s">
        <v>13</v>
      </c>
      <c r="C113" s="212"/>
      <c r="D113" s="212"/>
      <c r="E113" s="212"/>
      <c r="F113" s="76"/>
      <c r="I113" s="70"/>
    </row>
    <row r="114" spans="1:9">
      <c r="A114" s="71"/>
      <c r="C114" s="213" t="s">
        <v>11</v>
      </c>
      <c r="D114" s="213"/>
      <c r="E114" s="213"/>
      <c r="F114" s="71"/>
      <c r="I114" s="68" t="s">
        <v>12</v>
      </c>
    </row>
    <row r="115" spans="1:9" ht="15.75">
      <c r="A115" s="4" t="s">
        <v>14</v>
      </c>
    </row>
    <row r="116" spans="1:9">
      <c r="A116" s="214" t="s">
        <v>15</v>
      </c>
      <c r="B116" s="214"/>
      <c r="C116" s="214"/>
      <c r="D116" s="214"/>
      <c r="E116" s="214"/>
      <c r="F116" s="214"/>
      <c r="G116" s="214"/>
      <c r="H116" s="214"/>
      <c r="I116" s="214"/>
    </row>
    <row r="117" spans="1:9" ht="45" customHeight="1">
      <c r="A117" s="211" t="s">
        <v>16</v>
      </c>
      <c r="B117" s="211"/>
      <c r="C117" s="211"/>
      <c r="D117" s="211"/>
      <c r="E117" s="211"/>
      <c r="F117" s="211"/>
      <c r="G117" s="211"/>
      <c r="H117" s="211"/>
      <c r="I117" s="211"/>
    </row>
    <row r="118" spans="1:9" ht="30" customHeight="1">
      <c r="A118" s="211" t="s">
        <v>17</v>
      </c>
      <c r="B118" s="211"/>
      <c r="C118" s="211"/>
      <c r="D118" s="211"/>
      <c r="E118" s="211"/>
      <c r="F118" s="211"/>
      <c r="G118" s="211"/>
      <c r="H118" s="211"/>
      <c r="I118" s="211"/>
    </row>
    <row r="119" spans="1:9" ht="30" customHeight="1">
      <c r="A119" s="211" t="s">
        <v>21</v>
      </c>
      <c r="B119" s="211"/>
      <c r="C119" s="211"/>
      <c r="D119" s="211"/>
      <c r="E119" s="211"/>
      <c r="F119" s="211"/>
      <c r="G119" s="211"/>
      <c r="H119" s="211"/>
      <c r="I119" s="211"/>
    </row>
    <row r="120" spans="1:9" ht="15" customHeight="1">
      <c r="A120" s="211" t="s">
        <v>20</v>
      </c>
      <c r="B120" s="211"/>
      <c r="C120" s="211"/>
      <c r="D120" s="211"/>
      <c r="E120" s="211"/>
      <c r="F120" s="211"/>
      <c r="G120" s="211"/>
      <c r="H120" s="211"/>
      <c r="I120" s="211"/>
    </row>
  </sheetData>
  <autoFilter ref="I12:I64"/>
  <mergeCells count="29">
    <mergeCell ref="A14:I14"/>
    <mergeCell ref="A15:I15"/>
    <mergeCell ref="A28:I28"/>
    <mergeCell ref="A44:I44"/>
    <mergeCell ref="A54:I54"/>
    <mergeCell ref="A3:I3"/>
    <mergeCell ref="A4:I4"/>
    <mergeCell ref="A5:I5"/>
    <mergeCell ref="A8:I8"/>
    <mergeCell ref="A10:I10"/>
    <mergeCell ref="R69:U69"/>
    <mergeCell ref="C114:E114"/>
    <mergeCell ref="A88:I88"/>
    <mergeCell ref="A100:I100"/>
    <mergeCell ref="B101:G101"/>
    <mergeCell ref="B102:G102"/>
    <mergeCell ref="A104:I104"/>
    <mergeCell ref="A105:I105"/>
    <mergeCell ref="A106:I106"/>
    <mergeCell ref="A108:I108"/>
    <mergeCell ref="C110:E110"/>
    <mergeCell ref="C111:E111"/>
    <mergeCell ref="C113:E113"/>
    <mergeCell ref="A84:I84"/>
    <mergeCell ref="A116:I116"/>
    <mergeCell ref="A117:I117"/>
    <mergeCell ref="A118:I118"/>
    <mergeCell ref="A119:I119"/>
    <mergeCell ref="A120:I120"/>
  </mergeCells>
  <pageMargins left="0.70866141732283472" right="0.23622047244094491" top="0.27559055118110237" bottom="0.27559055118110237" header="0.31496062992125984" footer="0.31496062992125984"/>
  <pageSetup paperSize="9" scale="63" orientation="portrait" r:id="rId1"/>
  <rowBreaks count="1" manualBreakCount="1">
    <brk id="114" max="8" man="1"/>
  </rowBreaks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19"/>
  <sheetViews>
    <sheetView topLeftCell="A79" zoomScaleNormal="100" workbookViewId="0">
      <selection activeCell="I101" sqref="I101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4.42578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158</v>
      </c>
      <c r="I1" s="26"/>
      <c r="J1" s="1"/>
      <c r="K1" s="1"/>
      <c r="L1" s="1"/>
      <c r="M1" s="1"/>
    </row>
    <row r="2" spans="1:13" ht="15.75" customHeight="1">
      <c r="A2" s="28" t="s">
        <v>60</v>
      </c>
      <c r="J2" s="2"/>
      <c r="K2" s="2"/>
      <c r="L2" s="2"/>
      <c r="M2" s="2"/>
    </row>
    <row r="3" spans="1:13" ht="15.75" customHeight="1">
      <c r="A3" s="228" t="s">
        <v>154</v>
      </c>
      <c r="B3" s="228"/>
      <c r="C3" s="228"/>
      <c r="D3" s="228"/>
      <c r="E3" s="228"/>
      <c r="F3" s="228"/>
      <c r="G3" s="228"/>
      <c r="H3" s="228"/>
      <c r="I3" s="228"/>
      <c r="J3" s="3"/>
      <c r="K3" s="3"/>
      <c r="L3" s="3"/>
    </row>
    <row r="4" spans="1:13" ht="31.5" customHeight="1">
      <c r="A4" s="229" t="s">
        <v>120</v>
      </c>
      <c r="B4" s="229"/>
      <c r="C4" s="229"/>
      <c r="D4" s="229"/>
      <c r="E4" s="229"/>
      <c r="F4" s="229"/>
      <c r="G4" s="229"/>
      <c r="H4" s="229"/>
      <c r="I4" s="229"/>
    </row>
    <row r="5" spans="1:13" ht="15.75" customHeight="1">
      <c r="A5" s="228" t="s">
        <v>326</v>
      </c>
      <c r="B5" s="232"/>
      <c r="C5" s="232"/>
      <c r="D5" s="232"/>
      <c r="E5" s="232"/>
      <c r="F5" s="232"/>
      <c r="G5" s="232"/>
      <c r="H5" s="232"/>
      <c r="I5" s="232"/>
      <c r="J5" s="2"/>
      <c r="K5" s="2"/>
      <c r="L5" s="2"/>
      <c r="M5" s="2"/>
    </row>
    <row r="6" spans="1:13" ht="15.75" customHeight="1">
      <c r="A6" s="2"/>
      <c r="B6" s="72"/>
      <c r="C6" s="72"/>
      <c r="D6" s="72"/>
      <c r="E6" s="72"/>
      <c r="F6" s="72"/>
      <c r="G6" s="72"/>
      <c r="H6" s="72"/>
      <c r="I6" s="30">
        <v>44469</v>
      </c>
      <c r="J6" s="2"/>
      <c r="K6" s="2"/>
      <c r="L6" s="2"/>
      <c r="M6" s="2"/>
    </row>
    <row r="7" spans="1:13" ht="15.75" customHeight="1">
      <c r="B7" s="69"/>
      <c r="C7" s="69"/>
      <c r="D7" s="69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30" t="s">
        <v>215</v>
      </c>
      <c r="B8" s="230"/>
      <c r="C8" s="230"/>
      <c r="D8" s="230"/>
      <c r="E8" s="230"/>
      <c r="F8" s="230"/>
      <c r="G8" s="230"/>
      <c r="H8" s="230"/>
      <c r="I8" s="230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31" t="s">
        <v>133</v>
      </c>
      <c r="B10" s="231"/>
      <c r="C10" s="231"/>
      <c r="D10" s="231"/>
      <c r="E10" s="231"/>
      <c r="F10" s="231"/>
      <c r="G10" s="231"/>
      <c r="H10" s="231"/>
      <c r="I10" s="231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33" t="s">
        <v>57</v>
      </c>
      <c r="B14" s="233"/>
      <c r="C14" s="233"/>
      <c r="D14" s="233"/>
      <c r="E14" s="233"/>
      <c r="F14" s="233"/>
      <c r="G14" s="233"/>
      <c r="H14" s="233"/>
      <c r="I14" s="233"/>
      <c r="J14" s="8"/>
      <c r="K14" s="8"/>
      <c r="L14" s="8"/>
      <c r="M14" s="8"/>
    </row>
    <row r="15" spans="1:13" ht="15.75" customHeight="1">
      <c r="A15" s="234" t="s">
        <v>4</v>
      </c>
      <c r="B15" s="234"/>
      <c r="C15" s="234"/>
      <c r="D15" s="234"/>
      <c r="E15" s="234"/>
      <c r="F15" s="234"/>
      <c r="G15" s="234"/>
      <c r="H15" s="234"/>
      <c r="I15" s="234"/>
      <c r="J15" s="8"/>
      <c r="K15" s="8"/>
      <c r="L15" s="8"/>
      <c r="M15" s="8"/>
    </row>
    <row r="16" spans="1:13" ht="15.75" customHeight="1">
      <c r="A16" s="29">
        <v>1</v>
      </c>
      <c r="B16" s="32" t="s">
        <v>81</v>
      </c>
      <c r="C16" s="133" t="s">
        <v>87</v>
      </c>
      <c r="D16" s="32" t="s">
        <v>178</v>
      </c>
      <c r="E16" s="146">
        <v>129.88</v>
      </c>
      <c r="F16" s="134">
        <f>SUM(E16*156/100)</f>
        <v>202.61279999999999</v>
      </c>
      <c r="G16" s="134">
        <v>239.2</v>
      </c>
      <c r="H16" s="83">
        <f t="shared" ref="H16:H26" si="0">SUM(F16*G16/1000)</f>
        <v>48.464981759999993</v>
      </c>
      <c r="I16" s="13">
        <f>F16/12*G16</f>
        <v>4038.7484799999997</v>
      </c>
      <c r="J16" s="8"/>
      <c r="K16" s="8"/>
      <c r="L16" s="8"/>
      <c r="M16" s="8"/>
    </row>
    <row r="17" spans="1:13" ht="15.75" customHeight="1">
      <c r="A17" s="29">
        <v>2</v>
      </c>
      <c r="B17" s="32" t="s">
        <v>83</v>
      </c>
      <c r="C17" s="133" t="s">
        <v>87</v>
      </c>
      <c r="D17" s="32" t="s">
        <v>179</v>
      </c>
      <c r="E17" s="146">
        <v>519.52</v>
      </c>
      <c r="F17" s="134">
        <f>SUM(E17*104/100)</f>
        <v>540.30079999999998</v>
      </c>
      <c r="G17" s="134">
        <v>239.2</v>
      </c>
      <c r="H17" s="83">
        <f t="shared" si="0"/>
        <v>129.23995135999999</v>
      </c>
      <c r="I17" s="13">
        <f>F17/12*G17</f>
        <v>10769.995946666666</v>
      </c>
      <c r="J17" s="22"/>
      <c r="K17" s="8"/>
      <c r="L17" s="8"/>
      <c r="M17" s="8"/>
    </row>
    <row r="18" spans="1:13" ht="15.75" customHeight="1">
      <c r="A18" s="29">
        <v>3</v>
      </c>
      <c r="B18" s="32" t="s">
        <v>84</v>
      </c>
      <c r="C18" s="133" t="s">
        <v>87</v>
      </c>
      <c r="D18" s="32" t="s">
        <v>180</v>
      </c>
      <c r="E18" s="146">
        <f>SUM(E16+E17)</f>
        <v>649.4</v>
      </c>
      <c r="F18" s="134">
        <f>SUM(E18*18/100)</f>
        <v>116.892</v>
      </c>
      <c r="G18" s="134">
        <v>688.14</v>
      </c>
      <c r="H18" s="83">
        <f t="shared" si="0"/>
        <v>80.438060879999995</v>
      </c>
      <c r="I18" s="13">
        <f>F18/18*2*G18</f>
        <v>8937.5623199999991</v>
      </c>
      <c r="J18" s="22"/>
      <c r="K18" s="8"/>
      <c r="L18" s="8"/>
      <c r="M18" s="8"/>
    </row>
    <row r="19" spans="1:13" ht="25.5" hidden="1" customHeight="1">
      <c r="A19" s="29">
        <v>4</v>
      </c>
      <c r="B19" s="79" t="s">
        <v>88</v>
      </c>
      <c r="C19" s="80" t="s">
        <v>89</v>
      </c>
      <c r="D19" s="79" t="s">
        <v>90</v>
      </c>
      <c r="E19" s="81">
        <v>124.8</v>
      </c>
      <c r="F19" s="82">
        <f>SUM(E19/10)</f>
        <v>12.48</v>
      </c>
      <c r="G19" s="82">
        <v>170.16</v>
      </c>
      <c r="H19" s="83">
        <f t="shared" si="0"/>
        <v>2.1235967999999996</v>
      </c>
      <c r="I19" s="13">
        <f>F19/2*G19</f>
        <v>1061.7983999999999</v>
      </c>
      <c r="J19" s="22"/>
      <c r="K19" s="8"/>
      <c r="L19" s="8"/>
      <c r="M19" s="8"/>
    </row>
    <row r="20" spans="1:13" ht="15" customHeight="1">
      <c r="A20" s="29">
        <v>4</v>
      </c>
      <c r="B20" s="32" t="s">
        <v>93</v>
      </c>
      <c r="C20" s="133" t="s">
        <v>87</v>
      </c>
      <c r="D20" s="32" t="s">
        <v>187</v>
      </c>
      <c r="E20" s="146">
        <v>57.5</v>
      </c>
      <c r="F20" s="134">
        <f>SUM(E20*12/100)</f>
        <v>6.9</v>
      </c>
      <c r="G20" s="134">
        <v>297.19</v>
      </c>
      <c r="H20" s="83">
        <f t="shared" si="0"/>
        <v>2.050611</v>
      </c>
      <c r="I20" s="13">
        <f>F20*G20/12</f>
        <v>170.88424999999998</v>
      </c>
      <c r="J20" s="22"/>
      <c r="K20" s="8"/>
      <c r="L20" s="8"/>
      <c r="M20" s="8"/>
    </row>
    <row r="21" spans="1:13" ht="16.5" customHeight="1">
      <c r="A21" s="29">
        <v>5</v>
      </c>
      <c r="B21" s="32" t="s">
        <v>94</v>
      </c>
      <c r="C21" s="133" t="s">
        <v>87</v>
      </c>
      <c r="D21" s="32" t="s">
        <v>187</v>
      </c>
      <c r="E21" s="146">
        <v>13.41</v>
      </c>
      <c r="F21" s="134">
        <f>SUM(E21*12/100)</f>
        <v>1.6092000000000002</v>
      </c>
      <c r="G21" s="134">
        <v>294.77999999999997</v>
      </c>
      <c r="H21" s="83">
        <f t="shared" si="0"/>
        <v>0.47435997600000002</v>
      </c>
      <c r="I21" s="13">
        <f>F21*G21/12</f>
        <v>39.529997999999999</v>
      </c>
      <c r="J21" s="22"/>
      <c r="K21" s="8"/>
      <c r="L21" s="8"/>
      <c r="M21" s="8"/>
    </row>
    <row r="22" spans="1:13" ht="25.5" hidden="1" customHeight="1">
      <c r="A22" s="29">
        <v>7</v>
      </c>
      <c r="B22" s="79" t="s">
        <v>95</v>
      </c>
      <c r="C22" s="80" t="s">
        <v>51</v>
      </c>
      <c r="D22" s="79" t="s">
        <v>90</v>
      </c>
      <c r="E22" s="81">
        <v>820.5</v>
      </c>
      <c r="F22" s="82">
        <f>SUM(E22/100)</f>
        <v>8.2050000000000001</v>
      </c>
      <c r="G22" s="82">
        <v>269.26</v>
      </c>
      <c r="H22" s="83">
        <f t="shared" si="0"/>
        <v>2.2092782999999998</v>
      </c>
      <c r="I22" s="13">
        <f t="shared" ref="I22:I26" si="1">F22*G22</f>
        <v>2209.2782999999999</v>
      </c>
      <c r="J22" s="22"/>
      <c r="K22" s="8"/>
      <c r="L22" s="8"/>
      <c r="M22" s="8"/>
    </row>
    <row r="23" spans="1:13" ht="21.75" hidden="1" customHeight="1">
      <c r="A23" s="29">
        <v>8</v>
      </c>
      <c r="B23" s="79" t="s">
        <v>96</v>
      </c>
      <c r="C23" s="80" t="s">
        <v>51</v>
      </c>
      <c r="D23" s="79" t="s">
        <v>90</v>
      </c>
      <c r="E23" s="84">
        <v>60.25</v>
      </c>
      <c r="F23" s="82">
        <f>SUM(E23/100)</f>
        <v>0.60250000000000004</v>
      </c>
      <c r="G23" s="82">
        <v>44.29</v>
      </c>
      <c r="H23" s="83">
        <f t="shared" si="0"/>
        <v>2.6684724999999999E-2</v>
      </c>
      <c r="I23" s="13">
        <f t="shared" si="1"/>
        <v>26.684725</v>
      </c>
      <c r="J23" s="22"/>
      <c r="K23" s="8"/>
      <c r="L23" s="8"/>
      <c r="M23" s="8"/>
    </row>
    <row r="24" spans="1:13" ht="27" hidden="1" customHeight="1">
      <c r="A24" s="29">
        <v>9</v>
      </c>
      <c r="B24" s="79" t="s">
        <v>91</v>
      </c>
      <c r="C24" s="80" t="s">
        <v>51</v>
      </c>
      <c r="D24" s="79" t="s">
        <v>92</v>
      </c>
      <c r="E24" s="81">
        <v>19.149999999999999</v>
      </c>
      <c r="F24" s="82">
        <f>E24/100</f>
        <v>0.19149999999999998</v>
      </c>
      <c r="G24" s="82">
        <v>389.72</v>
      </c>
      <c r="H24" s="83">
        <f t="shared" si="0"/>
        <v>7.4631379999999997E-2</v>
      </c>
      <c r="I24" s="13">
        <f t="shared" si="1"/>
        <v>74.631379999999993</v>
      </c>
      <c r="J24" s="22"/>
      <c r="K24" s="8"/>
      <c r="L24" s="8"/>
      <c r="M24" s="8"/>
    </row>
    <row r="25" spans="1:13" ht="27" hidden="1" customHeight="1">
      <c r="A25" s="29">
        <v>10</v>
      </c>
      <c r="B25" s="79" t="s">
        <v>98</v>
      </c>
      <c r="C25" s="80" t="s">
        <v>51</v>
      </c>
      <c r="D25" s="79" t="s">
        <v>52</v>
      </c>
      <c r="E25" s="81">
        <v>31.5</v>
      </c>
      <c r="F25" s="82">
        <v>0.32</v>
      </c>
      <c r="G25" s="82">
        <v>216.12</v>
      </c>
      <c r="H25" s="83">
        <f t="shared" si="0"/>
        <v>6.9158399999999995E-2</v>
      </c>
      <c r="I25" s="13">
        <f t="shared" si="1"/>
        <v>69.1584</v>
      </c>
      <c r="J25" s="22"/>
      <c r="K25" s="8"/>
      <c r="L25" s="8"/>
      <c r="M25" s="8"/>
    </row>
    <row r="26" spans="1:13" ht="21.75" hidden="1" customHeight="1">
      <c r="A26" s="29">
        <v>11</v>
      </c>
      <c r="B26" s="79" t="s">
        <v>97</v>
      </c>
      <c r="C26" s="80" t="s">
        <v>51</v>
      </c>
      <c r="D26" s="79" t="s">
        <v>90</v>
      </c>
      <c r="E26" s="81">
        <v>37.5</v>
      </c>
      <c r="F26" s="82">
        <f>SUM(E26/100)</f>
        <v>0.375</v>
      </c>
      <c r="G26" s="82">
        <v>520.79999999999995</v>
      </c>
      <c r="H26" s="83">
        <f t="shared" si="0"/>
        <v>0.19529999999999997</v>
      </c>
      <c r="I26" s="13">
        <f t="shared" si="1"/>
        <v>195.29999999999998</v>
      </c>
      <c r="J26" s="22"/>
      <c r="K26" s="8"/>
      <c r="L26" s="8"/>
      <c r="M26" s="8"/>
    </row>
    <row r="27" spans="1:13" ht="15.75" hidden="1" customHeight="1">
      <c r="A27" s="29">
        <v>6</v>
      </c>
      <c r="B27" s="32" t="s">
        <v>177</v>
      </c>
      <c r="C27" s="133" t="s">
        <v>26</v>
      </c>
      <c r="D27" s="32" t="s">
        <v>182</v>
      </c>
      <c r="E27" s="169">
        <v>4.88</v>
      </c>
      <c r="F27" s="134">
        <f>E27*258</f>
        <v>1259.04</v>
      </c>
      <c r="G27" s="134">
        <v>10.39</v>
      </c>
      <c r="H27" s="83">
        <f t="shared" ref="H27" si="2">SUM(F27*G27/1000)</f>
        <v>13.081425600000001</v>
      </c>
      <c r="I27" s="13">
        <f>F27/12*G27</f>
        <v>1090.1188</v>
      </c>
      <c r="J27" s="22"/>
      <c r="K27" s="8"/>
      <c r="L27" s="8"/>
      <c r="M27" s="8"/>
    </row>
    <row r="28" spans="1:13" ht="15.75" customHeight="1">
      <c r="A28" s="234" t="s">
        <v>80</v>
      </c>
      <c r="B28" s="234"/>
      <c r="C28" s="234"/>
      <c r="D28" s="234"/>
      <c r="E28" s="234"/>
      <c r="F28" s="234"/>
      <c r="G28" s="234"/>
      <c r="H28" s="234"/>
      <c r="I28" s="234"/>
      <c r="J28" s="22"/>
      <c r="K28" s="8"/>
      <c r="L28" s="8"/>
      <c r="M28" s="8"/>
    </row>
    <row r="29" spans="1:13" ht="15.75" customHeight="1">
      <c r="A29" s="40"/>
      <c r="B29" s="50" t="s">
        <v>29</v>
      </c>
      <c r="C29" s="50"/>
      <c r="D29" s="50"/>
      <c r="E29" s="50"/>
      <c r="F29" s="50"/>
      <c r="G29" s="50"/>
      <c r="H29" s="50"/>
      <c r="I29" s="18"/>
      <c r="J29" s="22"/>
      <c r="K29" s="8"/>
      <c r="L29" s="8"/>
      <c r="M29" s="8"/>
    </row>
    <row r="30" spans="1:13" ht="15.75" customHeight="1">
      <c r="A30" s="40">
        <v>6</v>
      </c>
      <c r="B30" s="32" t="s">
        <v>99</v>
      </c>
      <c r="C30" s="133" t="s">
        <v>100</v>
      </c>
      <c r="D30" s="32" t="s">
        <v>179</v>
      </c>
      <c r="E30" s="134">
        <v>1304.45</v>
      </c>
      <c r="F30" s="134">
        <f>SUM(E30*52/1000)</f>
        <v>67.831400000000002</v>
      </c>
      <c r="G30" s="134">
        <v>212.62</v>
      </c>
      <c r="H30" s="83">
        <f t="shared" ref="H30:H31" si="3">SUM(F30*G30/1000)</f>
        <v>14.422312268000001</v>
      </c>
      <c r="I30" s="13">
        <f>F30/6*G30</f>
        <v>2403.7187113333334</v>
      </c>
      <c r="J30" s="22"/>
      <c r="K30" s="8"/>
      <c r="L30" s="8"/>
      <c r="M30" s="8"/>
    </row>
    <row r="31" spans="1:13" ht="31.5" customHeight="1">
      <c r="A31" s="40">
        <v>7</v>
      </c>
      <c r="B31" s="32" t="s">
        <v>137</v>
      </c>
      <c r="C31" s="133" t="s">
        <v>100</v>
      </c>
      <c r="D31" s="32" t="s">
        <v>179</v>
      </c>
      <c r="E31" s="134">
        <v>287.83999999999997</v>
      </c>
      <c r="F31" s="134">
        <f>SUM(E31*52/1000)</f>
        <v>14.967679999999998</v>
      </c>
      <c r="G31" s="134">
        <v>352.77</v>
      </c>
      <c r="H31" s="83">
        <f t="shared" si="3"/>
        <v>5.2801484735999997</v>
      </c>
      <c r="I31" s="13">
        <f t="shared" ref="I31" si="4">F31/6*G31</f>
        <v>880.02474559999985</v>
      </c>
      <c r="J31" s="22"/>
      <c r="K31" s="8"/>
      <c r="L31" s="8"/>
      <c r="M31" s="8"/>
    </row>
    <row r="32" spans="1:13" ht="15.75" hidden="1" customHeight="1">
      <c r="A32" s="40">
        <v>16</v>
      </c>
      <c r="B32" s="79" t="s">
        <v>28</v>
      </c>
      <c r="C32" s="80" t="s">
        <v>100</v>
      </c>
      <c r="D32" s="79" t="s">
        <v>52</v>
      </c>
      <c r="E32" s="82">
        <v>1304.45</v>
      </c>
      <c r="F32" s="82">
        <f>SUM(E32/1000)</f>
        <v>1.3044500000000001</v>
      </c>
      <c r="G32" s="82">
        <v>3020.33</v>
      </c>
      <c r="H32" s="83">
        <f t="shared" ref="H32:H34" si="5">SUM(F32*G32/1000)</f>
        <v>3.9398694685</v>
      </c>
      <c r="I32" s="13">
        <f>F32*G32</f>
        <v>3939.8694685</v>
      </c>
      <c r="J32" s="22"/>
      <c r="K32" s="8"/>
      <c r="L32" s="8"/>
      <c r="M32" s="8"/>
    </row>
    <row r="33" spans="1:14" ht="15.75" hidden="1" customHeight="1">
      <c r="A33" s="40">
        <v>4</v>
      </c>
      <c r="B33" s="79" t="s">
        <v>63</v>
      </c>
      <c r="C33" s="80" t="s">
        <v>33</v>
      </c>
      <c r="D33" s="79" t="s">
        <v>65</v>
      </c>
      <c r="E33" s="81"/>
      <c r="F33" s="82">
        <v>3</v>
      </c>
      <c r="G33" s="82">
        <v>191.32</v>
      </c>
      <c r="H33" s="83">
        <f t="shared" si="5"/>
        <v>0.57396000000000003</v>
      </c>
      <c r="I33" s="13">
        <v>0</v>
      </c>
      <c r="J33" s="23"/>
    </row>
    <row r="34" spans="1:14" ht="15.75" hidden="1" customHeight="1">
      <c r="A34" s="29">
        <v>8</v>
      </c>
      <c r="B34" s="79" t="s">
        <v>64</v>
      </c>
      <c r="C34" s="80" t="s">
        <v>32</v>
      </c>
      <c r="D34" s="79" t="s">
        <v>65</v>
      </c>
      <c r="E34" s="81"/>
      <c r="F34" s="82">
        <v>2</v>
      </c>
      <c r="G34" s="82">
        <v>1136.32</v>
      </c>
      <c r="H34" s="83">
        <f t="shared" si="5"/>
        <v>2.27264</v>
      </c>
      <c r="I34" s="13">
        <v>0</v>
      </c>
      <c r="J34" s="23"/>
    </row>
    <row r="35" spans="1:14" ht="15.75" hidden="1" customHeight="1">
      <c r="A35" s="40"/>
      <c r="B35" s="48" t="s">
        <v>5</v>
      </c>
      <c r="C35" s="48"/>
      <c r="D35" s="48"/>
      <c r="E35" s="13"/>
      <c r="F35" s="13"/>
      <c r="G35" s="14"/>
      <c r="H35" s="14"/>
      <c r="I35" s="18"/>
      <c r="J35" s="23"/>
    </row>
    <row r="36" spans="1:14" ht="15.75" hidden="1" customHeight="1">
      <c r="A36" s="33">
        <v>6</v>
      </c>
      <c r="B36" s="79" t="s">
        <v>27</v>
      </c>
      <c r="C36" s="80" t="s">
        <v>32</v>
      </c>
      <c r="D36" s="79"/>
      <c r="E36" s="81"/>
      <c r="F36" s="82">
        <v>10</v>
      </c>
      <c r="G36" s="82">
        <v>1527.22</v>
      </c>
      <c r="H36" s="83">
        <f t="shared" ref="H36:H43" si="6">SUM(F36*G36/1000)</f>
        <v>15.272200000000002</v>
      </c>
      <c r="I36" s="13">
        <f>F36/6*G36</f>
        <v>2545.3666666666668</v>
      </c>
      <c r="J36" s="23"/>
    </row>
    <row r="37" spans="1:14" ht="15.75" hidden="1" customHeight="1">
      <c r="A37" s="33">
        <v>7</v>
      </c>
      <c r="B37" s="79" t="s">
        <v>121</v>
      </c>
      <c r="C37" s="80" t="s">
        <v>30</v>
      </c>
      <c r="D37" s="79" t="s">
        <v>122</v>
      </c>
      <c r="E37" s="82">
        <v>495</v>
      </c>
      <c r="F37" s="82">
        <f>SUM(E37*12/1000)</f>
        <v>5.94</v>
      </c>
      <c r="G37" s="82">
        <v>2102.71</v>
      </c>
      <c r="H37" s="83">
        <f t="shared" si="6"/>
        <v>12.4900974</v>
      </c>
      <c r="I37" s="13">
        <f>F37/6*G37</f>
        <v>2081.6829000000002</v>
      </c>
      <c r="J37" s="23"/>
    </row>
    <row r="38" spans="1:14" ht="15.75" hidden="1" customHeight="1">
      <c r="A38" s="33">
        <v>8</v>
      </c>
      <c r="B38" s="79" t="s">
        <v>123</v>
      </c>
      <c r="C38" s="80" t="s">
        <v>30</v>
      </c>
      <c r="D38" s="79" t="s">
        <v>104</v>
      </c>
      <c r="E38" s="81">
        <v>287.83999999999997</v>
      </c>
      <c r="F38" s="82">
        <v>8.64</v>
      </c>
      <c r="G38" s="82">
        <v>2102.71</v>
      </c>
      <c r="H38" s="83">
        <f>G38*F38/1000</f>
        <v>18.167414400000002</v>
      </c>
      <c r="I38" s="13">
        <f>F38/6*G38</f>
        <v>3027.9024000000004</v>
      </c>
      <c r="J38" s="23"/>
    </row>
    <row r="39" spans="1:14" ht="15.75" hidden="1" customHeight="1">
      <c r="A39" s="33">
        <v>7</v>
      </c>
      <c r="B39" s="79" t="s">
        <v>85</v>
      </c>
      <c r="C39" s="80" t="s">
        <v>124</v>
      </c>
      <c r="D39" s="79" t="s">
        <v>65</v>
      </c>
      <c r="E39" s="81"/>
      <c r="F39" s="82">
        <v>80</v>
      </c>
      <c r="G39" s="82">
        <v>199.44</v>
      </c>
      <c r="H39" s="83">
        <f>G39*F39/1000</f>
        <v>15.955200000000001</v>
      </c>
      <c r="I39" s="13">
        <v>0</v>
      </c>
      <c r="J39" s="23"/>
    </row>
    <row r="40" spans="1:14" ht="15.75" hidden="1" customHeight="1">
      <c r="A40" s="33">
        <v>9</v>
      </c>
      <c r="B40" s="79" t="s">
        <v>66</v>
      </c>
      <c r="C40" s="80" t="s">
        <v>30</v>
      </c>
      <c r="D40" s="79" t="s">
        <v>105</v>
      </c>
      <c r="E40" s="82">
        <v>287.83999999999997</v>
      </c>
      <c r="F40" s="82">
        <f>SUM(E40*155/1000)</f>
        <v>44.615199999999994</v>
      </c>
      <c r="G40" s="82">
        <v>350.75</v>
      </c>
      <c r="H40" s="83">
        <f t="shared" si="6"/>
        <v>15.648781399999997</v>
      </c>
      <c r="I40" s="13">
        <f>F40/6*G40</f>
        <v>2608.1302333333329</v>
      </c>
      <c r="J40" s="23"/>
    </row>
    <row r="41" spans="1:14" ht="47.25" hidden="1" customHeight="1">
      <c r="A41" s="33">
        <v>10</v>
      </c>
      <c r="B41" s="79" t="s">
        <v>78</v>
      </c>
      <c r="C41" s="80" t="s">
        <v>100</v>
      </c>
      <c r="D41" s="79" t="s">
        <v>125</v>
      </c>
      <c r="E41" s="82">
        <v>89.43</v>
      </c>
      <c r="F41" s="82">
        <f>SUM(E41*24/1000)</f>
        <v>2.1463200000000002</v>
      </c>
      <c r="G41" s="82">
        <v>5803.28</v>
      </c>
      <c r="H41" s="83">
        <f t="shared" si="6"/>
        <v>12.455695929600001</v>
      </c>
      <c r="I41" s="13">
        <f>F41/6*G41</f>
        <v>2075.9493216000001</v>
      </c>
      <c r="J41" s="23"/>
      <c r="L41" s="19"/>
      <c r="M41" s="20"/>
      <c r="N41" s="21"/>
    </row>
    <row r="42" spans="1:14" ht="15.75" hidden="1" customHeight="1">
      <c r="A42" s="33">
        <v>11</v>
      </c>
      <c r="B42" s="79" t="s">
        <v>106</v>
      </c>
      <c r="C42" s="80" t="s">
        <v>100</v>
      </c>
      <c r="D42" s="79" t="s">
        <v>67</v>
      </c>
      <c r="E42" s="82">
        <v>130.08000000000001</v>
      </c>
      <c r="F42" s="82">
        <f>SUM(E42*45/1000)</f>
        <v>5.8536000000000001</v>
      </c>
      <c r="G42" s="82">
        <v>428.7</v>
      </c>
      <c r="H42" s="83">
        <f t="shared" si="6"/>
        <v>2.5094383200000001</v>
      </c>
      <c r="I42" s="13">
        <f>F42/6*G42</f>
        <v>418.23971999999998</v>
      </c>
      <c r="J42" s="23"/>
      <c r="L42" s="19"/>
      <c r="M42" s="20"/>
      <c r="N42" s="21"/>
    </row>
    <row r="43" spans="1:14" ht="15.75" hidden="1" customHeight="1">
      <c r="A43" s="33">
        <v>12</v>
      </c>
      <c r="B43" s="79" t="s">
        <v>68</v>
      </c>
      <c r="C43" s="80" t="s">
        <v>33</v>
      </c>
      <c r="D43" s="79"/>
      <c r="E43" s="81"/>
      <c r="F43" s="82">
        <v>0.9</v>
      </c>
      <c r="G43" s="82">
        <v>798</v>
      </c>
      <c r="H43" s="83">
        <f t="shared" si="6"/>
        <v>0.71820000000000006</v>
      </c>
      <c r="I43" s="13">
        <f>F43/6*G43</f>
        <v>119.69999999999999</v>
      </c>
      <c r="J43" s="23"/>
      <c r="L43" s="19"/>
      <c r="M43" s="20"/>
      <c r="N43" s="21"/>
    </row>
    <row r="44" spans="1:14" ht="15.75" customHeight="1">
      <c r="A44" s="238" t="s">
        <v>134</v>
      </c>
      <c r="B44" s="239"/>
      <c r="C44" s="239"/>
      <c r="D44" s="239"/>
      <c r="E44" s="239"/>
      <c r="F44" s="239"/>
      <c r="G44" s="239"/>
      <c r="H44" s="239"/>
      <c r="I44" s="240"/>
      <c r="J44" s="23"/>
      <c r="L44" s="19"/>
      <c r="M44" s="20"/>
      <c r="N44" s="21"/>
    </row>
    <row r="45" spans="1:14" ht="15.75" customHeight="1">
      <c r="A45" s="40">
        <v>8</v>
      </c>
      <c r="B45" s="32" t="s">
        <v>126</v>
      </c>
      <c r="C45" s="133" t="s">
        <v>100</v>
      </c>
      <c r="D45" s="32" t="s">
        <v>187</v>
      </c>
      <c r="E45" s="146">
        <v>1369</v>
      </c>
      <c r="F45" s="134">
        <f>SUM(E45*2/1000)</f>
        <v>2.738</v>
      </c>
      <c r="G45" s="36">
        <v>1158.7</v>
      </c>
      <c r="H45" s="83">
        <f t="shared" ref="H45:H53" si="7">SUM(F45*G45/1000)</f>
        <v>3.1725206000000004</v>
      </c>
      <c r="I45" s="13">
        <f t="shared" ref="I45:I47" si="8">F45/2*G45</f>
        <v>1586.2603000000001</v>
      </c>
      <c r="J45" s="23"/>
      <c r="L45" s="19"/>
      <c r="M45" s="20"/>
      <c r="N45" s="21"/>
    </row>
    <row r="46" spans="1:14" ht="15.75" customHeight="1">
      <c r="A46" s="40">
        <v>9</v>
      </c>
      <c r="B46" s="32" t="s">
        <v>175</v>
      </c>
      <c r="C46" s="133" t="s">
        <v>100</v>
      </c>
      <c r="D46" s="32" t="s">
        <v>187</v>
      </c>
      <c r="E46" s="146">
        <v>185.3</v>
      </c>
      <c r="F46" s="134">
        <f>SUM(E46*2/1000)</f>
        <v>0.37060000000000004</v>
      </c>
      <c r="G46" s="36">
        <v>790.38</v>
      </c>
      <c r="H46" s="83">
        <f t="shared" si="7"/>
        <v>0.29291482800000007</v>
      </c>
      <c r="I46" s="13">
        <f t="shared" si="8"/>
        <v>146.45741400000003</v>
      </c>
      <c r="J46" s="23"/>
      <c r="L46" s="19"/>
      <c r="M46" s="20"/>
      <c r="N46" s="21"/>
    </row>
    <row r="47" spans="1:14" ht="15.75" customHeight="1">
      <c r="A47" s="40">
        <v>10</v>
      </c>
      <c r="B47" s="32" t="s">
        <v>35</v>
      </c>
      <c r="C47" s="133" t="s">
        <v>100</v>
      </c>
      <c r="D47" s="32" t="s">
        <v>187</v>
      </c>
      <c r="E47" s="146">
        <v>4985.21</v>
      </c>
      <c r="F47" s="134">
        <f>SUM(E47*2/1000)</f>
        <v>9.9704200000000007</v>
      </c>
      <c r="G47" s="36">
        <v>790.38</v>
      </c>
      <c r="H47" s="83">
        <f t="shared" si="7"/>
        <v>7.8804205596000001</v>
      </c>
      <c r="I47" s="13">
        <f t="shared" si="8"/>
        <v>3940.2102798000001</v>
      </c>
      <c r="J47" s="23"/>
      <c r="L47" s="19"/>
      <c r="M47" s="20"/>
      <c r="N47" s="21"/>
    </row>
    <row r="48" spans="1:14" ht="15.75" customHeight="1">
      <c r="A48" s="40">
        <v>11</v>
      </c>
      <c r="B48" s="32" t="s">
        <v>36</v>
      </c>
      <c r="C48" s="133" t="s">
        <v>100</v>
      </c>
      <c r="D48" s="32" t="s">
        <v>187</v>
      </c>
      <c r="E48" s="146">
        <v>2474</v>
      </c>
      <c r="F48" s="134">
        <f>SUM(E48*2/1000)</f>
        <v>4.9480000000000004</v>
      </c>
      <c r="G48" s="36">
        <v>827.65</v>
      </c>
      <c r="H48" s="83">
        <f t="shared" si="7"/>
        <v>4.0952122000000006</v>
      </c>
      <c r="I48" s="13">
        <f>F48/2*G48</f>
        <v>2047.6061000000002</v>
      </c>
      <c r="J48" s="23"/>
      <c r="L48" s="19"/>
      <c r="M48" s="20"/>
      <c r="N48" s="21"/>
    </row>
    <row r="49" spans="1:14" ht="15.75" customHeight="1">
      <c r="A49" s="40">
        <v>12</v>
      </c>
      <c r="B49" s="32" t="s">
        <v>54</v>
      </c>
      <c r="C49" s="133" t="s">
        <v>100</v>
      </c>
      <c r="D49" s="32" t="s">
        <v>187</v>
      </c>
      <c r="E49" s="146">
        <v>5162.6000000000004</v>
      </c>
      <c r="F49" s="134">
        <f>SUM(E49*5/1000)</f>
        <v>25.812999999999999</v>
      </c>
      <c r="G49" s="36">
        <v>1655.27</v>
      </c>
      <c r="H49" s="83">
        <f t="shared" si="7"/>
        <v>42.727484509999996</v>
      </c>
      <c r="I49" s="13">
        <f>F49/5*G49</f>
        <v>8545.496901999999</v>
      </c>
      <c r="J49" s="23"/>
      <c r="L49" s="19"/>
      <c r="M49" s="20"/>
      <c r="N49" s="21"/>
    </row>
    <row r="50" spans="1:14" ht="30.75" customHeight="1">
      <c r="A50" s="40">
        <v>13</v>
      </c>
      <c r="B50" s="32" t="s">
        <v>107</v>
      </c>
      <c r="C50" s="133" t="s">
        <v>100</v>
      </c>
      <c r="D50" s="32" t="s">
        <v>187</v>
      </c>
      <c r="E50" s="146">
        <v>5162.6000000000004</v>
      </c>
      <c r="F50" s="134">
        <f>SUM(E50*2/1000)</f>
        <v>10.325200000000001</v>
      </c>
      <c r="G50" s="36">
        <v>1655.27</v>
      </c>
      <c r="H50" s="83">
        <f t="shared" si="7"/>
        <v>17.090993804</v>
      </c>
      <c r="I50" s="13">
        <f>F50/2*G50</f>
        <v>8545.4969020000008</v>
      </c>
      <c r="J50" s="23"/>
      <c r="L50" s="19"/>
      <c r="M50" s="20"/>
      <c r="N50" s="21"/>
    </row>
    <row r="51" spans="1:14" ht="30.75" customHeight="1">
      <c r="A51" s="40">
        <v>14</v>
      </c>
      <c r="B51" s="32" t="s">
        <v>108</v>
      </c>
      <c r="C51" s="133" t="s">
        <v>37</v>
      </c>
      <c r="D51" s="32" t="s">
        <v>187</v>
      </c>
      <c r="E51" s="146">
        <v>40</v>
      </c>
      <c r="F51" s="134">
        <f>SUM(E51*2/100)</f>
        <v>0.8</v>
      </c>
      <c r="G51" s="36">
        <v>3724.37</v>
      </c>
      <c r="H51" s="83">
        <f t="shared" si="7"/>
        <v>2.9794960000000001</v>
      </c>
      <c r="I51" s="13">
        <f t="shared" ref="I51:I52" si="9">F51/2*G51</f>
        <v>1489.748</v>
      </c>
      <c r="J51" s="23"/>
      <c r="L51" s="19"/>
      <c r="M51" s="20"/>
      <c r="N51" s="21"/>
    </row>
    <row r="52" spans="1:14" ht="15.75" customHeight="1">
      <c r="A52" s="40">
        <v>15</v>
      </c>
      <c r="B52" s="32" t="s">
        <v>38</v>
      </c>
      <c r="C52" s="133" t="s">
        <v>39</v>
      </c>
      <c r="D52" s="32" t="s">
        <v>187</v>
      </c>
      <c r="E52" s="146">
        <v>1</v>
      </c>
      <c r="F52" s="134">
        <v>0.02</v>
      </c>
      <c r="G52" s="36">
        <v>7709.44</v>
      </c>
      <c r="H52" s="83">
        <f t="shared" si="7"/>
        <v>0.15418879999999999</v>
      </c>
      <c r="I52" s="13">
        <f t="shared" si="9"/>
        <v>77.094399999999993</v>
      </c>
      <c r="J52" s="23"/>
      <c r="L52" s="19"/>
      <c r="M52" s="20"/>
      <c r="N52" s="21"/>
    </row>
    <row r="53" spans="1:14" ht="14.25" hidden="1" customHeight="1">
      <c r="A53" s="40">
        <v>17</v>
      </c>
      <c r="B53" s="32" t="s">
        <v>40</v>
      </c>
      <c r="C53" s="133" t="s">
        <v>109</v>
      </c>
      <c r="D53" s="176">
        <v>43717</v>
      </c>
      <c r="E53" s="146">
        <v>238</v>
      </c>
      <c r="F53" s="134">
        <f>SUM(E53)*3</f>
        <v>714</v>
      </c>
      <c r="G53" s="166">
        <v>89.59</v>
      </c>
      <c r="H53" s="83">
        <f t="shared" si="7"/>
        <v>63.967260000000003</v>
      </c>
      <c r="I53" s="13">
        <f>E53*G53</f>
        <v>21322.420000000002</v>
      </c>
      <c r="J53" s="23"/>
      <c r="L53" s="19"/>
      <c r="M53" s="20"/>
      <c r="N53" s="21"/>
    </row>
    <row r="54" spans="1:14" ht="15.75" customHeight="1">
      <c r="A54" s="238" t="s">
        <v>135</v>
      </c>
      <c r="B54" s="239"/>
      <c r="C54" s="239"/>
      <c r="D54" s="239"/>
      <c r="E54" s="239"/>
      <c r="F54" s="239"/>
      <c r="G54" s="239"/>
      <c r="H54" s="239"/>
      <c r="I54" s="240"/>
      <c r="J54" s="23"/>
      <c r="L54" s="19"/>
      <c r="M54" s="20"/>
      <c r="N54" s="21"/>
    </row>
    <row r="55" spans="1:14" ht="15.75" hidden="1" customHeight="1">
      <c r="A55" s="179"/>
      <c r="B55" s="47" t="s">
        <v>42</v>
      </c>
      <c r="C55" s="16"/>
      <c r="D55" s="15"/>
      <c r="E55" s="15"/>
      <c r="F55" s="15"/>
      <c r="G55" s="29"/>
      <c r="H55" s="29"/>
      <c r="I55" s="18"/>
      <c r="J55" s="23"/>
      <c r="L55" s="19"/>
      <c r="M55" s="20"/>
      <c r="N55" s="21"/>
    </row>
    <row r="56" spans="1:14" ht="31.5" hidden="1" customHeight="1">
      <c r="A56" s="40">
        <v>16</v>
      </c>
      <c r="B56" s="79" t="s">
        <v>110</v>
      </c>
      <c r="C56" s="80" t="s">
        <v>87</v>
      </c>
      <c r="D56" s="79" t="s">
        <v>111</v>
      </c>
      <c r="E56" s="81">
        <v>176.9</v>
      </c>
      <c r="F56" s="82">
        <f>SUM(E56*6/100)</f>
        <v>10.614000000000001</v>
      </c>
      <c r="G56" s="13">
        <v>1547.28</v>
      </c>
      <c r="H56" s="83">
        <f>SUM(F56*G56/1000)</f>
        <v>16.422829920000002</v>
      </c>
      <c r="I56" s="13">
        <f>F56/6*G56</f>
        <v>2737.13832</v>
      </c>
      <c r="J56" s="23"/>
      <c r="L56" s="19"/>
      <c r="M56" s="20"/>
      <c r="N56" s="21"/>
    </row>
    <row r="57" spans="1:14" ht="15.75" hidden="1" customHeight="1">
      <c r="A57" s="40">
        <v>17</v>
      </c>
      <c r="B57" s="79" t="s">
        <v>127</v>
      </c>
      <c r="C57" s="80" t="s">
        <v>87</v>
      </c>
      <c r="D57" s="79" t="s">
        <v>111</v>
      </c>
      <c r="E57" s="74">
        <v>56</v>
      </c>
      <c r="F57" s="87">
        <v>3.36</v>
      </c>
      <c r="G57" s="82">
        <v>1547.28</v>
      </c>
      <c r="H57" s="83">
        <f>F57*G57/1000</f>
        <v>5.1988607999999994</v>
      </c>
      <c r="I57" s="13">
        <f>F57/6*G57</f>
        <v>866.47679999999991</v>
      </c>
      <c r="J57" s="23"/>
      <c r="L57" s="19"/>
      <c r="M57" s="20"/>
      <c r="N57" s="21"/>
    </row>
    <row r="58" spans="1:14" ht="15.75" hidden="1" customHeight="1">
      <c r="A58" s="40"/>
      <c r="B58" s="79" t="s">
        <v>128</v>
      </c>
      <c r="C58" s="80" t="s">
        <v>129</v>
      </c>
      <c r="D58" s="79" t="s">
        <v>41</v>
      </c>
      <c r="E58" s="88">
        <v>8</v>
      </c>
      <c r="F58" s="13">
        <v>16</v>
      </c>
      <c r="G58" s="82">
        <v>180.78</v>
      </c>
      <c r="H58" s="83">
        <f>SUM(F58*G58/1000)</f>
        <v>2.8924799999999999</v>
      </c>
      <c r="I58" s="13">
        <v>0</v>
      </c>
      <c r="J58" s="23"/>
      <c r="L58" s="19"/>
      <c r="M58" s="20"/>
      <c r="N58" s="21"/>
    </row>
    <row r="59" spans="1:14" ht="15.75" customHeight="1">
      <c r="A59" s="40"/>
      <c r="B59" s="178" t="s">
        <v>43</v>
      </c>
      <c r="C59" s="178"/>
      <c r="D59" s="178"/>
      <c r="E59" s="178"/>
      <c r="F59" s="178"/>
      <c r="G59" s="178"/>
      <c r="H59" s="178"/>
      <c r="I59" s="35"/>
      <c r="J59" s="23"/>
      <c r="L59" s="19"/>
      <c r="M59" s="20"/>
      <c r="N59" s="21"/>
    </row>
    <row r="60" spans="1:14" ht="15.75" hidden="1" customHeight="1">
      <c r="A60" s="40">
        <v>27</v>
      </c>
      <c r="B60" s="79" t="s">
        <v>139</v>
      </c>
      <c r="C60" s="80"/>
      <c r="D60" s="79" t="s">
        <v>52</v>
      </c>
      <c r="E60" s="81">
        <v>1349.3</v>
      </c>
      <c r="F60" s="83">
        <v>13.493</v>
      </c>
      <c r="G60" s="13">
        <v>793.61</v>
      </c>
      <c r="H60" s="89">
        <f>F60*G60/1000</f>
        <v>10.708179729999999</v>
      </c>
      <c r="I60" s="13">
        <v>0</v>
      </c>
      <c r="J60" s="23"/>
      <c r="L60" s="19"/>
      <c r="M60" s="20"/>
      <c r="N60" s="21"/>
    </row>
    <row r="61" spans="1:14" ht="15.75" customHeight="1">
      <c r="A61" s="40">
        <v>16</v>
      </c>
      <c r="B61" s="90" t="s">
        <v>86</v>
      </c>
      <c r="C61" s="91" t="s">
        <v>26</v>
      </c>
      <c r="D61" s="90"/>
      <c r="E61" s="92">
        <v>270</v>
      </c>
      <c r="F61" s="93">
        <v>2400</v>
      </c>
      <c r="G61" s="94">
        <v>1.4</v>
      </c>
      <c r="H61" s="95">
        <f>F61*G61</f>
        <v>3360</v>
      </c>
      <c r="I61" s="13">
        <f>F61/12*G61</f>
        <v>280</v>
      </c>
      <c r="J61" s="23"/>
      <c r="L61" s="19"/>
      <c r="M61" s="20"/>
      <c r="N61" s="21"/>
    </row>
    <row r="62" spans="1:14" ht="15.75" customHeight="1">
      <c r="A62" s="40"/>
      <c r="B62" s="178" t="s">
        <v>44</v>
      </c>
      <c r="C62" s="16"/>
      <c r="D62" s="37"/>
      <c r="E62" s="15"/>
      <c r="F62" s="15"/>
      <c r="G62" s="29"/>
      <c r="H62" s="29"/>
      <c r="I62" s="18"/>
      <c r="J62" s="23"/>
      <c r="L62" s="19"/>
    </row>
    <row r="63" spans="1:14" ht="17.25" customHeight="1">
      <c r="A63" s="40">
        <v>17</v>
      </c>
      <c r="B63" s="145" t="s">
        <v>45</v>
      </c>
      <c r="C63" s="38" t="s">
        <v>109</v>
      </c>
      <c r="D63" s="37" t="s">
        <v>187</v>
      </c>
      <c r="E63" s="17">
        <v>40</v>
      </c>
      <c r="F63" s="134">
        <f>E63</f>
        <v>40</v>
      </c>
      <c r="G63" s="36">
        <v>303.35000000000002</v>
      </c>
      <c r="H63" s="97">
        <f t="shared" ref="H63:H70" si="10">SUM(F63*G63/1000)</f>
        <v>12.134</v>
      </c>
      <c r="I63" s="13">
        <f>G63*1</f>
        <v>303.35000000000002</v>
      </c>
    </row>
    <row r="64" spans="1:14" ht="15.75" customHeight="1">
      <c r="A64" s="29">
        <v>18</v>
      </c>
      <c r="B64" s="96" t="s">
        <v>46</v>
      </c>
      <c r="C64" s="16" t="s">
        <v>109</v>
      </c>
      <c r="D64" s="96" t="s">
        <v>195</v>
      </c>
      <c r="E64" s="18">
        <v>20</v>
      </c>
      <c r="F64" s="82">
        <v>20</v>
      </c>
      <c r="G64" s="121">
        <v>104.01</v>
      </c>
      <c r="H64" s="97">
        <f t="shared" si="10"/>
        <v>2.0802000000000005</v>
      </c>
      <c r="I64" s="13">
        <f>G64*3</f>
        <v>312.03000000000003</v>
      </c>
    </row>
    <row r="65" spans="1:22" ht="15.75" hidden="1" customHeight="1">
      <c r="A65" s="29">
        <v>25</v>
      </c>
      <c r="B65" s="96" t="s">
        <v>47</v>
      </c>
      <c r="C65" s="16" t="s">
        <v>112</v>
      </c>
      <c r="D65" s="96" t="s">
        <v>52</v>
      </c>
      <c r="E65" s="81">
        <v>18890</v>
      </c>
      <c r="F65" s="13">
        <f>SUM(E65/100)</f>
        <v>188.9</v>
      </c>
      <c r="G65" s="13">
        <v>212.15</v>
      </c>
      <c r="H65" s="97">
        <f t="shared" si="10"/>
        <v>40.075135000000003</v>
      </c>
      <c r="I65" s="13">
        <f>F65*G65</f>
        <v>40075.135000000002</v>
      </c>
    </row>
    <row r="66" spans="1:22" ht="15.75" hidden="1" customHeight="1">
      <c r="A66" s="29">
        <v>26</v>
      </c>
      <c r="B66" s="96" t="s">
        <v>48</v>
      </c>
      <c r="C66" s="16" t="s">
        <v>113</v>
      </c>
      <c r="D66" s="96"/>
      <c r="E66" s="81">
        <v>18890</v>
      </c>
      <c r="F66" s="13">
        <f>SUM(E66/1000)</f>
        <v>18.89</v>
      </c>
      <c r="G66" s="13">
        <v>165.21</v>
      </c>
      <c r="H66" s="97">
        <f t="shared" si="10"/>
        <v>3.1208169000000003</v>
      </c>
      <c r="I66" s="13">
        <f t="shared" ref="I66:I69" si="11">F66*G66</f>
        <v>3120.8169000000003</v>
      </c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9"/>
    </row>
    <row r="67" spans="1:22" ht="15.75" hidden="1" customHeight="1">
      <c r="A67" s="29">
        <v>27</v>
      </c>
      <c r="B67" s="96" t="s">
        <v>49</v>
      </c>
      <c r="C67" s="16" t="s">
        <v>75</v>
      </c>
      <c r="D67" s="96" t="s">
        <v>52</v>
      </c>
      <c r="E67" s="81">
        <v>3004</v>
      </c>
      <c r="F67" s="13">
        <f>SUM(E67/100)</f>
        <v>30.04</v>
      </c>
      <c r="G67" s="13">
        <v>2074.63</v>
      </c>
      <c r="H67" s="97">
        <f t="shared" si="10"/>
        <v>62.321885200000004</v>
      </c>
      <c r="I67" s="13">
        <f t="shared" si="11"/>
        <v>62321.885200000004</v>
      </c>
      <c r="J67" s="25"/>
      <c r="K67" s="25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2" ht="15.75" hidden="1" customHeight="1">
      <c r="A68" s="29">
        <v>28</v>
      </c>
      <c r="B68" s="98" t="s">
        <v>114</v>
      </c>
      <c r="C68" s="16" t="s">
        <v>33</v>
      </c>
      <c r="D68" s="96"/>
      <c r="E68" s="81">
        <v>15.8</v>
      </c>
      <c r="F68" s="13">
        <f>SUM(E68)</f>
        <v>15.8</v>
      </c>
      <c r="G68" s="13">
        <v>42.67</v>
      </c>
      <c r="H68" s="97">
        <f t="shared" si="10"/>
        <v>0.67418600000000006</v>
      </c>
      <c r="I68" s="13">
        <f t="shared" si="11"/>
        <v>674.18600000000004</v>
      </c>
      <c r="J68" s="3"/>
      <c r="K68" s="3"/>
      <c r="L68" s="3"/>
      <c r="M68" s="3"/>
      <c r="N68" s="3"/>
      <c r="O68" s="3"/>
      <c r="P68" s="3"/>
      <c r="Q68" s="3"/>
      <c r="S68" s="3"/>
      <c r="T68" s="3"/>
      <c r="U68" s="3"/>
    </row>
    <row r="69" spans="1:22" ht="15.75" hidden="1" customHeight="1">
      <c r="A69" s="29">
        <v>29</v>
      </c>
      <c r="B69" s="98" t="s">
        <v>115</v>
      </c>
      <c r="C69" s="16" t="s">
        <v>33</v>
      </c>
      <c r="D69" s="96"/>
      <c r="E69" s="81">
        <v>15.8</v>
      </c>
      <c r="F69" s="13">
        <f>SUM(E69)</f>
        <v>15.8</v>
      </c>
      <c r="G69" s="13">
        <v>39.81</v>
      </c>
      <c r="H69" s="97">
        <f t="shared" si="10"/>
        <v>0.62899800000000006</v>
      </c>
      <c r="I69" s="13">
        <f t="shared" si="11"/>
        <v>628.99800000000005</v>
      </c>
      <c r="J69" s="5"/>
      <c r="K69" s="5"/>
      <c r="L69" s="5"/>
      <c r="M69" s="5"/>
      <c r="N69" s="5"/>
      <c r="O69" s="5"/>
      <c r="P69" s="5"/>
      <c r="Q69" s="5"/>
      <c r="R69" s="213"/>
      <c r="S69" s="213"/>
      <c r="T69" s="213"/>
      <c r="U69" s="213"/>
    </row>
    <row r="70" spans="1:22" ht="15.75" customHeight="1">
      <c r="A70" s="29">
        <v>19</v>
      </c>
      <c r="B70" s="37" t="s">
        <v>55</v>
      </c>
      <c r="C70" s="38" t="s">
        <v>56</v>
      </c>
      <c r="D70" s="37" t="s">
        <v>181</v>
      </c>
      <c r="E70" s="17">
        <v>8</v>
      </c>
      <c r="F70" s="134">
        <f>E70</f>
        <v>8</v>
      </c>
      <c r="G70" s="36">
        <v>68.040000000000006</v>
      </c>
      <c r="H70" s="97">
        <f t="shared" si="10"/>
        <v>0.54432000000000003</v>
      </c>
      <c r="I70" s="13">
        <f>G70*15</f>
        <v>1020.6000000000001</v>
      </c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2" ht="15.75" hidden="1" customHeight="1">
      <c r="A71" s="179"/>
      <c r="B71" s="178" t="s">
        <v>116</v>
      </c>
      <c r="C71" s="178"/>
      <c r="D71" s="178"/>
      <c r="E71" s="178"/>
      <c r="F71" s="178"/>
      <c r="G71" s="178"/>
      <c r="H71" s="178"/>
      <c r="I71" s="18"/>
    </row>
    <row r="72" spans="1:22" ht="15.75" hidden="1" customHeight="1">
      <c r="A72" s="29">
        <v>11</v>
      </c>
      <c r="B72" s="79" t="s">
        <v>117</v>
      </c>
      <c r="C72" s="16"/>
      <c r="D72" s="96"/>
      <c r="E72" s="74"/>
      <c r="F72" s="13">
        <v>1</v>
      </c>
      <c r="G72" s="13">
        <v>27865.200000000001</v>
      </c>
      <c r="H72" s="97">
        <f>G72*F72/1000</f>
        <v>27.865200000000002</v>
      </c>
      <c r="I72" s="13">
        <f>G72</f>
        <v>27865.200000000001</v>
      </c>
    </row>
    <row r="73" spans="1:22" ht="18" customHeight="1">
      <c r="A73" s="29"/>
      <c r="B73" s="48" t="s">
        <v>70</v>
      </c>
      <c r="C73" s="48"/>
      <c r="D73" s="48"/>
      <c r="E73" s="18"/>
      <c r="F73" s="18"/>
      <c r="G73" s="29"/>
      <c r="H73" s="29"/>
      <c r="I73" s="18"/>
    </row>
    <row r="74" spans="1:22" ht="18" hidden="1" customHeight="1">
      <c r="A74" s="29">
        <v>17</v>
      </c>
      <c r="B74" s="96" t="s">
        <v>71</v>
      </c>
      <c r="C74" s="16" t="s">
        <v>73</v>
      </c>
      <c r="D74" s="96"/>
      <c r="E74" s="18">
        <v>10</v>
      </c>
      <c r="F74" s="13">
        <v>1</v>
      </c>
      <c r="G74" s="13">
        <v>501.62</v>
      </c>
      <c r="H74" s="97">
        <f t="shared" ref="H74:H78" si="12">SUM(F74*G74/1000)</f>
        <v>0.50161999999999995</v>
      </c>
      <c r="I74" s="13">
        <f>G74*0.2</f>
        <v>100.32400000000001</v>
      </c>
    </row>
    <row r="75" spans="1:22" ht="30" hidden="1" customHeight="1">
      <c r="A75" s="29"/>
      <c r="B75" s="96" t="s">
        <v>130</v>
      </c>
      <c r="C75" s="16" t="s">
        <v>31</v>
      </c>
      <c r="D75" s="96"/>
      <c r="E75" s="18">
        <v>1</v>
      </c>
      <c r="F75" s="13">
        <v>1</v>
      </c>
      <c r="G75" s="13">
        <v>99.85</v>
      </c>
      <c r="H75" s="97">
        <f>F75*G75/1000</f>
        <v>9.9849999999999994E-2</v>
      </c>
      <c r="I75" s="13">
        <v>0</v>
      </c>
    </row>
    <row r="76" spans="1:22" ht="32.25" hidden="1" customHeight="1">
      <c r="A76" s="29"/>
      <c r="B76" s="96" t="s">
        <v>131</v>
      </c>
      <c r="C76" s="16" t="s">
        <v>31</v>
      </c>
      <c r="D76" s="96"/>
      <c r="E76" s="18">
        <v>1</v>
      </c>
      <c r="F76" s="13">
        <v>1</v>
      </c>
      <c r="G76" s="13">
        <v>120.26</v>
      </c>
      <c r="H76" s="97">
        <f>F76*G76/1000</f>
        <v>0.12026000000000001</v>
      </c>
      <c r="I76" s="13">
        <v>0</v>
      </c>
    </row>
    <row r="77" spans="1:22" ht="33.75" hidden="1" customHeight="1">
      <c r="A77" s="29">
        <v>19</v>
      </c>
      <c r="B77" s="96" t="s">
        <v>72</v>
      </c>
      <c r="C77" s="16" t="s">
        <v>31</v>
      </c>
      <c r="D77" s="96"/>
      <c r="E77" s="18">
        <v>2</v>
      </c>
      <c r="F77" s="94">
        <v>2</v>
      </c>
      <c r="G77" s="13">
        <v>852.99</v>
      </c>
      <c r="H77" s="97">
        <f>F77*G77/1000</f>
        <v>1.7059800000000001</v>
      </c>
      <c r="I77" s="13">
        <f>G77</f>
        <v>852.99</v>
      </c>
    </row>
    <row r="78" spans="1:22" ht="34.5" hidden="1" customHeight="1">
      <c r="A78" s="29">
        <v>10</v>
      </c>
      <c r="B78" s="96" t="s">
        <v>82</v>
      </c>
      <c r="C78" s="16" t="s">
        <v>109</v>
      </c>
      <c r="D78" s="96"/>
      <c r="E78" s="18">
        <v>1</v>
      </c>
      <c r="F78" s="82">
        <f>SUM(E78)</f>
        <v>1</v>
      </c>
      <c r="G78" s="13">
        <v>358.51</v>
      </c>
      <c r="H78" s="97">
        <f t="shared" si="12"/>
        <v>0.35851</v>
      </c>
      <c r="I78" s="13">
        <f>G78</f>
        <v>358.51</v>
      </c>
    </row>
    <row r="79" spans="1:22" ht="34.5" customHeight="1">
      <c r="A79" s="29">
        <v>20</v>
      </c>
      <c r="B79" s="37" t="s">
        <v>171</v>
      </c>
      <c r="C79" s="38" t="s">
        <v>109</v>
      </c>
      <c r="D79" s="37" t="s">
        <v>181</v>
      </c>
      <c r="E79" s="17">
        <v>1</v>
      </c>
      <c r="F79" s="36">
        <f>E79*12</f>
        <v>12</v>
      </c>
      <c r="G79" s="36">
        <v>55.55</v>
      </c>
      <c r="H79" s="97"/>
      <c r="I79" s="13">
        <f>G79*1</f>
        <v>55.55</v>
      </c>
    </row>
    <row r="80" spans="1:22" ht="18" customHeight="1">
      <c r="A80" s="29"/>
      <c r="B80" s="156" t="s">
        <v>168</v>
      </c>
      <c r="C80" s="38"/>
      <c r="D80" s="37"/>
      <c r="E80" s="17"/>
      <c r="F80" s="112"/>
      <c r="G80" s="36"/>
      <c r="H80" s="97"/>
      <c r="I80" s="13"/>
    </row>
    <row r="81" spans="1:9" ht="31.5" customHeight="1">
      <c r="A81" s="29">
        <v>21</v>
      </c>
      <c r="B81" s="37" t="s">
        <v>169</v>
      </c>
      <c r="C81" s="40" t="s">
        <v>170</v>
      </c>
      <c r="D81" s="37"/>
      <c r="E81" s="17">
        <v>5162.6000000000004</v>
      </c>
      <c r="F81" s="36">
        <f>E81*12</f>
        <v>61951.200000000004</v>
      </c>
      <c r="G81" s="36">
        <v>2.37</v>
      </c>
      <c r="H81" s="97"/>
      <c r="I81" s="13">
        <f>G81*F81/12</f>
        <v>12235.362000000001</v>
      </c>
    </row>
    <row r="82" spans="1:9" ht="30.75" hidden="1" customHeight="1">
      <c r="A82" s="29"/>
      <c r="B82" s="49" t="s">
        <v>74</v>
      </c>
      <c r="C82" s="38"/>
      <c r="D82" s="29"/>
      <c r="E82" s="18"/>
      <c r="F82" s="18"/>
      <c r="G82" s="36"/>
      <c r="H82" s="36"/>
      <c r="I82" s="18"/>
    </row>
    <row r="83" spans="1:9" ht="22.5" hidden="1" customHeight="1">
      <c r="A83" s="29">
        <v>39</v>
      </c>
      <c r="B83" s="51" t="s">
        <v>118</v>
      </c>
      <c r="C83" s="16" t="s">
        <v>75</v>
      </c>
      <c r="D83" s="96"/>
      <c r="E83" s="18"/>
      <c r="F83" s="13">
        <v>1.35</v>
      </c>
      <c r="G83" s="13">
        <v>2759.44</v>
      </c>
      <c r="H83" s="97">
        <f t="shared" ref="H83" si="13">SUM(F83*G83/1000)</f>
        <v>3.725244</v>
      </c>
      <c r="I83" s="13">
        <v>0</v>
      </c>
    </row>
    <row r="84" spans="1:9" ht="22.5" customHeight="1">
      <c r="A84" s="29"/>
      <c r="B84" s="209" t="s">
        <v>116</v>
      </c>
      <c r="C84" s="16"/>
      <c r="D84" s="96"/>
      <c r="E84" s="18"/>
      <c r="F84" s="13"/>
      <c r="G84" s="13"/>
      <c r="H84" s="13"/>
      <c r="I84" s="13"/>
    </row>
    <row r="85" spans="1:9" ht="22.5" customHeight="1">
      <c r="A85" s="29">
        <v>22</v>
      </c>
      <c r="B85" s="32" t="s">
        <v>117</v>
      </c>
      <c r="C85" s="206"/>
      <c r="D85" s="207"/>
      <c r="E85" s="147"/>
      <c r="F85" s="208">
        <v>1</v>
      </c>
      <c r="G85" s="208">
        <v>260</v>
      </c>
      <c r="H85" s="13"/>
      <c r="I85" s="13">
        <f>G85*1</f>
        <v>260</v>
      </c>
    </row>
    <row r="86" spans="1:9" ht="15.75" customHeight="1">
      <c r="A86" s="222" t="s">
        <v>136</v>
      </c>
      <c r="B86" s="223"/>
      <c r="C86" s="223"/>
      <c r="D86" s="223"/>
      <c r="E86" s="223"/>
      <c r="F86" s="223"/>
      <c r="G86" s="223"/>
      <c r="H86" s="223"/>
      <c r="I86" s="224"/>
    </row>
    <row r="87" spans="1:9" ht="15.75" customHeight="1">
      <c r="A87" s="29">
        <v>23</v>
      </c>
      <c r="B87" s="32" t="s">
        <v>119</v>
      </c>
      <c r="C87" s="38" t="s">
        <v>53</v>
      </c>
      <c r="D87" s="62"/>
      <c r="E87" s="36">
        <v>5162.6000000000004</v>
      </c>
      <c r="F87" s="36">
        <f>SUM(E87*12)</f>
        <v>61951.200000000004</v>
      </c>
      <c r="G87" s="36">
        <v>3.22</v>
      </c>
      <c r="H87" s="99">
        <f>SUM(F87*G87/1000)</f>
        <v>199.48286400000003</v>
      </c>
      <c r="I87" s="13">
        <f>F87/12*G87</f>
        <v>16623.572000000004</v>
      </c>
    </row>
    <row r="88" spans="1:9" ht="31.5" customHeight="1">
      <c r="A88" s="29">
        <v>24</v>
      </c>
      <c r="B88" s="37" t="s">
        <v>172</v>
      </c>
      <c r="C88" s="109" t="s">
        <v>173</v>
      </c>
      <c r="D88" s="37"/>
      <c r="E88" s="17">
        <v>5162.6000000000004</v>
      </c>
      <c r="F88" s="36">
        <f>E88*12</f>
        <v>61951.200000000004</v>
      </c>
      <c r="G88" s="36">
        <v>3.64</v>
      </c>
      <c r="H88" s="97">
        <f>F88*G88/1000</f>
        <v>225.50236800000002</v>
      </c>
      <c r="I88" s="13">
        <f>F88/12*G88</f>
        <v>18791.864000000001</v>
      </c>
    </row>
    <row r="89" spans="1:9" ht="15.75" customHeight="1">
      <c r="A89" s="179"/>
      <c r="B89" s="39" t="s">
        <v>77</v>
      </c>
      <c r="C89" s="40"/>
      <c r="D89" s="15"/>
      <c r="E89" s="15"/>
      <c r="F89" s="15"/>
      <c r="G89" s="18"/>
      <c r="H89" s="18"/>
      <c r="I89" s="31">
        <f>I88+I87+I81+I79+I70+I64+I61+I52+I51+I50+I49+I48+I47+I46+I45+I31+I30+I21+I20+I18+I17+I16+I63+I85</f>
        <v>103501.1627494</v>
      </c>
    </row>
    <row r="90" spans="1:9" ht="15.75" customHeight="1">
      <c r="A90" s="225" t="s">
        <v>58</v>
      </c>
      <c r="B90" s="226"/>
      <c r="C90" s="226"/>
      <c r="D90" s="226"/>
      <c r="E90" s="226"/>
      <c r="F90" s="226"/>
      <c r="G90" s="226"/>
      <c r="H90" s="226"/>
      <c r="I90" s="227"/>
    </row>
    <row r="91" spans="1:9" ht="17.25" customHeight="1">
      <c r="A91" s="29">
        <v>25</v>
      </c>
      <c r="B91" s="191" t="s">
        <v>327</v>
      </c>
      <c r="C91" s="40" t="s">
        <v>209</v>
      </c>
      <c r="D91" s="34"/>
      <c r="E91" s="34"/>
      <c r="F91" s="192">
        <v>5</v>
      </c>
      <c r="G91" s="192">
        <v>17131</v>
      </c>
      <c r="H91" s="99"/>
      <c r="I91" s="13">
        <f>G91*5</f>
        <v>85655</v>
      </c>
    </row>
    <row r="92" spans="1:9" ht="30.75" customHeight="1">
      <c r="A92" s="29">
        <v>26</v>
      </c>
      <c r="B92" s="63" t="s">
        <v>222</v>
      </c>
      <c r="C92" s="64" t="s">
        <v>149</v>
      </c>
      <c r="D92" s="193" t="s">
        <v>329</v>
      </c>
      <c r="E92" s="34"/>
      <c r="F92" s="192">
        <v>3</v>
      </c>
      <c r="G92" s="192">
        <v>614.47</v>
      </c>
      <c r="H92" s="99"/>
      <c r="I92" s="13">
        <f>G92*1</f>
        <v>614.47</v>
      </c>
    </row>
    <row r="93" spans="1:9" ht="19.5" customHeight="1">
      <c r="A93" s="29">
        <v>27</v>
      </c>
      <c r="B93" s="63" t="s">
        <v>328</v>
      </c>
      <c r="C93" s="64" t="s">
        <v>30</v>
      </c>
      <c r="D93" s="34"/>
      <c r="E93" s="34"/>
      <c r="F93" s="192">
        <v>176.49</v>
      </c>
      <c r="G93" s="192">
        <v>4683.09</v>
      </c>
      <c r="H93" s="99"/>
      <c r="I93" s="13">
        <f>G93*0.17649</f>
        <v>826.51855410000007</v>
      </c>
    </row>
    <row r="94" spans="1:9" ht="16.5" customHeight="1">
      <c r="A94" s="29">
        <v>28</v>
      </c>
      <c r="B94" s="63" t="s">
        <v>226</v>
      </c>
      <c r="C94" s="64" t="s">
        <v>159</v>
      </c>
      <c r="D94" s="34" t="s">
        <v>309</v>
      </c>
      <c r="E94" s="34"/>
      <c r="F94" s="192">
        <v>15</v>
      </c>
      <c r="G94" s="192">
        <v>295.36</v>
      </c>
      <c r="H94" s="99"/>
      <c r="I94" s="13">
        <v>0</v>
      </c>
    </row>
    <row r="95" spans="1:9" ht="16.5" customHeight="1">
      <c r="A95" s="29">
        <v>29</v>
      </c>
      <c r="B95" s="63" t="s">
        <v>348</v>
      </c>
      <c r="C95" s="64" t="s">
        <v>297</v>
      </c>
      <c r="D95" s="34"/>
      <c r="E95" s="34"/>
      <c r="F95" s="192">
        <v>0.5</v>
      </c>
      <c r="G95" s="192">
        <v>1366.66</v>
      </c>
      <c r="H95" s="99"/>
      <c r="I95" s="13">
        <f>G95*0.5</f>
        <v>683.33</v>
      </c>
    </row>
    <row r="96" spans="1:9" ht="15.75" customHeight="1">
      <c r="A96" s="29"/>
      <c r="B96" s="45" t="s">
        <v>50</v>
      </c>
      <c r="C96" s="41"/>
      <c r="D96" s="53"/>
      <c r="E96" s="41">
        <v>1</v>
      </c>
      <c r="F96" s="41"/>
      <c r="G96" s="41"/>
      <c r="H96" s="41"/>
      <c r="I96" s="31">
        <f>SUM(I91:I95)</f>
        <v>87779.318554099998</v>
      </c>
    </row>
    <row r="97" spans="1:9" ht="15.75" customHeight="1">
      <c r="A97" s="29"/>
      <c r="B97" s="51" t="s">
        <v>76</v>
      </c>
      <c r="C97" s="15"/>
      <c r="D97" s="15"/>
      <c r="E97" s="42"/>
      <c r="F97" s="42"/>
      <c r="G97" s="43"/>
      <c r="H97" s="43"/>
      <c r="I97" s="17">
        <v>0</v>
      </c>
    </row>
    <row r="98" spans="1:9" ht="15.75" customHeight="1">
      <c r="A98" s="54"/>
      <c r="B98" s="46" t="s">
        <v>141</v>
      </c>
      <c r="C98" s="34"/>
      <c r="D98" s="34"/>
      <c r="E98" s="34"/>
      <c r="F98" s="34"/>
      <c r="G98" s="34"/>
      <c r="H98" s="34"/>
      <c r="I98" s="44">
        <f>I89+I96</f>
        <v>191280.48130350001</v>
      </c>
    </row>
    <row r="99" spans="1:9" ht="15.75">
      <c r="A99" s="219" t="s">
        <v>361</v>
      </c>
      <c r="B99" s="219"/>
      <c r="C99" s="219"/>
      <c r="D99" s="219"/>
      <c r="E99" s="219"/>
      <c r="F99" s="219"/>
      <c r="G99" s="219"/>
      <c r="H99" s="219"/>
      <c r="I99" s="219"/>
    </row>
    <row r="100" spans="1:9" ht="15.75">
      <c r="A100" s="60"/>
      <c r="B100" s="220" t="s">
        <v>362</v>
      </c>
      <c r="C100" s="220"/>
      <c r="D100" s="220"/>
      <c r="E100" s="220"/>
      <c r="F100" s="220"/>
      <c r="G100" s="220"/>
      <c r="H100" s="77"/>
      <c r="I100" s="3"/>
    </row>
    <row r="101" spans="1:9">
      <c r="A101" s="71"/>
      <c r="B101" s="218" t="s">
        <v>6</v>
      </c>
      <c r="C101" s="218"/>
      <c r="D101" s="218"/>
      <c r="E101" s="218"/>
      <c r="F101" s="218"/>
      <c r="G101" s="218"/>
      <c r="H101" s="24"/>
      <c r="I101" s="5"/>
    </row>
    <row r="102" spans="1:9">
      <c r="A102" s="10"/>
      <c r="B102" s="10"/>
      <c r="C102" s="10"/>
      <c r="D102" s="10"/>
      <c r="E102" s="10"/>
      <c r="F102" s="10"/>
      <c r="G102" s="10"/>
      <c r="H102" s="10"/>
      <c r="I102" s="10"/>
    </row>
    <row r="103" spans="1:9" ht="15.75">
      <c r="A103" s="221" t="s">
        <v>7</v>
      </c>
      <c r="B103" s="221"/>
      <c r="C103" s="221"/>
      <c r="D103" s="221"/>
      <c r="E103" s="221"/>
      <c r="F103" s="221"/>
      <c r="G103" s="221"/>
      <c r="H103" s="221"/>
      <c r="I103" s="221"/>
    </row>
    <row r="104" spans="1:9" ht="15.75">
      <c r="A104" s="221" t="s">
        <v>8</v>
      </c>
      <c r="B104" s="221"/>
      <c r="C104" s="221"/>
      <c r="D104" s="221"/>
      <c r="E104" s="221"/>
      <c r="F104" s="221"/>
      <c r="G104" s="221"/>
      <c r="H104" s="221"/>
      <c r="I104" s="221"/>
    </row>
    <row r="105" spans="1:9" ht="15.75">
      <c r="A105" s="215" t="s">
        <v>59</v>
      </c>
      <c r="B105" s="215"/>
      <c r="C105" s="215"/>
      <c r="D105" s="215"/>
      <c r="E105" s="215"/>
      <c r="F105" s="215"/>
      <c r="G105" s="215"/>
      <c r="H105" s="215"/>
      <c r="I105" s="215"/>
    </row>
    <row r="106" spans="1:9" ht="15.75">
      <c r="A106" s="11"/>
    </row>
    <row r="107" spans="1:9" ht="15.75">
      <c r="A107" s="216" t="s">
        <v>9</v>
      </c>
      <c r="B107" s="216"/>
      <c r="C107" s="216"/>
      <c r="D107" s="216"/>
      <c r="E107" s="216"/>
      <c r="F107" s="216"/>
      <c r="G107" s="216"/>
      <c r="H107" s="216"/>
      <c r="I107" s="216"/>
    </row>
    <row r="108" spans="1:9" ht="15.75">
      <c r="A108" s="4"/>
    </row>
    <row r="109" spans="1:9" ht="15.75">
      <c r="B109" s="69" t="s">
        <v>10</v>
      </c>
      <c r="C109" s="217" t="s">
        <v>219</v>
      </c>
      <c r="D109" s="217"/>
      <c r="E109" s="217"/>
      <c r="F109" s="75"/>
      <c r="I109" s="70"/>
    </row>
    <row r="110" spans="1:9">
      <c r="A110" s="71"/>
      <c r="C110" s="218" t="s">
        <v>11</v>
      </c>
      <c r="D110" s="218"/>
      <c r="E110" s="218"/>
      <c r="F110" s="24"/>
      <c r="I110" s="68" t="s">
        <v>12</v>
      </c>
    </row>
    <row r="111" spans="1:9" ht="15.75">
      <c r="A111" s="25"/>
      <c r="C111" s="12"/>
      <c r="D111" s="12"/>
      <c r="G111" s="12"/>
      <c r="H111" s="12"/>
    </row>
    <row r="112" spans="1:9" ht="15.75">
      <c r="B112" s="69" t="s">
        <v>13</v>
      </c>
      <c r="C112" s="212"/>
      <c r="D112" s="212"/>
      <c r="E112" s="212"/>
      <c r="F112" s="76"/>
      <c r="I112" s="70"/>
    </row>
    <row r="113" spans="1:9">
      <c r="A113" s="71"/>
      <c r="C113" s="213" t="s">
        <v>11</v>
      </c>
      <c r="D113" s="213"/>
      <c r="E113" s="213"/>
      <c r="F113" s="71"/>
      <c r="I113" s="68" t="s">
        <v>12</v>
      </c>
    </row>
    <row r="114" spans="1:9" ht="15.75">
      <c r="A114" s="4" t="s">
        <v>14</v>
      </c>
    </row>
    <row r="115" spans="1:9">
      <c r="A115" s="214" t="s">
        <v>15</v>
      </c>
      <c r="B115" s="214"/>
      <c r="C115" s="214"/>
      <c r="D115" s="214"/>
      <c r="E115" s="214"/>
      <c r="F115" s="214"/>
      <c r="G115" s="214"/>
      <c r="H115" s="214"/>
      <c r="I115" s="214"/>
    </row>
    <row r="116" spans="1:9" ht="45" customHeight="1">
      <c r="A116" s="211" t="s">
        <v>16</v>
      </c>
      <c r="B116" s="211"/>
      <c r="C116" s="211"/>
      <c r="D116" s="211"/>
      <c r="E116" s="211"/>
      <c r="F116" s="211"/>
      <c r="G116" s="211"/>
      <c r="H116" s="211"/>
      <c r="I116" s="211"/>
    </row>
    <row r="117" spans="1:9" ht="30" customHeight="1">
      <c r="A117" s="211" t="s">
        <v>17</v>
      </c>
      <c r="B117" s="211"/>
      <c r="C117" s="211"/>
      <c r="D117" s="211"/>
      <c r="E117" s="211"/>
      <c r="F117" s="211"/>
      <c r="G117" s="211"/>
      <c r="H117" s="211"/>
      <c r="I117" s="211"/>
    </row>
    <row r="118" spans="1:9" ht="30" customHeight="1">
      <c r="A118" s="211" t="s">
        <v>21</v>
      </c>
      <c r="B118" s="211"/>
      <c r="C118" s="211"/>
      <c r="D118" s="211"/>
      <c r="E118" s="211"/>
      <c r="F118" s="211"/>
      <c r="G118" s="211"/>
      <c r="H118" s="211"/>
      <c r="I118" s="211"/>
    </row>
    <row r="119" spans="1:9" ht="15" customHeight="1">
      <c r="A119" s="211" t="s">
        <v>20</v>
      </c>
      <c r="B119" s="211"/>
      <c r="C119" s="211"/>
      <c r="D119" s="211"/>
      <c r="E119" s="211"/>
      <c r="F119" s="211"/>
      <c r="G119" s="211"/>
      <c r="H119" s="211"/>
      <c r="I119" s="211"/>
    </row>
  </sheetData>
  <autoFilter ref="I12:I64"/>
  <mergeCells count="29">
    <mergeCell ref="A14:I14"/>
    <mergeCell ref="A15:I15"/>
    <mergeCell ref="A28:I28"/>
    <mergeCell ref="A44:I44"/>
    <mergeCell ref="A54:I54"/>
    <mergeCell ref="A3:I3"/>
    <mergeCell ref="A4:I4"/>
    <mergeCell ref="A5:I5"/>
    <mergeCell ref="A8:I8"/>
    <mergeCell ref="A10:I10"/>
    <mergeCell ref="R69:U69"/>
    <mergeCell ref="C113:E113"/>
    <mergeCell ref="A90:I90"/>
    <mergeCell ref="A99:I99"/>
    <mergeCell ref="B100:G100"/>
    <mergeCell ref="B101:G101"/>
    <mergeCell ref="A103:I103"/>
    <mergeCell ref="A104:I104"/>
    <mergeCell ref="A105:I105"/>
    <mergeCell ref="A107:I107"/>
    <mergeCell ref="C109:E109"/>
    <mergeCell ref="C110:E110"/>
    <mergeCell ref="C112:E112"/>
    <mergeCell ref="A86:I86"/>
    <mergeCell ref="A115:I115"/>
    <mergeCell ref="A116:I116"/>
    <mergeCell ref="A117:I117"/>
    <mergeCell ref="A118:I118"/>
    <mergeCell ref="A119:I119"/>
  </mergeCells>
  <pageMargins left="0.70866141732283472" right="0.23622047244094491" top="0.27559055118110237" bottom="0.27559055118110237" header="0.31496062992125984" footer="0.31496062992125984"/>
  <pageSetup paperSize="9" scale="62" orientation="portrait" r:id="rId1"/>
  <rowBreaks count="1" manualBreakCount="1">
    <brk id="101" max="8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12</vt:i4>
      </vt:variant>
    </vt:vector>
  </HeadingPairs>
  <TitlesOfParts>
    <vt:vector size="24" baseType="lpstr">
      <vt:lpstr>01.21</vt:lpstr>
      <vt:lpstr>02.21</vt:lpstr>
      <vt:lpstr>03.21</vt:lpstr>
      <vt:lpstr>04.21</vt:lpstr>
      <vt:lpstr>05.21</vt:lpstr>
      <vt:lpstr>06.21</vt:lpstr>
      <vt:lpstr>07.21</vt:lpstr>
      <vt:lpstr>08.21</vt:lpstr>
      <vt:lpstr>09.21</vt:lpstr>
      <vt:lpstr>10.21</vt:lpstr>
      <vt:lpstr>11.21</vt:lpstr>
      <vt:lpstr>12.21</vt:lpstr>
      <vt:lpstr>'01.21'!Область_печати</vt:lpstr>
      <vt:lpstr>'02.21'!Область_печати</vt:lpstr>
      <vt:lpstr>'03.21'!Область_печати</vt:lpstr>
      <vt:lpstr>'04.21'!Область_печати</vt:lpstr>
      <vt:lpstr>'05.21'!Область_печати</vt:lpstr>
      <vt:lpstr>'06.21'!Область_печати</vt:lpstr>
      <vt:lpstr>'07.21'!Область_печати</vt:lpstr>
      <vt:lpstr>'08.21'!Область_печати</vt:lpstr>
      <vt:lpstr>'09.21'!Область_печати</vt:lpstr>
      <vt:lpstr>'10.21'!Область_печати</vt:lpstr>
      <vt:lpstr>'11.21'!Область_печати</vt:lpstr>
      <vt:lpstr>'12.21'!Область_печати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Яковлева</cp:lastModifiedBy>
  <cp:lastPrinted>2021-12-21T11:58:48Z</cp:lastPrinted>
  <dcterms:created xsi:type="dcterms:W3CDTF">2016-03-25T08:33:47Z</dcterms:created>
  <dcterms:modified xsi:type="dcterms:W3CDTF">2022-01-17T12:11:23Z</dcterms:modified>
</cp:coreProperties>
</file>