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15" windowWidth="15480" windowHeight="8100" activeTab="11"/>
  </bookViews>
  <sheets>
    <sheet name="01.21" sheetId="38" r:id="rId1"/>
    <sheet name="02.21" sheetId="39" r:id="rId2"/>
    <sheet name="03.21" sheetId="40" r:id="rId3"/>
    <sheet name="04.21" sheetId="41" r:id="rId4"/>
    <sheet name="05.21" sheetId="30" r:id="rId5"/>
    <sheet name="06.21" sheetId="31" r:id="rId6"/>
    <sheet name="07.21" sheetId="32" r:id="rId7"/>
    <sheet name="08.21" sheetId="33" r:id="rId8"/>
    <sheet name="09.21" sheetId="34" r:id="rId9"/>
    <sheet name="10.21" sheetId="35" r:id="rId10"/>
    <sheet name="11.21" sheetId="36" r:id="rId11"/>
    <sheet name="12.21" sheetId="37" r:id="rId12"/>
  </sheets>
  <definedNames>
    <definedName name="_xlnm._FilterDatabase" localSheetId="0" hidden="1">'01.21'!$I$12:$I$104</definedName>
    <definedName name="_xlnm._FilterDatabase" localSheetId="1" hidden="1">'02.21'!$I$12:$I$105</definedName>
    <definedName name="_xlnm._FilterDatabase" localSheetId="2" hidden="1">'03.21'!$I$12:$I$102</definedName>
    <definedName name="_xlnm._FilterDatabase" localSheetId="4" hidden="1">'05.21'!$I$12:$I$104</definedName>
    <definedName name="_xlnm._FilterDatabase" localSheetId="5" hidden="1">'06.21'!$I$12:$I$106</definedName>
    <definedName name="_xlnm._FilterDatabase" localSheetId="6" hidden="1">'07.21'!$I$12:$I$100</definedName>
    <definedName name="_xlnm._FilterDatabase" localSheetId="7" hidden="1">'08.21'!$I$12:$I$102</definedName>
    <definedName name="_xlnm._FilterDatabase" localSheetId="8" hidden="1">'09.21'!$I$12:$I$101</definedName>
    <definedName name="_xlnm._FilterDatabase" localSheetId="9" hidden="1">'10.21'!$I$12:$I$100</definedName>
    <definedName name="_xlnm._FilterDatabase" localSheetId="10" hidden="1">'11.21'!$I$12:$I$107</definedName>
    <definedName name="_xlnm._FilterDatabase" localSheetId="11" hidden="1">'12.21'!$I$12:$I$103</definedName>
    <definedName name="_xlnm.Print_Area" localSheetId="0">'01.21'!$A$1:$I$118</definedName>
    <definedName name="_xlnm.Print_Area" localSheetId="1">'02.21'!$A$1:$I$119</definedName>
    <definedName name="_xlnm.Print_Area" localSheetId="2">'03.21'!$A$1:$I$116</definedName>
    <definedName name="_xlnm.Print_Area" localSheetId="4">'05.21'!$A$1:$I$118</definedName>
    <definedName name="_xlnm.Print_Area" localSheetId="5">'06.21'!$A$1:$I$120</definedName>
    <definedName name="_xlnm.Print_Area" localSheetId="6">'07.21'!$A$1:$I$114</definedName>
    <definedName name="_xlnm.Print_Area" localSheetId="7">'08.21'!$A$1:$I$116</definedName>
    <definedName name="_xlnm.Print_Area" localSheetId="8">'09.21'!$A$1:$I$115</definedName>
    <definedName name="_xlnm.Print_Area" localSheetId="9">'10.21'!$A$1:$I$114</definedName>
    <definedName name="_xlnm.Print_Area" localSheetId="10">'11.21'!$A$1:$I$121</definedName>
    <definedName name="_xlnm.Print_Area" localSheetId="11">'12.21'!$A$1:$I$117</definedName>
  </definedNames>
  <calcPr calcId="125725"/>
</workbook>
</file>

<file path=xl/calcChain.xml><?xml version="1.0" encoding="utf-8"?>
<calcChain xmlns="http://schemas.openxmlformats.org/spreadsheetml/2006/main">
  <c r="I94" i="37"/>
  <c r="I93"/>
  <c r="I92"/>
  <c r="I88"/>
  <c r="I90"/>
  <c r="I37"/>
  <c r="I96" i="36"/>
  <c r="I98" s="1"/>
  <c r="I97"/>
  <c r="I89"/>
  <c r="I95"/>
  <c r="I93"/>
  <c r="F93"/>
  <c r="I92"/>
  <c r="I91"/>
  <c r="I37"/>
  <c r="I85" i="35" l="1"/>
  <c r="I91"/>
  <c r="I90"/>
  <c r="I89"/>
  <c r="I87"/>
  <c r="I62"/>
  <c r="I92" i="34"/>
  <c r="I86"/>
  <c r="I56"/>
  <c r="I91"/>
  <c r="I89"/>
  <c r="I90"/>
  <c r="I62"/>
  <c r="I88"/>
  <c r="I93" i="33"/>
  <c r="I92"/>
  <c r="I50" i="34"/>
  <c r="H50"/>
  <c r="I49"/>
  <c r="H49"/>
  <c r="F49"/>
  <c r="F48"/>
  <c r="H48" s="1"/>
  <c r="I47"/>
  <c r="H47"/>
  <c r="F47"/>
  <c r="I46"/>
  <c r="H46"/>
  <c r="F46"/>
  <c r="F45"/>
  <c r="H45" s="1"/>
  <c r="I44"/>
  <c r="F44"/>
  <c r="H44" s="1"/>
  <c r="I43"/>
  <c r="H43"/>
  <c r="F43"/>
  <c r="H84" i="33"/>
  <c r="F84"/>
  <c r="I84" s="1"/>
  <c r="E84"/>
  <c r="I83"/>
  <c r="F83"/>
  <c r="H83" s="1"/>
  <c r="I76"/>
  <c r="F76"/>
  <c r="H76" s="1"/>
  <c r="F59"/>
  <c r="I59" s="1"/>
  <c r="F69"/>
  <c r="H69" s="1"/>
  <c r="F30"/>
  <c r="I30" s="1"/>
  <c r="F29"/>
  <c r="I29" s="1"/>
  <c r="E18"/>
  <c r="F18" s="1"/>
  <c r="F17"/>
  <c r="H17" s="1"/>
  <c r="H16"/>
  <c r="F16"/>
  <c r="I16" s="1"/>
  <c r="I91"/>
  <c r="I90"/>
  <c r="I89"/>
  <c r="I87"/>
  <c r="I91" i="32"/>
  <c r="I90"/>
  <c r="I18"/>
  <c r="I87" s="1"/>
  <c r="H18"/>
  <c r="F18"/>
  <c r="E18"/>
  <c r="I17"/>
  <c r="H17"/>
  <c r="F17"/>
  <c r="F16"/>
  <c r="I16" s="1"/>
  <c r="I89"/>
  <c r="F86"/>
  <c r="H86" s="1"/>
  <c r="E86"/>
  <c r="F85"/>
  <c r="H85" s="1"/>
  <c r="I78"/>
  <c r="F78"/>
  <c r="H78" s="1"/>
  <c r="F71"/>
  <c r="H71" s="1"/>
  <c r="F60"/>
  <c r="I60" s="1"/>
  <c r="I32"/>
  <c r="F32"/>
  <c r="H30"/>
  <c r="F30"/>
  <c r="I30" s="1"/>
  <c r="F29"/>
  <c r="H29" s="1"/>
  <c r="F25"/>
  <c r="F24"/>
  <c r="F23"/>
  <c r="F22"/>
  <c r="F21"/>
  <c r="F20"/>
  <c r="I48" i="34" l="1"/>
  <c r="I45"/>
  <c r="I85" i="33"/>
  <c r="I17"/>
  <c r="I69"/>
  <c r="H30"/>
  <c r="H29"/>
  <c r="I18"/>
  <c r="H18"/>
  <c r="H16" i="32"/>
  <c r="I86"/>
  <c r="I85"/>
  <c r="I29"/>
  <c r="I71"/>
  <c r="I94" i="31" l="1"/>
  <c r="F59"/>
  <c r="I59" s="1"/>
  <c r="I96"/>
  <c r="I95"/>
  <c r="I93"/>
  <c r="I92"/>
  <c r="I91"/>
  <c r="I90"/>
  <c r="I89"/>
  <c r="I88"/>
  <c r="I87"/>
  <c r="I97" s="1"/>
  <c r="E84"/>
  <c r="F84" s="1"/>
  <c r="F83"/>
  <c r="H83" s="1"/>
  <c r="I76"/>
  <c r="F76"/>
  <c r="H76" s="1"/>
  <c r="F69"/>
  <c r="H69" s="1"/>
  <c r="F68"/>
  <c r="F67"/>
  <c r="F66"/>
  <c r="F65"/>
  <c r="F64"/>
  <c r="F63"/>
  <c r="F62"/>
  <c r="F61"/>
  <c r="F30"/>
  <c r="H30" s="1"/>
  <c r="F29"/>
  <c r="I29" s="1"/>
  <c r="F19"/>
  <c r="E18"/>
  <c r="F18" s="1"/>
  <c r="F17"/>
  <c r="I17" s="1"/>
  <c r="F16"/>
  <c r="I16" s="1"/>
  <c r="I88" i="30"/>
  <c r="I94"/>
  <c r="I93"/>
  <c r="I92"/>
  <c r="I89"/>
  <c r="I87"/>
  <c r="E84"/>
  <c r="F84" s="1"/>
  <c r="F83"/>
  <c r="H83" s="1"/>
  <c r="I76"/>
  <c r="F76"/>
  <c r="H76" s="1"/>
  <c r="F69"/>
  <c r="H69" s="1"/>
  <c r="F59"/>
  <c r="I59" s="1"/>
  <c r="F52"/>
  <c r="F51"/>
  <c r="F49"/>
  <c r="F48"/>
  <c r="F47"/>
  <c r="F46"/>
  <c r="F45"/>
  <c r="F44"/>
  <c r="F43"/>
  <c r="E31"/>
  <c r="F31" s="1"/>
  <c r="F30"/>
  <c r="F29"/>
  <c r="E18"/>
  <c r="F18" s="1"/>
  <c r="F17"/>
  <c r="H17" s="1"/>
  <c r="F16"/>
  <c r="I16" s="1"/>
  <c r="F26"/>
  <c r="H26" s="1"/>
  <c r="I81" i="41"/>
  <c r="I94"/>
  <c r="I92"/>
  <c r="I91"/>
  <c r="I99"/>
  <c r="I98"/>
  <c r="I97"/>
  <c r="I96"/>
  <c r="I95"/>
  <c r="I93"/>
  <c r="I90"/>
  <c r="I102" s="1"/>
  <c r="E87"/>
  <c r="F87" s="1"/>
  <c r="F86"/>
  <c r="H86" s="1"/>
  <c r="I79"/>
  <c r="F79"/>
  <c r="H79" s="1"/>
  <c r="F72"/>
  <c r="H72" s="1"/>
  <c r="F61"/>
  <c r="I61" s="1"/>
  <c r="F43"/>
  <c r="I43" s="1"/>
  <c r="I42"/>
  <c r="H42"/>
  <c r="E41"/>
  <c r="F41" s="1"/>
  <c r="F40"/>
  <c r="I40" s="1"/>
  <c r="E39"/>
  <c r="F39" s="1"/>
  <c r="I39" s="1"/>
  <c r="I38"/>
  <c r="H38"/>
  <c r="F37"/>
  <c r="I37" s="1"/>
  <c r="E18"/>
  <c r="F18" s="1"/>
  <c r="H17"/>
  <c r="F17"/>
  <c r="I17" s="1"/>
  <c r="F16"/>
  <c r="I16" s="1"/>
  <c r="I95" i="30" l="1"/>
  <c r="H29" i="31"/>
  <c r="H40" i="41"/>
  <c r="H17" i="31"/>
  <c r="H84"/>
  <c r="I84"/>
  <c r="I83"/>
  <c r="I69"/>
  <c r="I30"/>
  <c r="H18"/>
  <c r="I18"/>
  <c r="H16"/>
  <c r="H16" i="30"/>
  <c r="H84"/>
  <c r="I84"/>
  <c r="I83"/>
  <c r="I69"/>
  <c r="H18"/>
  <c r="I18"/>
  <c r="I17"/>
  <c r="I26"/>
  <c r="H87" i="41"/>
  <c r="I87"/>
  <c r="I86"/>
  <c r="I72"/>
  <c r="H41"/>
  <c r="I41"/>
  <c r="H37"/>
  <c r="H39"/>
  <c r="H18"/>
  <c r="I18"/>
  <c r="H16"/>
  <c r="F61" i="40" l="1"/>
  <c r="I61" s="1"/>
  <c r="I93"/>
  <c r="I90"/>
  <c r="I89"/>
  <c r="F89"/>
  <c r="E86"/>
  <c r="F86" s="1"/>
  <c r="F85"/>
  <c r="H85" s="1"/>
  <c r="I78"/>
  <c r="F78"/>
  <c r="H78" s="1"/>
  <c r="F71"/>
  <c r="H71" s="1"/>
  <c r="F60"/>
  <c r="I60" s="1"/>
  <c r="I58"/>
  <c r="I57"/>
  <c r="I42"/>
  <c r="I41"/>
  <c r="I36"/>
  <c r="F43"/>
  <c r="I43" s="1"/>
  <c r="H42"/>
  <c r="E41"/>
  <c r="F41" s="1"/>
  <c r="F40"/>
  <c r="H40" s="1"/>
  <c r="E39"/>
  <c r="F39" s="1"/>
  <c r="I38"/>
  <c r="H38"/>
  <c r="F37"/>
  <c r="I37" s="1"/>
  <c r="H36"/>
  <c r="F26"/>
  <c r="H26" s="1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I36" i="39"/>
  <c r="I95"/>
  <c r="I94"/>
  <c r="I93"/>
  <c r="I92"/>
  <c r="I91"/>
  <c r="I90"/>
  <c r="I89"/>
  <c r="I96" s="1"/>
  <c r="E86"/>
  <c r="F86" s="1"/>
  <c r="F85"/>
  <c r="H85" s="1"/>
  <c r="I78"/>
  <c r="F78"/>
  <c r="H78" s="1"/>
  <c r="F71"/>
  <c r="H71" s="1"/>
  <c r="F61"/>
  <c r="I61" s="1"/>
  <c r="I57"/>
  <c r="I54"/>
  <c r="F54"/>
  <c r="H54" s="1"/>
  <c r="I53"/>
  <c r="F53"/>
  <c r="H53" s="1"/>
  <c r="I52"/>
  <c r="H52"/>
  <c r="F51"/>
  <c r="H51" s="1"/>
  <c r="F50"/>
  <c r="I50" s="1"/>
  <c r="F49"/>
  <c r="H49" s="1"/>
  <c r="F43"/>
  <c r="I43" s="1"/>
  <c r="I42"/>
  <c r="H42"/>
  <c r="E41"/>
  <c r="F41" s="1"/>
  <c r="F40"/>
  <c r="H40" s="1"/>
  <c r="E39"/>
  <c r="F39" s="1"/>
  <c r="I38"/>
  <c r="H38"/>
  <c r="F37"/>
  <c r="I37" s="1"/>
  <c r="H36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4" i="38"/>
  <c r="I93"/>
  <c r="I92"/>
  <c r="I91"/>
  <c r="I95" s="1"/>
  <c r="E88"/>
  <c r="F88" s="1"/>
  <c r="F87"/>
  <c r="H87" s="1"/>
  <c r="I80"/>
  <c r="F80"/>
  <c r="H80" s="1"/>
  <c r="F73"/>
  <c r="H73" s="1"/>
  <c r="F62"/>
  <c r="I62" s="1"/>
  <c r="F50"/>
  <c r="H50" s="1"/>
  <c r="I37"/>
  <c r="F44"/>
  <c r="I44" s="1"/>
  <c r="I43"/>
  <c r="H43"/>
  <c r="E42"/>
  <c r="F42" s="1"/>
  <c r="F41"/>
  <c r="H41" s="1"/>
  <c r="E40"/>
  <c r="F40" s="1"/>
  <c r="I39"/>
  <c r="H39"/>
  <c r="F38"/>
  <c r="I38" s="1"/>
  <c r="H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E87" i="37"/>
  <c r="F87" s="1"/>
  <c r="F86"/>
  <c r="H86" s="1"/>
  <c r="I79"/>
  <c r="F79"/>
  <c r="H79" s="1"/>
  <c r="I76"/>
  <c r="F76"/>
  <c r="H76" s="1"/>
  <c r="F72"/>
  <c r="H72" s="1"/>
  <c r="F61"/>
  <c r="I61" s="1"/>
  <c r="F50"/>
  <c r="F44"/>
  <c r="I44" s="1"/>
  <c r="I43"/>
  <c r="H43"/>
  <c r="E42"/>
  <c r="F42" s="1"/>
  <c r="F41"/>
  <c r="I41" s="1"/>
  <c r="E40"/>
  <c r="F40" s="1"/>
  <c r="I40" s="1"/>
  <c r="I39"/>
  <c r="H39"/>
  <c r="F38"/>
  <c r="I38" s="1"/>
  <c r="H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77" i="36"/>
  <c r="E88"/>
  <c r="F88" s="1"/>
  <c r="F87"/>
  <c r="H87" s="1"/>
  <c r="I80"/>
  <c r="F80"/>
  <c r="H80" s="1"/>
  <c r="F73"/>
  <c r="H73" s="1"/>
  <c r="F62"/>
  <c r="I62" s="1"/>
  <c r="I43"/>
  <c r="F44"/>
  <c r="I44" s="1"/>
  <c r="E42"/>
  <c r="F42" s="1"/>
  <c r="I42" s="1"/>
  <c r="F41"/>
  <c r="E40"/>
  <c r="F40" s="1"/>
  <c r="F38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25" i="40" l="1"/>
  <c r="H86"/>
  <c r="I86"/>
  <c r="I85"/>
  <c r="I71"/>
  <c r="I39"/>
  <c r="H39"/>
  <c r="H41"/>
  <c r="H37"/>
  <c r="I40"/>
  <c r="I17"/>
  <c r="I18"/>
  <c r="I20"/>
  <c r="I22"/>
  <c r="I24"/>
  <c r="I26"/>
  <c r="H16" i="39"/>
  <c r="H23"/>
  <c r="H19"/>
  <c r="H86"/>
  <c r="I86"/>
  <c r="I85"/>
  <c r="I71"/>
  <c r="H50"/>
  <c r="I49"/>
  <c r="I51"/>
  <c r="I39"/>
  <c r="H39"/>
  <c r="H41"/>
  <c r="I41"/>
  <c r="H37"/>
  <c r="I40"/>
  <c r="I17"/>
  <c r="I18"/>
  <c r="I20"/>
  <c r="H21"/>
  <c r="I22"/>
  <c r="I24"/>
  <c r="H25"/>
  <c r="I26"/>
  <c r="H17" i="38"/>
  <c r="H88"/>
  <c r="I88"/>
  <c r="I87"/>
  <c r="I73"/>
  <c r="I50"/>
  <c r="I40"/>
  <c r="H40"/>
  <c r="H42"/>
  <c r="I42"/>
  <c r="H38"/>
  <c r="I41"/>
  <c r="H18"/>
  <c r="I18"/>
  <c r="H16"/>
  <c r="H19"/>
  <c r="I20"/>
  <c r="H21"/>
  <c r="I22"/>
  <c r="H23"/>
  <c r="I24"/>
  <c r="H25"/>
  <c r="I26"/>
  <c r="H87" i="37"/>
  <c r="I87"/>
  <c r="I86"/>
  <c r="I72"/>
  <c r="H19"/>
  <c r="H23"/>
  <c r="H21"/>
  <c r="H41"/>
  <c r="H42"/>
  <c r="I42"/>
  <c r="H38"/>
  <c r="H40"/>
  <c r="H18"/>
  <c r="I18"/>
  <c r="H16"/>
  <c r="I17"/>
  <c r="I20"/>
  <c r="I22"/>
  <c r="I24"/>
  <c r="H25"/>
  <c r="I26"/>
  <c r="H19" i="36"/>
  <c r="H23"/>
  <c r="H16"/>
  <c r="H21"/>
  <c r="H25"/>
  <c r="H88"/>
  <c r="I88"/>
  <c r="I87"/>
  <c r="I73"/>
  <c r="I17"/>
  <c r="I18"/>
  <c r="I20"/>
  <c r="I22"/>
  <c r="I24"/>
  <c r="I26"/>
  <c r="I61" i="35"/>
  <c r="F61"/>
  <c r="H61" s="1"/>
  <c r="E84"/>
  <c r="F84" s="1"/>
  <c r="F83"/>
  <c r="H83" s="1"/>
  <c r="I76"/>
  <c r="F76"/>
  <c r="H76" s="1"/>
  <c r="F69"/>
  <c r="H69" s="1"/>
  <c r="F59"/>
  <c r="I59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7" i="40" l="1"/>
  <c r="I87" i="39"/>
  <c r="H19" i="35"/>
  <c r="H23"/>
  <c r="H29"/>
  <c r="H16"/>
  <c r="H21"/>
  <c r="H25"/>
  <c r="H84"/>
  <c r="I84"/>
  <c r="I83"/>
  <c r="I69"/>
  <c r="I30"/>
  <c r="I17"/>
  <c r="I18"/>
  <c r="I20"/>
  <c r="I22"/>
  <c r="I24"/>
  <c r="I26"/>
  <c r="I61" i="34" l="1"/>
  <c r="F26"/>
  <c r="F85"/>
  <c r="I85" s="1"/>
  <c r="E84"/>
  <c r="F84" s="1"/>
  <c r="F83"/>
  <c r="F76"/>
  <c r="F69"/>
  <c r="F68"/>
  <c r="F67"/>
  <c r="F66"/>
  <c r="F65"/>
  <c r="F64"/>
  <c r="F63"/>
  <c r="F62"/>
  <c r="F61"/>
  <c r="F59"/>
  <c r="I59" s="1"/>
  <c r="F52"/>
  <c r="F51"/>
  <c r="F30"/>
  <c r="F29"/>
  <c r="F25"/>
  <c r="F24"/>
  <c r="F23"/>
  <c r="F22"/>
  <c r="F21"/>
  <c r="F20"/>
  <c r="F19"/>
  <c r="E18"/>
  <c r="F18" s="1"/>
  <c r="F17"/>
  <c r="F16"/>
  <c r="I78" i="33" l="1"/>
  <c r="I80" i="31"/>
  <c r="I19" l="1"/>
  <c r="I58" i="39" l="1"/>
  <c r="I81" i="31" l="1"/>
  <c r="H30" i="34" l="1"/>
  <c r="I29"/>
  <c r="H26"/>
  <c r="I17"/>
  <c r="I16"/>
  <c r="F26" i="33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F26" i="32"/>
  <c r="H26" s="1"/>
  <c r="I25"/>
  <c r="I24"/>
  <c r="I23"/>
  <c r="I22"/>
  <c r="I21"/>
  <c r="I20"/>
  <c r="F19"/>
  <c r="I19" s="1"/>
  <c r="F26" i="31"/>
  <c r="H26" s="1"/>
  <c r="F25"/>
  <c r="I25" s="1"/>
  <c r="F24"/>
  <c r="H24" s="1"/>
  <c r="F23"/>
  <c r="I23" s="1"/>
  <c r="F22"/>
  <c r="H22" s="1"/>
  <c r="F21"/>
  <c r="I21" s="1"/>
  <c r="F20"/>
  <c r="H20" s="1"/>
  <c r="F26" i="41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63"/>
  <c r="I76" i="40"/>
  <c r="I80" i="39"/>
  <c r="I75"/>
  <c r="H19" i="41" l="1"/>
  <c r="H21"/>
  <c r="H25"/>
  <c r="H23"/>
  <c r="H17" i="34"/>
  <c r="H29"/>
  <c r="I30"/>
  <c r="I26"/>
  <c r="H18"/>
  <c r="I18"/>
  <c r="H16"/>
  <c r="H19" i="33"/>
  <c r="H23"/>
  <c r="H21"/>
  <c r="I20"/>
  <c r="I22"/>
  <c r="I24"/>
  <c r="H25"/>
  <c r="I26"/>
  <c r="H20" i="32"/>
  <c r="H24"/>
  <c r="H22"/>
  <c r="H19"/>
  <c r="H21"/>
  <c r="H23"/>
  <c r="H25"/>
  <c r="I26"/>
  <c r="H19" i="31"/>
  <c r="H23"/>
  <c r="H21"/>
  <c r="H25"/>
  <c r="I20"/>
  <c r="I22"/>
  <c r="I24"/>
  <c r="I26"/>
  <c r="I20" i="41"/>
  <c r="I22"/>
  <c r="I24"/>
  <c r="I26"/>
  <c r="I58" i="38"/>
  <c r="I59"/>
  <c r="I59" i="37" l="1"/>
  <c r="I76" i="34" l="1"/>
  <c r="I61" i="30" l="1"/>
  <c r="H88" i="41" l="1"/>
  <c r="H84"/>
  <c r="I83"/>
  <c r="I88" s="1"/>
  <c r="H83"/>
  <c r="H81"/>
  <c r="F78"/>
  <c r="H78" s="1"/>
  <c r="F77"/>
  <c r="H77" s="1"/>
  <c r="I76"/>
  <c r="F76"/>
  <c r="H76" s="1"/>
  <c r="I75"/>
  <c r="F75"/>
  <c r="H75" s="1"/>
  <c r="F74"/>
  <c r="H74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H60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36"/>
  <c r="H36"/>
  <c r="H34"/>
  <c r="H33"/>
  <c r="F32"/>
  <c r="H32" s="1"/>
  <c r="E32"/>
  <c r="E31"/>
  <c r="F31" s="1"/>
  <c r="H31" s="1"/>
  <c r="F30"/>
  <c r="H30" s="1"/>
  <c r="F29"/>
  <c r="I29" s="1"/>
  <c r="I74" i="40"/>
  <c r="I75"/>
  <c r="I63"/>
  <c r="H83"/>
  <c r="I82"/>
  <c r="H82"/>
  <c r="H80"/>
  <c r="F77"/>
  <c r="H77" s="1"/>
  <c r="F76"/>
  <c r="H76" s="1"/>
  <c r="F75"/>
  <c r="H75" s="1"/>
  <c r="F74"/>
  <c r="H74" s="1"/>
  <c r="F73"/>
  <c r="H73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F63"/>
  <c r="H63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H34"/>
  <c r="H33"/>
  <c r="F32"/>
  <c r="H32" s="1"/>
  <c r="E32"/>
  <c r="E31"/>
  <c r="F31" s="1"/>
  <c r="H31" s="1"/>
  <c r="F30"/>
  <c r="H30" s="1"/>
  <c r="F29"/>
  <c r="I29" s="1"/>
  <c r="H49" l="1"/>
  <c r="H29"/>
  <c r="H45"/>
  <c r="H87"/>
  <c r="H82" i="41"/>
  <c r="H47"/>
  <c r="H45"/>
  <c r="H49"/>
  <c r="H51"/>
  <c r="H29"/>
  <c r="I30"/>
  <c r="I31"/>
  <c r="I32"/>
  <c r="I46"/>
  <c r="I48"/>
  <c r="I50"/>
  <c r="I57"/>
  <c r="H81" i="40"/>
  <c r="H47"/>
  <c r="H51"/>
  <c r="I30"/>
  <c r="I31"/>
  <c r="I32"/>
  <c r="I46"/>
  <c r="I48"/>
  <c r="I50"/>
  <c r="I104" i="41" l="1"/>
  <c r="I95" i="40"/>
  <c r="I74" i="39" l="1"/>
  <c r="H83"/>
  <c r="I82"/>
  <c r="H82"/>
  <c r="H80"/>
  <c r="F77"/>
  <c r="H77" s="1"/>
  <c r="F76"/>
  <c r="H76" s="1"/>
  <c r="F75"/>
  <c r="H75" s="1"/>
  <c r="F74"/>
  <c r="H74" s="1"/>
  <c r="F73"/>
  <c r="H73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H60"/>
  <c r="H58"/>
  <c r="F57"/>
  <c r="F48"/>
  <c r="I48" s="1"/>
  <c r="F47"/>
  <c r="H47" s="1"/>
  <c r="F46"/>
  <c r="I46" s="1"/>
  <c r="F45"/>
  <c r="H45" s="1"/>
  <c r="H34"/>
  <c r="H33"/>
  <c r="F32"/>
  <c r="I32" s="1"/>
  <c r="E32"/>
  <c r="E31"/>
  <c r="F31" s="1"/>
  <c r="F30"/>
  <c r="I30" s="1"/>
  <c r="F29"/>
  <c r="H29" s="1"/>
  <c r="H87" l="1"/>
  <c r="I31"/>
  <c r="H31"/>
  <c r="I29"/>
  <c r="H30"/>
  <c r="H32"/>
  <c r="I45"/>
  <c r="H46"/>
  <c r="I47"/>
  <c r="H48"/>
  <c r="H57"/>
  <c r="H81" l="1"/>
  <c r="I98"/>
  <c r="H85" i="38" l="1"/>
  <c r="I84"/>
  <c r="I89" s="1"/>
  <c r="H84"/>
  <c r="H82"/>
  <c r="F79"/>
  <c r="H79" s="1"/>
  <c r="F78"/>
  <c r="H78" s="1"/>
  <c r="F77"/>
  <c r="H77" s="1"/>
  <c r="F76"/>
  <c r="H76" s="1"/>
  <c r="F75"/>
  <c r="H75" s="1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H61"/>
  <c r="H59"/>
  <c r="F58"/>
  <c r="I55"/>
  <c r="F55"/>
  <c r="H55" s="1"/>
  <c r="I54"/>
  <c r="F54"/>
  <c r="H54" s="1"/>
  <c r="I53"/>
  <c r="H53"/>
  <c r="F52"/>
  <c r="H52" s="1"/>
  <c r="F51"/>
  <c r="I51" s="1"/>
  <c r="F49"/>
  <c r="I49" s="1"/>
  <c r="F48"/>
  <c r="H48" s="1"/>
  <c r="F47"/>
  <c r="I47" s="1"/>
  <c r="F46"/>
  <c r="H46" s="1"/>
  <c r="H35"/>
  <c r="H34"/>
  <c r="F33"/>
  <c r="I33" s="1"/>
  <c r="E33"/>
  <c r="E32"/>
  <c r="F32" s="1"/>
  <c r="F31"/>
  <c r="I31" s="1"/>
  <c r="F30"/>
  <c r="H30" s="1"/>
  <c r="F27"/>
  <c r="I27" s="1"/>
  <c r="H84" i="37"/>
  <c r="I83"/>
  <c r="H83"/>
  <c r="H81"/>
  <c r="F78"/>
  <c r="H78" s="1"/>
  <c r="F77"/>
  <c r="H77" s="1"/>
  <c r="F75"/>
  <c r="H75" s="1"/>
  <c r="F74"/>
  <c r="H74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H59"/>
  <c r="F58"/>
  <c r="I58" s="1"/>
  <c r="I55"/>
  <c r="F55"/>
  <c r="H55" s="1"/>
  <c r="I54"/>
  <c r="F54"/>
  <c r="H54" s="1"/>
  <c r="I53"/>
  <c r="H53"/>
  <c r="F52"/>
  <c r="H52" s="1"/>
  <c r="F51"/>
  <c r="I51" s="1"/>
  <c r="H50"/>
  <c r="F49"/>
  <c r="I49" s="1"/>
  <c r="F48"/>
  <c r="H48" s="1"/>
  <c r="F47"/>
  <c r="I47" s="1"/>
  <c r="F46"/>
  <c r="H46" s="1"/>
  <c r="H35"/>
  <c r="H34"/>
  <c r="F33"/>
  <c r="I33" s="1"/>
  <c r="E33"/>
  <c r="E32"/>
  <c r="F32" s="1"/>
  <c r="F31"/>
  <c r="I31" s="1"/>
  <c r="F30"/>
  <c r="H30" s="1"/>
  <c r="F27"/>
  <c r="I27" s="1"/>
  <c r="H49" i="38" l="1"/>
  <c r="H89"/>
  <c r="H31"/>
  <c r="H33"/>
  <c r="H47"/>
  <c r="H27"/>
  <c r="H58"/>
  <c r="H83" s="1"/>
  <c r="H51"/>
  <c r="I32"/>
  <c r="H32"/>
  <c r="I30"/>
  <c r="I46"/>
  <c r="I48"/>
  <c r="I52"/>
  <c r="I32" i="37"/>
  <c r="H32"/>
  <c r="H27"/>
  <c r="I30"/>
  <c r="H31"/>
  <c r="H33"/>
  <c r="I46"/>
  <c r="H47"/>
  <c r="I48"/>
  <c r="H49"/>
  <c r="I50"/>
  <c r="H51"/>
  <c r="I52"/>
  <c r="H58"/>
  <c r="H82" s="1"/>
  <c r="H88"/>
  <c r="I96" l="1"/>
  <c r="I97" i="38"/>
  <c r="H85" i="36" l="1"/>
  <c r="I84"/>
  <c r="H84"/>
  <c r="H82"/>
  <c r="F79"/>
  <c r="H79" s="1"/>
  <c r="F78"/>
  <c r="H78" s="1"/>
  <c r="F77"/>
  <c r="H77" s="1"/>
  <c r="F76"/>
  <c r="H76" s="1"/>
  <c r="F75"/>
  <c r="H75" s="1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H61"/>
  <c r="H59"/>
  <c r="F58"/>
  <c r="I58" s="1"/>
  <c r="I55"/>
  <c r="F55"/>
  <c r="H55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3"/>
  <c r="I41"/>
  <c r="H40"/>
  <c r="I39"/>
  <c r="H39"/>
  <c r="H38"/>
  <c r="H37"/>
  <c r="H35"/>
  <c r="H34"/>
  <c r="F33"/>
  <c r="I33" s="1"/>
  <c r="E33"/>
  <c r="E32"/>
  <c r="F32" s="1"/>
  <c r="F31"/>
  <c r="I31" s="1"/>
  <c r="F30"/>
  <c r="H30" s="1"/>
  <c r="F27"/>
  <c r="I27" s="1"/>
  <c r="H27" l="1"/>
  <c r="H33"/>
  <c r="H58"/>
  <c r="H83" s="1"/>
  <c r="H31"/>
  <c r="H49"/>
  <c r="H41"/>
  <c r="H47"/>
  <c r="H51"/>
  <c r="H42"/>
  <c r="I32"/>
  <c r="H32"/>
  <c r="I30"/>
  <c r="I38"/>
  <c r="I40"/>
  <c r="I46"/>
  <c r="I48"/>
  <c r="I50"/>
  <c r="I52"/>
  <c r="H89"/>
  <c r="I100" l="1"/>
  <c r="H85" i="35" l="1"/>
  <c r="H81"/>
  <c r="I80"/>
  <c r="H80"/>
  <c r="H78"/>
  <c r="F75"/>
  <c r="H75" s="1"/>
  <c r="F74"/>
  <c r="H74" s="1"/>
  <c r="F73"/>
  <c r="H73" s="1"/>
  <c r="F72"/>
  <c r="H72" s="1"/>
  <c r="F71"/>
  <c r="H71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F62"/>
  <c r="H62" s="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I68" i="34"/>
  <c r="I63"/>
  <c r="I64"/>
  <c r="I65"/>
  <c r="I66"/>
  <c r="I67"/>
  <c r="I84"/>
  <c r="H83"/>
  <c r="H81"/>
  <c r="I80"/>
  <c r="H80"/>
  <c r="H78"/>
  <c r="H76"/>
  <c r="F75"/>
  <c r="H75" s="1"/>
  <c r="F74"/>
  <c r="H74" s="1"/>
  <c r="F73"/>
  <c r="H73" s="1"/>
  <c r="F72"/>
  <c r="H72" s="1"/>
  <c r="F71"/>
  <c r="H71" s="1"/>
  <c r="H69"/>
  <c r="H68"/>
  <c r="H66"/>
  <c r="H64"/>
  <c r="H62"/>
  <c r="H61"/>
  <c r="H58"/>
  <c r="H56"/>
  <c r="F55"/>
  <c r="I55" s="1"/>
  <c r="I52"/>
  <c r="H52"/>
  <c r="I51"/>
  <c r="H5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I25"/>
  <c r="H24"/>
  <c r="I23"/>
  <c r="H22"/>
  <c r="I21"/>
  <c r="H20"/>
  <c r="I19"/>
  <c r="H81" i="33"/>
  <c r="I80"/>
  <c r="H80"/>
  <c r="H78"/>
  <c r="F75"/>
  <c r="H75" s="1"/>
  <c r="F74"/>
  <c r="H74" s="1"/>
  <c r="F73"/>
  <c r="H73" s="1"/>
  <c r="F72"/>
  <c r="H72" s="1"/>
  <c r="F71"/>
  <c r="H71" s="1"/>
  <c r="F68"/>
  <c r="H68" s="1"/>
  <c r="F67"/>
  <c r="I67" s="1"/>
  <c r="F66"/>
  <c r="H66" s="1"/>
  <c r="F65"/>
  <c r="I65" s="1"/>
  <c r="F64"/>
  <c r="H64" s="1"/>
  <c r="F63"/>
  <c r="I63" s="1"/>
  <c r="F62"/>
  <c r="H62" s="1"/>
  <c r="I61"/>
  <c r="F61"/>
  <c r="H61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H83" i="32"/>
  <c r="I82"/>
  <c r="H82"/>
  <c r="H80"/>
  <c r="F77"/>
  <c r="H77" s="1"/>
  <c r="F76"/>
  <c r="H76" s="1"/>
  <c r="F75"/>
  <c r="H75" s="1"/>
  <c r="F74"/>
  <c r="H74" s="1"/>
  <c r="F73"/>
  <c r="H73" s="1"/>
  <c r="F69"/>
  <c r="H69" s="1"/>
  <c r="F68"/>
  <c r="I68" s="1"/>
  <c r="F67"/>
  <c r="H67" s="1"/>
  <c r="F66"/>
  <c r="I66" s="1"/>
  <c r="F65"/>
  <c r="H65" s="1"/>
  <c r="F64"/>
  <c r="I64" s="1"/>
  <c r="F63"/>
  <c r="H63" s="1"/>
  <c r="I62"/>
  <c r="F62"/>
  <c r="H62" s="1"/>
  <c r="H59"/>
  <c r="H57"/>
  <c r="F56"/>
  <c r="I56" s="1"/>
  <c r="I53"/>
  <c r="F53"/>
  <c r="H53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F40"/>
  <c r="I40" s="1"/>
  <c r="E39"/>
  <c r="F39" s="1"/>
  <c r="H39" s="1"/>
  <c r="I38"/>
  <c r="H38"/>
  <c r="F37"/>
  <c r="H37" s="1"/>
  <c r="I36"/>
  <c r="H36"/>
  <c r="H34"/>
  <c r="H33"/>
  <c r="E31"/>
  <c r="F31" s="1"/>
  <c r="I61" i="31"/>
  <c r="H81"/>
  <c r="H80"/>
  <c r="H78"/>
  <c r="F75"/>
  <c r="H75" s="1"/>
  <c r="F74"/>
  <c r="H74" s="1"/>
  <c r="F73"/>
  <c r="H73" s="1"/>
  <c r="F72"/>
  <c r="H72" s="1"/>
  <c r="F71"/>
  <c r="H71" s="1"/>
  <c r="H68"/>
  <c r="I67"/>
  <c r="H66"/>
  <c r="I65"/>
  <c r="H64"/>
  <c r="I63"/>
  <c r="H62"/>
  <c r="H6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H63" i="33" l="1"/>
  <c r="H46"/>
  <c r="H67"/>
  <c r="H65"/>
  <c r="H85"/>
  <c r="H39"/>
  <c r="H44"/>
  <c r="H48"/>
  <c r="H55"/>
  <c r="H79" s="1"/>
  <c r="H31" i="35"/>
  <c r="I31"/>
  <c r="I38"/>
  <c r="H38"/>
  <c r="H40"/>
  <c r="I40"/>
  <c r="H36"/>
  <c r="I39"/>
  <c r="H43"/>
  <c r="I44"/>
  <c r="H45"/>
  <c r="I46"/>
  <c r="H47"/>
  <c r="I48"/>
  <c r="H49"/>
  <c r="I55"/>
  <c r="H79"/>
  <c r="H21" i="34"/>
  <c r="H25"/>
  <c r="H55"/>
  <c r="H84"/>
  <c r="H86" s="1"/>
  <c r="H19"/>
  <c r="H23"/>
  <c r="H65"/>
  <c r="H63"/>
  <c r="H67"/>
  <c r="H39"/>
  <c r="I40"/>
  <c r="H40"/>
  <c r="I31"/>
  <c r="H31"/>
  <c r="I20"/>
  <c r="I22"/>
  <c r="I24"/>
  <c r="I36"/>
  <c r="I38"/>
  <c r="I69"/>
  <c r="I83"/>
  <c r="I40" i="33"/>
  <c r="H40"/>
  <c r="I31"/>
  <c r="H31"/>
  <c r="I36"/>
  <c r="I38"/>
  <c r="I43"/>
  <c r="I45"/>
  <c r="I47"/>
  <c r="I49"/>
  <c r="I64"/>
  <c r="I66"/>
  <c r="H40" i="32"/>
  <c r="H45"/>
  <c r="H49"/>
  <c r="H56"/>
  <c r="H64"/>
  <c r="H68"/>
  <c r="H47"/>
  <c r="H66"/>
  <c r="H87"/>
  <c r="I41"/>
  <c r="H41"/>
  <c r="I31"/>
  <c r="H31"/>
  <c r="I37"/>
  <c r="I39"/>
  <c r="I44"/>
  <c r="I46"/>
  <c r="I48"/>
  <c r="I50"/>
  <c r="I65"/>
  <c r="I67"/>
  <c r="H31" i="31"/>
  <c r="I31"/>
  <c r="I38"/>
  <c r="H38"/>
  <c r="H40"/>
  <c r="I40"/>
  <c r="H36"/>
  <c r="I39"/>
  <c r="H43"/>
  <c r="I44"/>
  <c r="H45"/>
  <c r="I46"/>
  <c r="H47"/>
  <c r="I48"/>
  <c r="H49"/>
  <c r="I55"/>
  <c r="H63"/>
  <c r="I64"/>
  <c r="H65"/>
  <c r="I66"/>
  <c r="I85" s="1"/>
  <c r="H67"/>
  <c r="H85"/>
  <c r="I94" i="34" l="1"/>
  <c r="I95" i="33"/>
  <c r="H81" i="32"/>
  <c r="I93"/>
  <c r="I93" i="35"/>
  <c r="H79" i="34"/>
  <c r="H79" i="31"/>
  <c r="I99"/>
  <c r="H81" i="30" l="1"/>
  <c r="H80"/>
  <c r="H78"/>
  <c r="F75"/>
  <c r="H75" s="1"/>
  <c r="F74"/>
  <c r="H74" s="1"/>
  <c r="F73"/>
  <c r="H73" s="1"/>
  <c r="F72"/>
  <c r="H72" s="1"/>
  <c r="F71"/>
  <c r="H71" s="1"/>
  <c r="F68"/>
  <c r="H68" s="1"/>
  <c r="F67"/>
  <c r="F66"/>
  <c r="F65"/>
  <c r="F64"/>
  <c r="F63"/>
  <c r="F62"/>
  <c r="H62" s="1"/>
  <c r="F61"/>
  <c r="H61" s="1"/>
  <c r="H58"/>
  <c r="H56"/>
  <c r="F55"/>
  <c r="H55" s="1"/>
  <c r="I51"/>
  <c r="I50"/>
  <c r="H52"/>
  <c r="H51"/>
  <c r="H50"/>
  <c r="H49"/>
  <c r="H48"/>
  <c r="H47"/>
  <c r="H46"/>
  <c r="H45"/>
  <c r="H44"/>
  <c r="H43"/>
  <c r="I37"/>
  <c r="H41"/>
  <c r="E40"/>
  <c r="F40" s="1"/>
  <c r="H40" s="1"/>
  <c r="F39"/>
  <c r="H39" s="1"/>
  <c r="E38"/>
  <c r="F38" s="1"/>
  <c r="H38" s="1"/>
  <c r="H37"/>
  <c r="F36"/>
  <c r="H36" s="1"/>
  <c r="H35"/>
  <c r="H33"/>
  <c r="H32"/>
  <c r="H31"/>
  <c r="H30"/>
  <c r="H29"/>
  <c r="F25"/>
  <c r="H25" s="1"/>
  <c r="F24"/>
  <c r="H24" s="1"/>
  <c r="F23"/>
  <c r="H23" s="1"/>
  <c r="F22"/>
  <c r="H22" s="1"/>
  <c r="F21"/>
  <c r="H21" s="1"/>
  <c r="F20"/>
  <c r="H20" s="1"/>
  <c r="F19"/>
  <c r="H19" l="1"/>
  <c r="I19"/>
  <c r="H63"/>
  <c r="I63"/>
  <c r="H65"/>
  <c r="I65"/>
  <c r="H67"/>
  <c r="I67"/>
  <c r="I47"/>
  <c r="I45"/>
  <c r="I43"/>
  <c r="H64"/>
  <c r="I64"/>
  <c r="H66"/>
  <c r="I66"/>
  <c r="I46"/>
  <c r="I44"/>
  <c r="I48"/>
  <c r="I49"/>
  <c r="I39"/>
  <c r="I38"/>
  <c r="I21"/>
  <c r="I22"/>
  <c r="I24"/>
  <c r="I31"/>
  <c r="I20"/>
  <c r="I25"/>
  <c r="I23"/>
  <c r="I29"/>
  <c r="I30"/>
  <c r="I80" l="1"/>
  <c r="I52"/>
  <c r="I85" s="1"/>
  <c r="I40"/>
  <c r="I36"/>
  <c r="I35"/>
  <c r="H79" l="1"/>
  <c r="H85"/>
  <c r="I41"/>
  <c r="I55"/>
  <c r="I97" l="1"/>
</calcChain>
</file>

<file path=xl/sharedStrings.xml><?xml version="1.0" encoding="utf-8"?>
<sst xmlns="http://schemas.openxmlformats.org/spreadsheetml/2006/main" count="2798" uniqueCount="327">
  <si>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</si>
  <si>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</si>
  <si>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</si>
  <si>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</si>
  <si>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</si>
  <si>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</si>
  <si>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</si>
  <si>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</si>
  <si>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</si>
  <si>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</si>
  <si>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</si>
  <si>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</si>
  <si>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</si>
  <si>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</si>
  <si>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</si>
  <si>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</si>
  <si>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</si>
  <si>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</si>
  <si>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</si>
  <si>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</si>
  <si>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</si>
  <si>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</si>
  <si>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</si>
  <si>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</si>
  <si>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</si>
  <si>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</si>
  <si>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</si>
  <si>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</si>
  <si>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</si>
  <si>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</si>
  <si>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</si>
  <si>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</si>
  <si>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</si>
  <si>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</si>
  <si>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</si>
  <si>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</si>
  <si>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</si>
  <si>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</si>
  <si>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</si>
  <si>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</si>
  <si>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</si>
  <si>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</si>
  <si>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</si>
  <si>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</si>
  <si>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</si>
  <si>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</si>
  <si>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</si>
  <si>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</si>
  <si>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</si>
  <si>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</si>
  <si>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</si>
  <si>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</si>
  <si>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</si>
  <si>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</si>
  <si>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</si>
  <si>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</si>
  <si>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</si>
  <si>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</si>
  <si>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</si>
  <si>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</si>
  <si>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</si>
  <si>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</si>
  <si>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</si>
  <si>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</si>
  <si>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</si>
  <si>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</si>
  <si>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</si>
  <si>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</si>
  <si>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</si>
  <si>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</si>
  <si>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</si>
  <si>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</si>
  <si>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</si>
  <si>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</si>
  <si>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</si>
  <si>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III. Содержание общего имущества</t>
  </si>
  <si>
    <t>Влажное подметание лестничных клеток 2-5 этажа</t>
  </si>
  <si>
    <t>Мытье лестничных  площадок и маршей 1-5 этаж.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</si>
  <si>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</si>
  <si>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</si>
  <si>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</si>
  <si>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</si>
  <si>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</si>
  <si>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</si>
  <si>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</si>
  <si>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</si>
  <si>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</si>
  <si>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</si>
  <si>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</si>
  <si>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</si>
  <si>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</si>
  <si>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</si>
  <si>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</si>
  <si>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</si>
  <si>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</si>
  <si>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</si>
  <si>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</si>
  <si>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</si>
  <si>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 xml:space="preserve"> </t>
  </si>
  <si>
    <t>АКТ №1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</si>
  <si>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</si>
  <si>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</si>
  <si>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</si>
  <si>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</si>
  <si>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</si>
  <si>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</si>
  <si>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</si>
  <si>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</si>
  <si>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</si>
  <si>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</si>
  <si>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</si>
  <si>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</si>
  <si>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</si>
  <si>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Работа автовышки</t>
  </si>
  <si>
    <t>маш/час</t>
  </si>
  <si>
    <t>1 шт</t>
  </si>
  <si>
    <t>III. Плановые осмотры</t>
  </si>
  <si>
    <t>IV. Содержание общего имущества</t>
  </si>
  <si>
    <t>V. Прочие услуги</t>
  </si>
  <si>
    <t>АКТ №2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</si>
  <si>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</si>
  <si>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</si>
  <si>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</si>
  <si>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</si>
  <si>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</si>
  <si>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</si>
  <si>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</si>
  <si>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</si>
  <si>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Обязательные работы по содержанию общего имущества собственников помещений в многоквартирном доме</t>
  </si>
  <si>
    <t>II. Уборка земельного участка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</si>
  <si>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</si>
  <si>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</si>
  <si>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</si>
  <si>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</si>
  <si>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</si>
  <si>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</si>
  <si>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</si>
  <si>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</si>
  <si>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</si>
  <si>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</si>
  <si>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</si>
  <si>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</si>
  <si>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</si>
  <si>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</si>
  <si>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</si>
  <si>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Смена светильника РКУ</t>
  </si>
  <si>
    <t>Снятие показаний с общедомовых приборов учёта электрической энергии и холодной воды</t>
  </si>
  <si>
    <t>Техническое диагностирование ВДГО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</si>
  <si>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</si>
  <si>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</si>
  <si>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</si>
  <si>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t>Дератизация</t>
  </si>
  <si>
    <t>м2</t>
  </si>
  <si>
    <t>АКТ №3</t>
  </si>
  <si>
    <t>ООО «Движение»</t>
  </si>
  <si>
    <t>АКТ №4</t>
  </si>
  <si>
    <t>м</t>
  </si>
  <si>
    <t>руб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</si>
  <si>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</si>
  <si>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</si>
  <si>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</si>
  <si>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</si>
  <si>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</si>
  <si>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</si>
  <si>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</si>
  <si>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</si>
  <si>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1 раз</t>
  </si>
  <si>
    <t>1,5 м/час</t>
  </si>
  <si>
    <t>12 шт</t>
  </si>
  <si>
    <t>2 шт</t>
  </si>
  <si>
    <t xml:space="preserve">1 раз </t>
  </si>
  <si>
    <t xml:space="preserve">1 раз    </t>
  </si>
  <si>
    <t xml:space="preserve">1 раз      </t>
  </si>
  <si>
    <t xml:space="preserve">1 раз     </t>
  </si>
  <si>
    <t>Осмотр электросетей, армазуры и электрооборудования на лестничных клетках</t>
  </si>
  <si>
    <t>3 маш/час</t>
  </si>
  <si>
    <t xml:space="preserve">1 раз   </t>
  </si>
  <si>
    <t>Водоснабжение и канализация</t>
  </si>
  <si>
    <t>Внеплановая проверка вентканалов</t>
  </si>
  <si>
    <t>12 раз</t>
  </si>
  <si>
    <t>по мере необходимости</t>
  </si>
  <si>
    <t>Работы по ведению технческой и отчетной документации, сьору и начислению платежей</t>
  </si>
  <si>
    <t>Работы по проведению одного общего собрания собственников  МКД</t>
  </si>
  <si>
    <t xml:space="preserve">Осмотр водопроводов, канализации, отопления </t>
  </si>
  <si>
    <t>Демонтаж кирпичной кладки</t>
  </si>
  <si>
    <t>1 место</t>
  </si>
  <si>
    <t>Герметик</t>
  </si>
  <si>
    <t>генеральный директор Кочанова И.Л.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</si>
  <si>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14.08.2020г.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</si>
  <si>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14.08.2020г.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</si>
  <si>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Очистка вручную от снега и наледи люков водопроводных и канализационных колодцев</t>
  </si>
  <si>
    <t>1 шт.</t>
  </si>
  <si>
    <t>под.№4</t>
  </si>
  <si>
    <t>Смена арматуры - вентилей и клапанов обратных муфтовых диаметром до 32 мм</t>
  </si>
  <si>
    <t>1 м</t>
  </si>
  <si>
    <t>1 шт. подвал</t>
  </si>
  <si>
    <t>за период с 01.01.2021 г. по 31.01.2021 г.</t>
  </si>
  <si>
    <t>0,4 ч (25 янв)</t>
  </si>
  <si>
    <t>Отогрев ХВС+ трансформатор</t>
  </si>
  <si>
    <t>Смена внутренних трубопрводов на полипропиленовые трубы PN 25 Dу 20</t>
  </si>
  <si>
    <t>Замена пробки на радиаторе</t>
  </si>
  <si>
    <t>1 пробка</t>
  </si>
  <si>
    <t>кв.63</t>
  </si>
  <si>
    <t>подвод с/о 0,5 м кв.63; подвод с/о кв.38- 0,3 м</t>
  </si>
  <si>
    <t>2. Всего за период с 01.01.2021 г. по 31.01.2021 г. выполнено работ (оказано услуг) на общую сумму: 69198,91 руб.</t>
  </si>
  <si>
    <t>(шестьдесят девять тысяч сто девяносто восемь рублей 91 копейка)</t>
  </si>
  <si>
    <t>за период с 01.02.2021 г. по 29.02.2021 г.</t>
  </si>
  <si>
    <t>29.02.2021</t>
  </si>
  <si>
    <t>Ремонт двери</t>
  </si>
  <si>
    <t>Установка почтовых ящиков</t>
  </si>
  <si>
    <t>Почтовые ящики</t>
  </si>
  <si>
    <t>Ремонт штукатурки после замены почтовых ящиков</t>
  </si>
  <si>
    <t>10 м2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</si>
  <si>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</si>
  <si>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</si>
  <si>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0,5 ч ( 2 февр)</t>
  </si>
  <si>
    <t>под.№2 р/у ХВС, под. № 1 р/у ХВС</t>
  </si>
  <si>
    <t>11,22,15,21</t>
  </si>
  <si>
    <t>14 шт.</t>
  </si>
  <si>
    <t>под.№1</t>
  </si>
  <si>
    <t>2. Всего за период с 01.02.2021 г. по 29.02.2021 г. выполнено работ (оказано услуг) на общую сумму: 132819,20 руб.</t>
  </si>
  <si>
    <t>(сто тридцать две тысячи восемьсот девятнадцать рублей 20 копеек)</t>
  </si>
  <si>
    <t>за период с 01.03.2021 г. по 31.03.2021 г.</t>
  </si>
  <si>
    <t>3,11,17,25,30 марта</t>
  </si>
  <si>
    <t>2 раз</t>
  </si>
  <si>
    <t>2,5 м/часа</t>
  </si>
  <si>
    <t>11 марта</t>
  </si>
  <si>
    <t>Прочистка фильтров</t>
  </si>
  <si>
    <t>3м</t>
  </si>
  <si>
    <t>Смена автомата на ток до 25А</t>
  </si>
  <si>
    <t>кв.53</t>
  </si>
  <si>
    <t>2. Всего за период с 01.03.2021 г. по 31.03.2021 г. выполнено работ (оказано услуг) на общую сумму: 67621,98 руб.</t>
  </si>
  <si>
    <t>(шестьдесят семь тысяч шестьсот двадцать один рубль 98 копеек)</t>
  </si>
  <si>
    <t>за период с 01.04.2021 г. по 31.04.2021 г.</t>
  </si>
  <si>
    <t>Восстановление кирпичной кладки</t>
  </si>
  <si>
    <t>Смена полипропиленовых канализацинных труб ПП 100*2000</t>
  </si>
  <si>
    <t>Тройник 100-90</t>
  </si>
  <si>
    <t>Тройник 100*45</t>
  </si>
  <si>
    <t>Ревизия 110</t>
  </si>
  <si>
    <t>Патрубок компенсационный 110</t>
  </si>
  <si>
    <t>отвод 100-90</t>
  </si>
  <si>
    <t>отвод 100-45</t>
  </si>
  <si>
    <t>кв.18,19 2 м</t>
  </si>
  <si>
    <t>кв.18</t>
  </si>
  <si>
    <t>Внеплановая проверка дымохода</t>
  </si>
  <si>
    <t>нт</t>
  </si>
  <si>
    <t>кв.6</t>
  </si>
  <si>
    <t>2. Всего за период с 01.04.2021 г. по 30.04.2021 г. выполнено работ (оказано услуг) на общую сумму: 53782,93 руб.</t>
  </si>
  <si>
    <t>(пятьдесят три  тысячи семьсот восемьдесят два рубля 93 копейки)</t>
  </si>
  <si>
    <t>за период с 01.05.2021 г. по 31.05.2021 г.</t>
  </si>
  <si>
    <t>4 раза</t>
  </si>
  <si>
    <t>Подборка мусора, налетевшего с контейнерной площадки</t>
  </si>
  <si>
    <t>Ремонт перил</t>
  </si>
  <si>
    <t>1м</t>
  </si>
  <si>
    <t xml:space="preserve">Смена внутренних трубопроводов из стальных труб диаметром до 20 мм </t>
  </si>
  <si>
    <t xml:space="preserve">Смена внутренних трубопроводов из стальных труб диаметром до 25 мм </t>
  </si>
  <si>
    <t>шахта после ВДИС кв.18</t>
  </si>
  <si>
    <t>1 м ХВС тех. подполье</t>
  </si>
  <si>
    <t>1 шт. ХВС тех.подполье</t>
  </si>
  <si>
    <t>под.№2, этаж 3</t>
  </si>
  <si>
    <t>кв.13</t>
  </si>
  <si>
    <t>2. Всего за период с 01.05.2021 г. по 31.05.2021 г. выполнено работ (оказано услуг) на общую сумму: 91782,26 руб.</t>
  </si>
  <si>
    <t>( девяносто одна тысяча семьсот восемьдесят два рубля 26 копеек)</t>
  </si>
  <si>
    <t>за период с 01.06.2021 г. по 30.06.2021 г.</t>
  </si>
  <si>
    <t>Смена полипропиленовых канализацинных труб ПП 100*1000</t>
  </si>
  <si>
    <t>Смена полипропиленовых канализацинных труб ПП 50*1000</t>
  </si>
  <si>
    <t>Муфта 50</t>
  </si>
  <si>
    <t>Очистка отмостки и цоколя от растительности</t>
  </si>
  <si>
    <t>герметизация стыков трубопроводов</t>
  </si>
  <si>
    <t>0,5 м кв.19</t>
  </si>
  <si>
    <t>кв.15</t>
  </si>
  <si>
    <t>2. Всего за период с 01.06.2021 г. по 30.06.2021 г. выполнено работ (оказано услуг) на общую сумму: 159270,30 руб.</t>
  </si>
  <si>
    <t>(сто пятьдесят девять тысяч двести семьдесят рублей 30 копеек)</t>
  </si>
  <si>
    <t>за период с 01.07.2021 г. по 31.07.2021 г.</t>
  </si>
  <si>
    <t xml:space="preserve">1 раз  </t>
  </si>
  <si>
    <t>Кошение равы с газонов ручной газонокосилкой</t>
  </si>
  <si>
    <t>Ремонт цоколя ( 70 м2 + покраска 91,5 м2)</t>
  </si>
  <si>
    <t>Ремонт отмостки ( 5 м2)</t>
  </si>
  <si>
    <t>2. Всего за период с 01.07.2021 г. по 31.07.2021 г. выполнено работ (оказано услуг) на общую сумму: 142228,99 руб.</t>
  </si>
  <si>
    <t>(сто сорок две тысячи двести двадцать восемь рублей 99 копеек)</t>
  </si>
  <si>
    <t>за период с 01.08.2021 г. по 31.08.2021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</si>
  <si>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</si>
  <si>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Нумерация подъездов и квартир</t>
  </si>
  <si>
    <t>Демонтаж шахты для работ ВДИС</t>
  </si>
  <si>
    <t>Восстановление шахты после работ ВДИС</t>
  </si>
  <si>
    <t>за период с 01.09.2021 г. по 30.09.2021 г.</t>
  </si>
  <si>
    <t>Смена арматуры - вентилей и клапанов обратных муфтовых диаметром до 20 мм</t>
  </si>
  <si>
    <t>1 шт. ХВС кв.63</t>
  </si>
  <si>
    <t>2. Всего за период с 01.08.2021 г. по 31.08.2021 г. выполнено работ (оказано услуг) на общую сумму: 44930,70 руб.</t>
  </si>
  <si>
    <t>(сорок четыре тысячи девятьсот тридцать рублей 70 копеек )</t>
  </si>
  <si>
    <t>Смена пакетных выключателей (без материалов)</t>
  </si>
  <si>
    <t>кв.26</t>
  </si>
  <si>
    <t>Смена внутренних трубопрводов на полипропиленовые трубы PN 25 Dу 25</t>
  </si>
  <si>
    <t>3 м с/о с кв.46 до кв.42</t>
  </si>
  <si>
    <t xml:space="preserve">Ремонт штукатурки фасадов </t>
  </si>
  <si>
    <t>под.№4, эт.5 фасад</t>
  </si>
  <si>
    <t>5 м/час</t>
  </si>
  <si>
    <t>2. Всего за период с 01.09.2021 г. по 30.09.2021 г. выполнено работ (оказано услуг) на общую сумму: 68625,03 руб.</t>
  </si>
  <si>
    <t>(шестьдесят восемь тысяч шестьсот двадцать пять рублей 03 копейки)</t>
  </si>
  <si>
    <t>за период с 01.10.2021 г. по 31.10.2021 г.</t>
  </si>
  <si>
    <t>Смена арматуры - вентилей и клапанов обратных муфтовых диаметром до 20 мм ( без материалов)</t>
  </si>
  <si>
    <t>Подключение и отключение сварочного аппарата/ электрооборудования</t>
  </si>
  <si>
    <t>1 м с/о кв.45</t>
  </si>
  <si>
    <t>1 шт. ХВС кв.60</t>
  </si>
  <si>
    <t>2. Всего за период с 01.10.2021 г. по 31.10.2021 г. выполнено работ (оказано услуг) на общую сумму: 46053,37 руб.</t>
  </si>
  <si>
    <t>(сорок шесть тысяч пятьдесят три рубля 37 копеек)</t>
  </si>
  <si>
    <t>за период с 01.11.2021 г. по 30.11.2021 г.</t>
  </si>
  <si>
    <t>22 ноября</t>
  </si>
  <si>
    <t>Установка хомута диаметром до 50 мм</t>
  </si>
  <si>
    <t>место</t>
  </si>
  <si>
    <t>Ремонт штукатурки внутренних стен по камню и бетону цементно-известковым раствором площадью до 10 м2 толщиной слоя до 20 мм</t>
  </si>
  <si>
    <t>Смена арматуры - задвижек диаметром 100 мм</t>
  </si>
  <si>
    <t>1 шт. с/о кв.50</t>
  </si>
  <si>
    <t>6 м с/о кв.20</t>
  </si>
  <si>
    <t>ХВС 1 шт.р/у</t>
  </si>
  <si>
    <t>под.№1-7 м2</t>
  </si>
  <si>
    <t>2. Всего за период с 01.11.2021 г. по 30.11.2021 г. выполнено работ (оказано услуг) на общую сумму: 107192,75 руб.</t>
  </si>
  <si>
    <t>(сто семь тысяч сто девяносто два рубля 75 копеек )</t>
  </si>
  <si>
    <t>за период с 01.12.2021 г. по 31.12.2021 г.</t>
  </si>
  <si>
    <t>2,16 декабря</t>
  </si>
  <si>
    <t>Заделка отверстия в тамбуре под. № 1</t>
  </si>
  <si>
    <t>Отогрев ХВС</t>
  </si>
  <si>
    <t>час</t>
  </si>
  <si>
    <t>Сварочные работы</t>
  </si>
  <si>
    <t>под.№ 1 мет.дверь</t>
  </si>
  <si>
    <t>2. Всего за период с 01.12.2021 г. по 31.12.2021 г. выполнено работ (оказано услуг) на общую сумму: 55679,03 руб.</t>
  </si>
  <si>
    <t>(пятьдесят пять тысяч шестьсот семьдесят девять рублей 03 копейки)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</si>
</sst>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top"/>
    </xf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8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5" fillId="0" borderId="0" xfId="0" applyFont="1" applyAlignment="1"/>
    <xf numFmtId="4" fontId="20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4" fontId="11" fillId="3" borderId="9" xfId="0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20" fillId="2" borderId="9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2" fillId="4" borderId="3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4" fontId="11" fillId="0" borderId="4" xfId="0" applyNumberFormat="1" applyFont="1" applyFill="1" applyBorder="1" applyAlignment="1">
      <alignment horizont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10" workbookViewId="0">
      <selection activeCell="G110" sqref="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3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99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196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116"/>
      <c r="C6" s="116"/>
      <c r="D6" s="116"/>
      <c r="E6" s="116"/>
      <c r="F6" s="116"/>
      <c r="G6" s="116"/>
      <c r="H6" s="116"/>
      <c r="I6" s="29">
        <v>44227</v>
      </c>
      <c r="J6" s="2"/>
      <c r="K6" s="2"/>
      <c r="L6" s="2"/>
      <c r="M6" s="2"/>
    </row>
    <row r="7" spans="1:15" ht="15.75">
      <c r="B7" s="119"/>
      <c r="C7" s="119"/>
      <c r="D7" s="11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5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5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92" t="s">
        <v>129</v>
      </c>
      <c r="B28" s="193"/>
      <c r="C28" s="193"/>
      <c r="D28" s="193"/>
      <c r="E28" s="193"/>
      <c r="F28" s="193"/>
      <c r="G28" s="193"/>
      <c r="H28" s="193"/>
      <c r="I28" s="194"/>
      <c r="J28" s="21"/>
      <c r="K28" s="6"/>
      <c r="L28" s="6"/>
      <c r="M28" s="6"/>
    </row>
    <row r="29" spans="1:13" ht="15.75" hidden="1" customHeight="1">
      <c r="A29" s="101"/>
      <c r="B29" s="55" t="s">
        <v>130</v>
      </c>
      <c r="C29" s="102"/>
      <c r="D29" s="102"/>
      <c r="E29" s="102"/>
      <c r="F29" s="102"/>
      <c r="G29" s="102"/>
      <c r="H29" s="102"/>
      <c r="I29" s="102"/>
      <c r="J29" s="21"/>
      <c r="K29" s="6"/>
      <c r="L29" s="6"/>
      <c r="M29" s="6"/>
    </row>
    <row r="30" spans="1:13" ht="15.75" hidden="1" customHeight="1">
      <c r="A30" s="99">
        <v>6</v>
      </c>
      <c r="B30" s="51" t="s">
        <v>131</v>
      </c>
      <c r="C30" s="59" t="s">
        <v>89</v>
      </c>
      <c r="D30" s="51" t="s">
        <v>134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132</v>
      </c>
      <c r="C31" s="59" t="s">
        <v>89</v>
      </c>
      <c r="D31" s="51" t="s">
        <v>135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89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133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4"/>
      <c r="B35" s="51" t="s">
        <v>100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1"/>
      <c r="B36" s="55" t="s">
        <v>4</v>
      </c>
      <c r="C36" s="103"/>
      <c r="D36" s="103"/>
      <c r="E36" s="103"/>
      <c r="F36" s="103"/>
      <c r="G36" s="103"/>
      <c r="H36" s="103"/>
      <c r="I36" s="103"/>
      <c r="J36" s="21"/>
      <c r="K36" s="6"/>
      <c r="L36" s="6"/>
      <c r="M36" s="6"/>
    </row>
    <row r="37" spans="1:14" ht="17.25" customHeight="1">
      <c r="A37" s="99">
        <v>5</v>
      </c>
      <c r="B37" s="51" t="s">
        <v>25</v>
      </c>
      <c r="C37" s="59" t="s">
        <v>29</v>
      </c>
      <c r="D37" s="51" t="s">
        <v>197</v>
      </c>
      <c r="E37" s="60"/>
      <c r="F37" s="61">
        <v>3</v>
      </c>
      <c r="G37" s="171">
        <v>1930</v>
      </c>
      <c r="H37" s="62">
        <f t="shared" ref="H37:H43" si="8">SUM(F37*G37/1000)</f>
        <v>5.79</v>
      </c>
      <c r="I37" s="12">
        <f>G37*0.4</f>
        <v>772</v>
      </c>
      <c r="J37" s="21"/>
      <c r="K37" s="6"/>
      <c r="L37" s="6"/>
      <c r="M37" s="6"/>
    </row>
    <row r="38" spans="1:14" ht="15.75" customHeight="1">
      <c r="A38" s="26">
        <v>6</v>
      </c>
      <c r="B38" s="167" t="s">
        <v>138</v>
      </c>
      <c r="C38" s="168" t="s">
        <v>27</v>
      </c>
      <c r="D38" s="32" t="s">
        <v>163</v>
      </c>
      <c r="E38" s="106">
        <v>92</v>
      </c>
      <c r="F38" s="169">
        <f>E38*30/1000</f>
        <v>2.76</v>
      </c>
      <c r="G38" s="31">
        <v>3134.93</v>
      </c>
      <c r="H38" s="62">
        <f>G38*F38/1000</f>
        <v>8.6524067999999996</v>
      </c>
      <c r="I38" s="12">
        <f>F38/6*G38</f>
        <v>1442.0677999999998</v>
      </c>
      <c r="J38" s="21"/>
      <c r="K38" s="6"/>
      <c r="L38" s="6"/>
      <c r="M38" s="6"/>
    </row>
    <row r="39" spans="1:14" ht="15.75" hidden="1" customHeight="1">
      <c r="A39" s="26">
        <v>8</v>
      </c>
      <c r="B39" s="32" t="s">
        <v>102</v>
      </c>
      <c r="C39" s="39" t="s">
        <v>103</v>
      </c>
      <c r="D39" s="32" t="s">
        <v>180</v>
      </c>
      <c r="E39" s="106"/>
      <c r="F39" s="169">
        <v>52</v>
      </c>
      <c r="G39" s="31">
        <v>330</v>
      </c>
      <c r="H39" s="62">
        <f>G39*F39/1000</f>
        <v>17.16</v>
      </c>
      <c r="I39" s="12">
        <f t="shared" ref="I39:I41" si="9">F39/6*G39</f>
        <v>2860</v>
      </c>
      <c r="J39" s="21"/>
      <c r="K39" s="6"/>
    </row>
    <row r="40" spans="1:14" ht="15.75" customHeight="1">
      <c r="A40" s="26">
        <v>7</v>
      </c>
      <c r="B40" s="32" t="s">
        <v>61</v>
      </c>
      <c r="C40" s="39" t="s">
        <v>27</v>
      </c>
      <c r="D40" s="32" t="s">
        <v>164</v>
      </c>
      <c r="E40" s="31">
        <f>E38</f>
        <v>92</v>
      </c>
      <c r="F40" s="169">
        <f>SUM(E40*155/1000)</f>
        <v>14.26</v>
      </c>
      <c r="G40" s="31">
        <v>522.92999999999995</v>
      </c>
      <c r="H40" s="62">
        <f t="shared" si="8"/>
        <v>7.4569817999999994</v>
      </c>
      <c r="I40" s="12">
        <f t="shared" si="9"/>
        <v>1242.8302999999999</v>
      </c>
      <c r="J40" s="22"/>
    </row>
    <row r="41" spans="1:14" ht="47.25" customHeight="1">
      <c r="A41" s="104">
        <v>8</v>
      </c>
      <c r="B41" s="32" t="s">
        <v>73</v>
      </c>
      <c r="C41" s="39" t="s">
        <v>89</v>
      </c>
      <c r="D41" s="32" t="s">
        <v>163</v>
      </c>
      <c r="E41" s="31">
        <v>92</v>
      </c>
      <c r="F41" s="169">
        <f>SUM(E41*35/1000)</f>
        <v>3.22</v>
      </c>
      <c r="G41" s="31">
        <v>8652.07</v>
      </c>
      <c r="H41" s="62">
        <f t="shared" si="8"/>
        <v>27.859665400000001</v>
      </c>
      <c r="I41" s="12">
        <f t="shared" si="9"/>
        <v>4643.2775666666676</v>
      </c>
      <c r="J41" s="22"/>
    </row>
    <row r="42" spans="1:14" ht="15" hidden="1" customHeight="1">
      <c r="A42" s="26"/>
      <c r="B42" s="32" t="s">
        <v>105</v>
      </c>
      <c r="C42" s="39" t="s">
        <v>89</v>
      </c>
      <c r="D42" s="32" t="s">
        <v>166</v>
      </c>
      <c r="E42" s="31">
        <f>E38</f>
        <v>92</v>
      </c>
      <c r="F42" s="169">
        <f>SUM(E42*20/1000)</f>
        <v>1.84</v>
      </c>
      <c r="G42" s="31">
        <v>639.14</v>
      </c>
      <c r="H42" s="62">
        <f t="shared" si="8"/>
        <v>1.1760176000000002</v>
      </c>
      <c r="I42" s="12">
        <f>G42*F42/20*1</f>
        <v>58.800880000000006</v>
      </c>
      <c r="J42" s="22"/>
    </row>
    <row r="43" spans="1:14" ht="20.25" hidden="1" customHeight="1">
      <c r="A43" s="26"/>
      <c r="B43" s="167" t="s">
        <v>62</v>
      </c>
      <c r="C43" s="168" t="s">
        <v>30</v>
      </c>
      <c r="D43" s="167"/>
      <c r="E43" s="149"/>
      <c r="F43" s="169">
        <v>0.8</v>
      </c>
      <c r="G43" s="169">
        <v>900</v>
      </c>
      <c r="H43" s="62">
        <f t="shared" si="8"/>
        <v>0.72</v>
      </c>
      <c r="I43" s="12">
        <f>G43*F43/20*1</f>
        <v>36</v>
      </c>
      <c r="J43" s="22"/>
    </row>
    <row r="44" spans="1:14" ht="34.5" customHeight="1">
      <c r="A44" s="26">
        <v>9</v>
      </c>
      <c r="B44" s="167" t="s">
        <v>190</v>
      </c>
      <c r="C44" s="168" t="s">
        <v>27</v>
      </c>
      <c r="D44" s="167" t="s">
        <v>161</v>
      </c>
      <c r="E44" s="149">
        <v>3</v>
      </c>
      <c r="F44" s="169">
        <f>E44*12/1000</f>
        <v>3.5999999999999997E-2</v>
      </c>
      <c r="G44" s="169">
        <v>20547.34</v>
      </c>
      <c r="H44" s="56"/>
      <c r="I44" s="12">
        <f>G44*F44/6</f>
        <v>123.28403999999999</v>
      </c>
      <c r="J44" s="22"/>
    </row>
    <row r="45" spans="1:14" ht="15.75" customHeight="1">
      <c r="A45" s="195" t="s">
        <v>116</v>
      </c>
      <c r="B45" s="196"/>
      <c r="C45" s="196"/>
      <c r="D45" s="196"/>
      <c r="E45" s="196"/>
      <c r="F45" s="196"/>
      <c r="G45" s="196"/>
      <c r="H45" s="196"/>
      <c r="I45" s="197"/>
      <c r="J45" s="22"/>
      <c r="L45" s="18"/>
      <c r="M45" s="19"/>
      <c r="N45" s="20"/>
    </row>
    <row r="46" spans="1:14" ht="15.75" hidden="1" customHeight="1">
      <c r="A46" s="26">
        <v>11</v>
      </c>
      <c r="B46" s="32" t="s">
        <v>106</v>
      </c>
      <c r="C46" s="39" t="s">
        <v>89</v>
      </c>
      <c r="D46" s="32" t="s">
        <v>39</v>
      </c>
      <c r="E46" s="106">
        <v>1114.25</v>
      </c>
      <c r="F46" s="31">
        <f>SUM(E46*2/1000)</f>
        <v>2.2284999999999999</v>
      </c>
      <c r="G46" s="34">
        <v>1193.71</v>
      </c>
      <c r="H46" s="107">
        <f t="shared" ref="H46:H55" si="10">SUM(F46*G46/1000)</f>
        <v>2.6601827349999998</v>
      </c>
      <c r="I46" s="12">
        <f t="shared" ref="I46:I48" si="11">F46/2*G46</f>
        <v>1330.0913674999999</v>
      </c>
      <c r="J46" s="22"/>
      <c r="L46" s="18"/>
      <c r="M46" s="19"/>
      <c r="N46" s="20"/>
    </row>
    <row r="47" spans="1:14" ht="15.75" hidden="1" customHeight="1">
      <c r="A47" s="26">
        <v>12</v>
      </c>
      <c r="B47" s="32" t="s">
        <v>33</v>
      </c>
      <c r="C47" s="39" t="s">
        <v>89</v>
      </c>
      <c r="D47" s="32" t="s">
        <v>39</v>
      </c>
      <c r="E47" s="106">
        <v>2631</v>
      </c>
      <c r="F47" s="31">
        <f>SUM(E47*2/1000)</f>
        <v>5.2619999999999996</v>
      </c>
      <c r="G47" s="34">
        <v>1803.69</v>
      </c>
      <c r="H47" s="107">
        <f t="shared" si="10"/>
        <v>9.4910167800000007</v>
      </c>
      <c r="I47" s="12">
        <f t="shared" si="11"/>
        <v>4745.50839</v>
      </c>
      <c r="J47" s="22"/>
      <c r="L47" s="18"/>
      <c r="M47" s="19"/>
      <c r="N47" s="20"/>
    </row>
    <row r="48" spans="1:14" ht="15.75" hidden="1" customHeight="1">
      <c r="A48" s="26">
        <v>13</v>
      </c>
      <c r="B48" s="32" t="s">
        <v>34</v>
      </c>
      <c r="C48" s="39" t="s">
        <v>89</v>
      </c>
      <c r="D48" s="32" t="s">
        <v>39</v>
      </c>
      <c r="E48" s="106">
        <v>1953.8</v>
      </c>
      <c r="F48" s="31">
        <f>SUM(E48*2/1000)</f>
        <v>3.9076</v>
      </c>
      <c r="G48" s="34">
        <v>1243.43</v>
      </c>
      <c r="H48" s="107">
        <f t="shared" si="10"/>
        <v>4.8588270680000001</v>
      </c>
      <c r="I48" s="12">
        <f t="shared" si="11"/>
        <v>2429.4135340000003</v>
      </c>
      <c r="J48" s="22"/>
      <c r="L48" s="18"/>
      <c r="M48" s="19"/>
      <c r="N48" s="20"/>
    </row>
    <row r="49" spans="1:14" ht="15.75" hidden="1" customHeight="1">
      <c r="A49" s="26">
        <v>14</v>
      </c>
      <c r="B49" s="32" t="s">
        <v>31</v>
      </c>
      <c r="C49" s="39" t="s">
        <v>32</v>
      </c>
      <c r="D49" s="32" t="s">
        <v>39</v>
      </c>
      <c r="E49" s="106">
        <v>91.84</v>
      </c>
      <c r="F49" s="31">
        <f>SUM(E49*2/100)</f>
        <v>1.8368</v>
      </c>
      <c r="G49" s="108">
        <v>1172.4100000000001</v>
      </c>
      <c r="H49" s="107">
        <f t="shared" si="10"/>
        <v>2.153482688</v>
      </c>
      <c r="I49" s="12">
        <f>F49/2*G49</f>
        <v>1076.741344</v>
      </c>
      <c r="J49" s="22"/>
      <c r="L49" s="18"/>
      <c r="M49" s="19"/>
      <c r="N49" s="20"/>
    </row>
    <row r="50" spans="1:14" ht="15.75" customHeight="1">
      <c r="A50" s="26">
        <v>10</v>
      </c>
      <c r="B50" s="32" t="s">
        <v>53</v>
      </c>
      <c r="C50" s="39" t="s">
        <v>89</v>
      </c>
      <c r="D50" s="32" t="s">
        <v>170</v>
      </c>
      <c r="E50" s="106">
        <v>891.4</v>
      </c>
      <c r="F50" s="31">
        <f>SUM(E50*5/1000)</f>
        <v>4.4569999999999999</v>
      </c>
      <c r="G50" s="34">
        <v>1809.27</v>
      </c>
      <c r="H50" s="107">
        <f t="shared" ref="H50" si="12">SUM(F50*G50/1000)</f>
        <v>8.0639163899999993</v>
      </c>
      <c r="I50" s="12">
        <f>F50/5*G50</f>
        <v>1612.7832779999999</v>
      </c>
      <c r="J50" s="22"/>
      <c r="L50" s="18"/>
      <c r="M50" s="19"/>
      <c r="N50" s="20"/>
    </row>
    <row r="51" spans="1:14" ht="31.5" hidden="1" customHeight="1">
      <c r="A51" s="26">
        <v>16</v>
      </c>
      <c r="B51" s="32" t="s">
        <v>107</v>
      </c>
      <c r="C51" s="39" t="s">
        <v>89</v>
      </c>
      <c r="D51" s="32" t="s">
        <v>39</v>
      </c>
      <c r="E51" s="106">
        <v>3181</v>
      </c>
      <c r="F51" s="31">
        <f>SUM(E51*2/1000)</f>
        <v>6.3620000000000001</v>
      </c>
      <c r="G51" s="34">
        <v>1591.6</v>
      </c>
      <c r="H51" s="107">
        <f t="shared" si="10"/>
        <v>10.125759200000001</v>
      </c>
      <c r="I51" s="12">
        <f>F51/2*G51</f>
        <v>5062.8796000000002</v>
      </c>
      <c r="J51" s="22"/>
      <c r="L51" s="18"/>
      <c r="M51" s="19"/>
      <c r="N51" s="20"/>
    </row>
    <row r="52" spans="1:14" ht="31.5" hidden="1" customHeight="1">
      <c r="A52" s="26">
        <v>17</v>
      </c>
      <c r="B52" s="32" t="s">
        <v>108</v>
      </c>
      <c r="C52" s="39" t="s">
        <v>35</v>
      </c>
      <c r="D52" s="32" t="s">
        <v>39</v>
      </c>
      <c r="E52" s="106">
        <v>20</v>
      </c>
      <c r="F52" s="31">
        <f>SUM(E52*2/100)</f>
        <v>0.4</v>
      </c>
      <c r="G52" s="34">
        <v>4058.32</v>
      </c>
      <c r="H52" s="107">
        <f t="shared" si="10"/>
        <v>1.6233280000000001</v>
      </c>
      <c r="I52" s="12">
        <f t="shared" ref="I52:I53" si="13">F52/2*G52</f>
        <v>811.6640000000001</v>
      </c>
      <c r="J52" s="22"/>
      <c r="L52" s="18"/>
      <c r="M52" s="19"/>
      <c r="N52" s="20"/>
    </row>
    <row r="53" spans="1:14" ht="15.75" hidden="1" customHeight="1">
      <c r="A53" s="26">
        <v>18</v>
      </c>
      <c r="B53" s="32" t="s">
        <v>36</v>
      </c>
      <c r="C53" s="39" t="s">
        <v>37</v>
      </c>
      <c r="D53" s="32" t="s">
        <v>39</v>
      </c>
      <c r="E53" s="106">
        <v>1</v>
      </c>
      <c r="F53" s="31">
        <v>0.02</v>
      </c>
      <c r="G53" s="34">
        <v>7412.92</v>
      </c>
      <c r="H53" s="107">
        <f t="shared" si="10"/>
        <v>0.14825839999999998</v>
      </c>
      <c r="I53" s="12">
        <f t="shared" si="13"/>
        <v>74.129199999999997</v>
      </c>
      <c r="J53" s="22"/>
      <c r="L53" s="18"/>
      <c r="M53" s="19"/>
      <c r="N53" s="20"/>
    </row>
    <row r="54" spans="1:14" ht="15.75" hidden="1" customHeight="1">
      <c r="A54" s="26">
        <v>13</v>
      </c>
      <c r="B54" s="32" t="s">
        <v>109</v>
      </c>
      <c r="C54" s="39" t="s">
        <v>90</v>
      </c>
      <c r="D54" s="32" t="s">
        <v>63</v>
      </c>
      <c r="E54" s="106">
        <v>70</v>
      </c>
      <c r="F54" s="31">
        <f>E54*3</f>
        <v>210</v>
      </c>
      <c r="G54" s="34">
        <v>185.08</v>
      </c>
      <c r="H54" s="107">
        <f t="shared" si="10"/>
        <v>38.866800000000005</v>
      </c>
      <c r="I54" s="12">
        <f>E54*G54</f>
        <v>12955.6</v>
      </c>
      <c r="J54" s="22"/>
      <c r="L54" s="18"/>
      <c r="M54" s="19"/>
      <c r="N54" s="20"/>
    </row>
    <row r="55" spans="1:14" ht="15.75" hidden="1" customHeight="1">
      <c r="A55" s="26">
        <v>14</v>
      </c>
      <c r="B55" s="32" t="s">
        <v>38</v>
      </c>
      <c r="C55" s="39" t="s">
        <v>90</v>
      </c>
      <c r="D55" s="32" t="s">
        <v>63</v>
      </c>
      <c r="E55" s="106">
        <v>140</v>
      </c>
      <c r="F55" s="31">
        <f>E55*3</f>
        <v>420</v>
      </c>
      <c r="G55" s="35">
        <v>86.15</v>
      </c>
      <c r="H55" s="107">
        <f t="shared" si="10"/>
        <v>36.183</v>
      </c>
      <c r="I55" s="12">
        <f>E55*G55</f>
        <v>12061</v>
      </c>
      <c r="J55" s="22"/>
      <c r="L55" s="18"/>
      <c r="M55" s="19"/>
      <c r="N55" s="20"/>
    </row>
    <row r="56" spans="1:14" ht="15.75" customHeight="1">
      <c r="A56" s="195" t="s">
        <v>117</v>
      </c>
      <c r="B56" s="198"/>
      <c r="C56" s="198"/>
      <c r="D56" s="198"/>
      <c r="E56" s="198"/>
      <c r="F56" s="198"/>
      <c r="G56" s="198"/>
      <c r="H56" s="198"/>
      <c r="I56" s="199"/>
      <c r="J56" s="22"/>
      <c r="L56" s="18"/>
      <c r="M56" s="19"/>
      <c r="N56" s="20"/>
    </row>
    <row r="57" spans="1:14" ht="15.75" hidden="1" customHeight="1">
      <c r="A57" s="26"/>
      <c r="B57" s="80" t="s">
        <v>40</v>
      </c>
      <c r="C57" s="59"/>
      <c r="D57" s="51"/>
      <c r="E57" s="60"/>
      <c r="F57" s="61"/>
      <c r="G57" s="61"/>
      <c r="H57" s="62"/>
      <c r="I57" s="12"/>
      <c r="J57" s="22"/>
      <c r="L57" s="18"/>
      <c r="M57" s="19"/>
      <c r="N57" s="20"/>
    </row>
    <row r="58" spans="1:14" ht="31.5" hidden="1" customHeight="1">
      <c r="A58" s="26">
        <v>12</v>
      </c>
      <c r="B58" s="51" t="s">
        <v>110</v>
      </c>
      <c r="C58" s="59" t="s">
        <v>79</v>
      </c>
      <c r="D58" s="51"/>
      <c r="E58" s="60">
        <v>111.2</v>
      </c>
      <c r="F58" s="61">
        <f>SUM(E58*6/100)</f>
        <v>6.6720000000000006</v>
      </c>
      <c r="G58" s="12">
        <v>2431.1799999999998</v>
      </c>
      <c r="H58" s="62">
        <f>SUM(F58*G58/1000)</f>
        <v>16.220832959999999</v>
      </c>
      <c r="I58" s="12">
        <f>G58*(0.691+0.08)</f>
        <v>1874.4397799999997</v>
      </c>
      <c r="J58" s="22"/>
      <c r="L58" s="18"/>
      <c r="M58" s="19"/>
      <c r="N58" s="20"/>
    </row>
    <row r="59" spans="1:14" ht="15.75" hidden="1" customHeight="1">
      <c r="A59" s="26">
        <v>13</v>
      </c>
      <c r="B59" s="70" t="s">
        <v>113</v>
      </c>
      <c r="C59" s="69" t="s">
        <v>114</v>
      </c>
      <c r="D59" s="13" t="s">
        <v>167</v>
      </c>
      <c r="E59" s="71"/>
      <c r="F59" s="72">
        <v>3</v>
      </c>
      <c r="G59" s="12">
        <v>1582.05</v>
      </c>
      <c r="H59" s="62">
        <f>SUM(F59*G59/1000)</f>
        <v>4.7461499999999992</v>
      </c>
      <c r="I59" s="12">
        <f>G59*1.5</f>
        <v>2373.0749999999998</v>
      </c>
      <c r="J59" s="22"/>
      <c r="L59" s="18"/>
      <c r="M59" s="19"/>
      <c r="N59" s="20"/>
    </row>
    <row r="60" spans="1:14" ht="15.75" customHeight="1">
      <c r="A60" s="26"/>
      <c r="B60" s="81" t="s">
        <v>41</v>
      </c>
      <c r="C60" s="69"/>
      <c r="D60" s="70"/>
      <c r="E60" s="71"/>
      <c r="F60" s="72"/>
      <c r="G60" s="12"/>
      <c r="H60" s="73"/>
      <c r="I60" s="12"/>
      <c r="J60" s="22"/>
      <c r="L60" s="18"/>
      <c r="M60" s="19"/>
      <c r="N60" s="20"/>
    </row>
    <row r="61" spans="1:14" ht="15.75" hidden="1" customHeight="1">
      <c r="A61" s="26"/>
      <c r="B61" s="70" t="s">
        <v>42</v>
      </c>
      <c r="C61" s="69" t="s">
        <v>50</v>
      </c>
      <c r="D61" s="70" t="s">
        <v>51</v>
      </c>
      <c r="E61" s="71">
        <v>222.85</v>
      </c>
      <c r="F61" s="72">
        <v>8.9</v>
      </c>
      <c r="G61" s="12">
        <v>1040.8399999999999</v>
      </c>
      <c r="H61" s="73">
        <f>F61*G61/1000</f>
        <v>9.2634759999999989</v>
      </c>
      <c r="I61" s="12">
        <v>0</v>
      </c>
      <c r="J61" s="22"/>
      <c r="L61" s="18"/>
      <c r="M61" s="19"/>
      <c r="N61" s="20"/>
    </row>
    <row r="62" spans="1:14" ht="15.75" customHeight="1">
      <c r="A62" s="26">
        <v>11</v>
      </c>
      <c r="B62" s="53" t="s">
        <v>151</v>
      </c>
      <c r="C62" s="155" t="s">
        <v>152</v>
      </c>
      <c r="D62" s="53" t="s">
        <v>166</v>
      </c>
      <c r="E62" s="156">
        <v>48</v>
      </c>
      <c r="F62" s="157">
        <f>E62*12/1</f>
        <v>576</v>
      </c>
      <c r="G62" s="158">
        <v>1.4</v>
      </c>
      <c r="H62" s="73"/>
      <c r="I62" s="12">
        <f>G62*F62/12</f>
        <v>67.2</v>
      </c>
      <c r="J62" s="22"/>
      <c r="L62" s="18"/>
      <c r="M62" s="19"/>
      <c r="N62" s="20"/>
    </row>
    <row r="63" spans="1:14" ht="15.75" hidden="1" customHeight="1">
      <c r="A63" s="26"/>
      <c r="B63" s="81" t="s">
        <v>43</v>
      </c>
      <c r="C63" s="69"/>
      <c r="D63" s="70"/>
      <c r="E63" s="71"/>
      <c r="F63" s="74"/>
      <c r="G63" s="74"/>
      <c r="H63" s="72" t="s">
        <v>98</v>
      </c>
      <c r="I63" s="12"/>
      <c r="J63" s="22"/>
      <c r="L63" s="18"/>
      <c r="M63" s="19"/>
      <c r="N63" s="20"/>
    </row>
    <row r="64" spans="1:14" ht="15.75" hidden="1" customHeight="1">
      <c r="A64" s="26">
        <v>9</v>
      </c>
      <c r="B64" s="13" t="s">
        <v>44</v>
      </c>
      <c r="C64" s="15" t="s">
        <v>90</v>
      </c>
      <c r="D64" s="13" t="s">
        <v>60</v>
      </c>
      <c r="E64" s="17">
        <v>4</v>
      </c>
      <c r="F64" s="61">
        <f>E64</f>
        <v>4</v>
      </c>
      <c r="G64" s="12">
        <v>291.68</v>
      </c>
      <c r="H64" s="75">
        <f t="shared" ref="H64:H71" si="14">SUM(F64*G64/1000)</f>
        <v>1.16672</v>
      </c>
      <c r="I64" s="12">
        <f>G64*2</f>
        <v>583.36</v>
      </c>
      <c r="J64" s="22"/>
      <c r="L64" s="18"/>
      <c r="M64" s="19"/>
      <c r="N64" s="20"/>
    </row>
    <row r="65" spans="1:14" ht="15.75" hidden="1" customHeight="1">
      <c r="A65" s="26">
        <v>17</v>
      </c>
      <c r="B65" s="13" t="s">
        <v>45</v>
      </c>
      <c r="C65" s="15" t="s">
        <v>90</v>
      </c>
      <c r="D65" s="13" t="s">
        <v>60</v>
      </c>
      <c r="E65" s="17">
        <v>4</v>
      </c>
      <c r="F65" s="61">
        <f>E65</f>
        <v>4</v>
      </c>
      <c r="G65" s="12">
        <v>100.01</v>
      </c>
      <c r="H65" s="75">
        <f t="shared" si="14"/>
        <v>0.40004000000000001</v>
      </c>
      <c r="I65" s="12">
        <f t="shared" ref="I65:I70" si="15">G65*2</f>
        <v>200.02</v>
      </c>
      <c r="J65" s="22"/>
      <c r="L65" s="18"/>
      <c r="M65" s="19"/>
      <c r="N65" s="20"/>
    </row>
    <row r="66" spans="1:14" ht="15.75" hidden="1" customHeight="1">
      <c r="A66" s="26">
        <v>24</v>
      </c>
      <c r="B66" s="13" t="s">
        <v>46</v>
      </c>
      <c r="C66" s="15" t="s">
        <v>91</v>
      </c>
      <c r="D66" s="13" t="s">
        <v>51</v>
      </c>
      <c r="E66" s="60">
        <v>12702</v>
      </c>
      <c r="F66" s="12">
        <f>SUM(E66/100)</f>
        <v>127.02</v>
      </c>
      <c r="G66" s="12">
        <v>278.24</v>
      </c>
      <c r="H66" s="75">
        <f t="shared" si="14"/>
        <v>35.342044800000004</v>
      </c>
      <c r="I66" s="12">
        <f t="shared" si="15"/>
        <v>556.48</v>
      </c>
      <c r="J66" s="22"/>
      <c r="L66" s="18"/>
      <c r="M66" s="19"/>
      <c r="N66" s="20"/>
    </row>
    <row r="67" spans="1:14" ht="15.75" hidden="1" customHeight="1">
      <c r="A67" s="26">
        <v>25</v>
      </c>
      <c r="B67" s="13" t="s">
        <v>47</v>
      </c>
      <c r="C67" s="15" t="s">
        <v>92</v>
      </c>
      <c r="D67" s="13"/>
      <c r="E67" s="60">
        <v>12702</v>
      </c>
      <c r="F67" s="12">
        <f>SUM(E67/1000)</f>
        <v>12.702</v>
      </c>
      <c r="G67" s="12">
        <v>216.68</v>
      </c>
      <c r="H67" s="75">
        <f t="shared" si="14"/>
        <v>2.7522693600000001</v>
      </c>
      <c r="I67" s="12">
        <f t="shared" si="15"/>
        <v>433.36</v>
      </c>
      <c r="J67" s="22"/>
      <c r="L67" s="18"/>
      <c r="M67" s="19"/>
      <c r="N67" s="20"/>
    </row>
    <row r="68" spans="1:14" ht="15.75" hidden="1" customHeight="1">
      <c r="A68" s="26">
        <v>26</v>
      </c>
      <c r="B68" s="13" t="s">
        <v>48</v>
      </c>
      <c r="C68" s="15" t="s">
        <v>69</v>
      </c>
      <c r="D68" s="13" t="s">
        <v>51</v>
      </c>
      <c r="E68" s="60">
        <v>2200</v>
      </c>
      <c r="F68" s="12">
        <f>SUM(E68/100)</f>
        <v>22</v>
      </c>
      <c r="G68" s="12">
        <v>2720.94</v>
      </c>
      <c r="H68" s="75">
        <f t="shared" si="14"/>
        <v>59.860680000000002</v>
      </c>
      <c r="I68" s="12">
        <f t="shared" si="15"/>
        <v>5441.88</v>
      </c>
      <c r="J68" s="22"/>
      <c r="L68" s="18"/>
      <c r="M68" s="19"/>
      <c r="N68" s="20"/>
    </row>
    <row r="69" spans="1:14" ht="15.75" hidden="1" customHeight="1">
      <c r="A69" s="26">
        <v>27</v>
      </c>
      <c r="B69" s="76" t="s">
        <v>93</v>
      </c>
      <c r="C69" s="15" t="s">
        <v>30</v>
      </c>
      <c r="D69" s="13"/>
      <c r="E69" s="60">
        <v>9.6</v>
      </c>
      <c r="F69" s="12">
        <f>SUM(E69)</f>
        <v>9.6</v>
      </c>
      <c r="G69" s="12">
        <v>42.61</v>
      </c>
      <c r="H69" s="75">
        <f t="shared" si="14"/>
        <v>0.40905599999999998</v>
      </c>
      <c r="I69" s="12">
        <f t="shared" si="15"/>
        <v>85.22</v>
      </c>
      <c r="J69" s="22"/>
      <c r="L69" s="18"/>
      <c r="M69" s="19"/>
      <c r="N69" s="20"/>
    </row>
    <row r="70" spans="1:14" ht="15.75" hidden="1" customHeight="1">
      <c r="A70" s="26">
        <v>28</v>
      </c>
      <c r="B70" s="76" t="s">
        <v>94</v>
      </c>
      <c r="C70" s="15" t="s">
        <v>30</v>
      </c>
      <c r="D70" s="13"/>
      <c r="E70" s="60">
        <v>9.6</v>
      </c>
      <c r="F70" s="12">
        <f>SUM(E70)</f>
        <v>9.6</v>
      </c>
      <c r="G70" s="12">
        <v>46.04</v>
      </c>
      <c r="H70" s="75">
        <f t="shared" si="14"/>
        <v>0.44198399999999999</v>
      </c>
      <c r="I70" s="12">
        <f t="shared" si="15"/>
        <v>92.08</v>
      </c>
      <c r="J70" s="22"/>
      <c r="L70" s="18"/>
      <c r="M70" s="19"/>
      <c r="N70" s="20"/>
    </row>
    <row r="71" spans="1:14" ht="15.75" hidden="1" customHeight="1">
      <c r="A71" s="26">
        <v>22</v>
      </c>
      <c r="B71" s="13" t="s">
        <v>54</v>
      </c>
      <c r="C71" s="15" t="s">
        <v>55</v>
      </c>
      <c r="D71" s="13" t="s">
        <v>51</v>
      </c>
      <c r="E71" s="17">
        <v>4</v>
      </c>
      <c r="F71" s="12">
        <f>SUM(E71)</f>
        <v>4</v>
      </c>
      <c r="G71" s="12">
        <v>65.42</v>
      </c>
      <c r="H71" s="75">
        <f t="shared" si="14"/>
        <v>0.26168000000000002</v>
      </c>
      <c r="I71" s="12">
        <f>G71*4</f>
        <v>261.68</v>
      </c>
      <c r="J71" s="22"/>
      <c r="L71" s="18"/>
      <c r="M71" s="19"/>
      <c r="N71" s="20"/>
    </row>
    <row r="72" spans="1:14" ht="15.75" customHeight="1">
      <c r="A72" s="26"/>
      <c r="B72" s="170" t="s">
        <v>177</v>
      </c>
      <c r="C72" s="15"/>
      <c r="D72" s="13"/>
      <c r="E72" s="17"/>
      <c r="F72" s="56"/>
      <c r="G72" s="12"/>
      <c r="H72" s="75"/>
      <c r="I72" s="12"/>
      <c r="J72" s="22"/>
      <c r="L72" s="18"/>
      <c r="M72" s="19"/>
      <c r="N72" s="20"/>
    </row>
    <row r="73" spans="1:14" ht="15.75" customHeight="1">
      <c r="A73" s="26">
        <v>12</v>
      </c>
      <c r="B73" s="36" t="s">
        <v>141</v>
      </c>
      <c r="C73" s="135" t="s">
        <v>142</v>
      </c>
      <c r="D73" s="36"/>
      <c r="E73" s="16">
        <v>3181</v>
      </c>
      <c r="F73" s="31">
        <f>SUM(E73)*12</f>
        <v>38172</v>
      </c>
      <c r="G73" s="34">
        <v>2.6</v>
      </c>
      <c r="H73" s="75">
        <f t="shared" ref="H73" si="16">SUM(F73*G73/1000)</f>
        <v>99.247199999999992</v>
      </c>
      <c r="I73" s="12">
        <f>F73/12*G73</f>
        <v>8270.6</v>
      </c>
      <c r="J73" s="22"/>
      <c r="L73" s="18"/>
      <c r="M73" s="19"/>
      <c r="N73" s="20"/>
    </row>
    <row r="74" spans="1:14" ht="15.75" customHeight="1">
      <c r="A74" s="26"/>
      <c r="B74" s="55" t="s">
        <v>64</v>
      </c>
      <c r="C74" s="15"/>
      <c r="D74" s="13"/>
      <c r="E74" s="17"/>
      <c r="F74" s="12"/>
      <c r="G74" s="12"/>
      <c r="H74" s="75" t="s">
        <v>98</v>
      </c>
      <c r="I74" s="12"/>
      <c r="J74" s="22"/>
      <c r="L74" s="18"/>
      <c r="M74" s="19"/>
      <c r="N74" s="20"/>
    </row>
    <row r="75" spans="1:14" ht="31.5" hidden="1" customHeight="1">
      <c r="A75" s="26">
        <v>18</v>
      </c>
      <c r="B75" s="13" t="s">
        <v>143</v>
      </c>
      <c r="C75" s="15" t="s">
        <v>28</v>
      </c>
      <c r="D75" s="13" t="s">
        <v>60</v>
      </c>
      <c r="E75" s="17">
        <v>1</v>
      </c>
      <c r="F75" s="61">
        <f t="shared" ref="F75" si="17">E75</f>
        <v>1</v>
      </c>
      <c r="G75" s="12">
        <v>1543.4</v>
      </c>
      <c r="H75" s="75">
        <f>G75*F75/1000</f>
        <v>1.5434000000000001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0" t="s">
        <v>144</v>
      </c>
      <c r="C76" s="54" t="s">
        <v>90</v>
      </c>
      <c r="D76" s="13" t="s">
        <v>60</v>
      </c>
      <c r="E76" s="17">
        <v>1</v>
      </c>
      <c r="F76" s="61">
        <f>E76</f>
        <v>1</v>
      </c>
      <c r="G76" s="12">
        <v>130.96</v>
      </c>
      <c r="H76" s="75">
        <f>G76*F76/1000</f>
        <v>0.13096000000000002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13" t="s">
        <v>65</v>
      </c>
      <c r="C77" s="15" t="s">
        <v>67</v>
      </c>
      <c r="D77" s="13" t="s">
        <v>60</v>
      </c>
      <c r="E77" s="17">
        <v>3</v>
      </c>
      <c r="F77" s="61">
        <f>E77/10</f>
        <v>0.3</v>
      </c>
      <c r="G77" s="12">
        <v>657.87</v>
      </c>
      <c r="H77" s="75">
        <f t="shared" ref="H77:H79" si="18">SUM(F77*G77/1000)</f>
        <v>0.19736099999999998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13" t="s">
        <v>66</v>
      </c>
      <c r="C78" s="15" t="s">
        <v>28</v>
      </c>
      <c r="D78" s="13" t="s">
        <v>60</v>
      </c>
      <c r="E78" s="17">
        <v>1</v>
      </c>
      <c r="F78" s="61">
        <f>E78</f>
        <v>1</v>
      </c>
      <c r="G78" s="12">
        <v>1118.72</v>
      </c>
      <c r="H78" s="75">
        <f t="shared" si="18"/>
        <v>1.1187199999999999</v>
      </c>
      <c r="I78" s="12">
        <v>0</v>
      </c>
      <c r="J78" s="22"/>
      <c r="L78" s="18"/>
      <c r="M78" s="19"/>
      <c r="N78" s="20"/>
    </row>
    <row r="79" spans="1:14" ht="15.75" hidden="1" customHeight="1">
      <c r="A79" s="26"/>
      <c r="B79" s="50" t="s">
        <v>145</v>
      </c>
      <c r="C79" s="54" t="s">
        <v>90</v>
      </c>
      <c r="D79" s="13" t="s">
        <v>60</v>
      </c>
      <c r="E79" s="17">
        <v>1</v>
      </c>
      <c r="F79" s="61">
        <f>E79</f>
        <v>1</v>
      </c>
      <c r="G79" s="12">
        <v>1605.83</v>
      </c>
      <c r="H79" s="75">
        <f t="shared" si="18"/>
        <v>1.6058299999999999</v>
      </c>
      <c r="I79" s="12">
        <v>0</v>
      </c>
      <c r="J79" s="22"/>
      <c r="L79" s="18"/>
      <c r="M79" s="19"/>
      <c r="N79" s="20"/>
    </row>
    <row r="80" spans="1:14" ht="29.25" customHeight="1">
      <c r="A80" s="26">
        <v>13</v>
      </c>
      <c r="B80" s="121" t="s">
        <v>146</v>
      </c>
      <c r="C80" s="122" t="s">
        <v>90</v>
      </c>
      <c r="D80" s="36" t="s">
        <v>166</v>
      </c>
      <c r="E80" s="16">
        <v>2</v>
      </c>
      <c r="F80" s="31">
        <f>E80*12</f>
        <v>24</v>
      </c>
      <c r="G80" s="34">
        <v>425</v>
      </c>
      <c r="H80" s="75">
        <f t="shared" ref="H80" si="19">SUM(F80*G80/1000)</f>
        <v>10.199999999999999</v>
      </c>
      <c r="I80" s="12">
        <f>G80*2</f>
        <v>850</v>
      </c>
      <c r="J80" s="22"/>
      <c r="L80" s="18"/>
      <c r="M80" s="19"/>
      <c r="N80" s="20"/>
    </row>
    <row r="81" spans="1:14" ht="15.75" hidden="1" customHeight="1">
      <c r="A81" s="26"/>
      <c r="B81" s="77" t="s">
        <v>68</v>
      </c>
      <c r="C81" s="15"/>
      <c r="D81" s="13"/>
      <c r="E81" s="17"/>
      <c r="F81" s="12"/>
      <c r="G81" s="12" t="s">
        <v>98</v>
      </c>
      <c r="H81" s="75" t="s">
        <v>98</v>
      </c>
      <c r="I81" s="12"/>
      <c r="J81" s="22"/>
      <c r="L81" s="18"/>
      <c r="M81" s="19"/>
      <c r="N81" s="20"/>
    </row>
    <row r="82" spans="1:14" ht="15.75" hidden="1" customHeight="1">
      <c r="A82" s="26"/>
      <c r="B82" s="45" t="s">
        <v>97</v>
      </c>
      <c r="C82" s="15" t="s">
        <v>69</v>
      </c>
      <c r="D82" s="13"/>
      <c r="E82" s="17"/>
      <c r="F82" s="12">
        <v>1</v>
      </c>
      <c r="G82" s="12">
        <v>3370.89</v>
      </c>
      <c r="H82" s="75">
        <f t="shared" ref="H82" si="20">SUM(F82*G82/1000)</f>
        <v>3.3708899999999997</v>
      </c>
      <c r="I82" s="12">
        <v>0</v>
      </c>
      <c r="J82" s="22"/>
      <c r="L82" s="18"/>
      <c r="M82" s="19"/>
      <c r="N82" s="20"/>
    </row>
    <row r="83" spans="1:14" ht="13.5" customHeight="1">
      <c r="A83" s="26"/>
      <c r="B83" s="55" t="s">
        <v>95</v>
      </c>
      <c r="C83" s="77"/>
      <c r="D83" s="27"/>
      <c r="E83" s="30"/>
      <c r="F83" s="66"/>
      <c r="G83" s="66"/>
      <c r="H83" s="78">
        <f>SUM(H58:H82)</f>
        <v>248.27929411999997</v>
      </c>
      <c r="I83" s="66"/>
      <c r="J83" s="22"/>
      <c r="L83" s="18"/>
      <c r="M83" s="19"/>
      <c r="N83" s="20"/>
    </row>
    <row r="84" spans="1:14" ht="17.25" customHeight="1">
      <c r="A84" s="104">
        <v>14</v>
      </c>
      <c r="B84" s="53" t="s">
        <v>96</v>
      </c>
      <c r="C84" s="109"/>
      <c r="D84" s="110"/>
      <c r="E84" s="110"/>
      <c r="F84" s="111">
        <v>1</v>
      </c>
      <c r="G84" s="111">
        <v>5274.2</v>
      </c>
      <c r="H84" s="112">
        <f>G84*F84/1000</f>
        <v>5.2741999999999996</v>
      </c>
      <c r="I84" s="79">
        <f>G84</f>
        <v>5274.2</v>
      </c>
      <c r="J84" s="22"/>
      <c r="L84" s="18"/>
      <c r="M84" s="19"/>
      <c r="N84" s="20"/>
    </row>
    <row r="85" spans="1:14" ht="18.75" hidden="1" customHeight="1">
      <c r="A85" s="49"/>
      <c r="B85" s="113" t="s">
        <v>147</v>
      </c>
      <c r="C85" s="15"/>
      <c r="D85" s="13"/>
      <c r="E85" s="13"/>
      <c r="F85" s="12">
        <v>69</v>
      </c>
      <c r="G85" s="12">
        <v>700</v>
      </c>
      <c r="H85" s="75">
        <f>G85*F85/1000</f>
        <v>48.3</v>
      </c>
      <c r="I85" s="114">
        <v>0</v>
      </c>
      <c r="J85" s="22"/>
      <c r="L85" s="18"/>
      <c r="M85" s="19"/>
      <c r="N85" s="20"/>
    </row>
    <row r="86" spans="1:14" ht="15.75" customHeight="1">
      <c r="A86" s="192" t="s">
        <v>118</v>
      </c>
      <c r="B86" s="200"/>
      <c r="C86" s="200"/>
      <c r="D86" s="200"/>
      <c r="E86" s="200"/>
      <c r="F86" s="200"/>
      <c r="G86" s="200"/>
      <c r="H86" s="200"/>
      <c r="I86" s="201"/>
      <c r="J86" s="22"/>
      <c r="L86" s="18"/>
      <c r="M86" s="19"/>
      <c r="N86" s="20"/>
    </row>
    <row r="87" spans="1:14" ht="15.75" customHeight="1">
      <c r="A87" s="99">
        <v>15</v>
      </c>
      <c r="B87" s="32" t="s">
        <v>112</v>
      </c>
      <c r="C87" s="37" t="s">
        <v>52</v>
      </c>
      <c r="D87" s="162"/>
      <c r="E87" s="34">
        <v>3181</v>
      </c>
      <c r="F87" s="34">
        <f>SUM(E87*12)</f>
        <v>38172</v>
      </c>
      <c r="G87" s="34">
        <v>3.5</v>
      </c>
      <c r="H87" s="105">
        <f>SUM(F87*G87/1000)</f>
        <v>133.602</v>
      </c>
      <c r="I87" s="100">
        <f>F87/12*G87</f>
        <v>11133.5</v>
      </c>
      <c r="J87" s="22"/>
      <c r="L87" s="18"/>
      <c r="M87" s="19"/>
      <c r="N87" s="20"/>
    </row>
    <row r="88" spans="1:14" ht="31.5" customHeight="1">
      <c r="A88" s="26">
        <v>16</v>
      </c>
      <c r="B88" s="36" t="s">
        <v>181</v>
      </c>
      <c r="C88" s="37" t="s">
        <v>152</v>
      </c>
      <c r="D88" s="163"/>
      <c r="E88" s="106">
        <f>E87</f>
        <v>3181</v>
      </c>
      <c r="F88" s="34">
        <f>E88*12</f>
        <v>38172</v>
      </c>
      <c r="G88" s="34">
        <v>3.2</v>
      </c>
      <c r="H88" s="75">
        <f>F88*G88/1000</f>
        <v>122.1504</v>
      </c>
      <c r="I88" s="12">
        <f>F88/12*G88</f>
        <v>10179.200000000001</v>
      </c>
      <c r="J88" s="22"/>
      <c r="L88" s="18"/>
      <c r="M88" s="19"/>
      <c r="N88" s="20"/>
    </row>
    <row r="89" spans="1:14" ht="15.75" customHeight="1">
      <c r="A89" s="49"/>
      <c r="B89" s="38" t="s">
        <v>71</v>
      </c>
      <c r="C89" s="15"/>
      <c r="D89" s="45"/>
      <c r="E89" s="12"/>
      <c r="F89" s="12"/>
      <c r="G89" s="12"/>
      <c r="H89" s="75">
        <f>H88</f>
        <v>122.1504</v>
      </c>
      <c r="I89" s="66">
        <f>I88+I87+I84+I80+I73+I62+I50+I44+I41+I40+I38+I37+I26+I18+I17+I16</f>
        <v>58596.474494666661</v>
      </c>
      <c r="J89" s="22"/>
      <c r="L89" s="18"/>
      <c r="M89" s="19"/>
      <c r="N89" s="20"/>
    </row>
    <row r="90" spans="1:14" ht="15.75" customHeight="1">
      <c r="A90" s="202" t="s">
        <v>56</v>
      </c>
      <c r="B90" s="203"/>
      <c r="C90" s="203"/>
      <c r="D90" s="203"/>
      <c r="E90" s="203"/>
      <c r="F90" s="203"/>
      <c r="G90" s="203"/>
      <c r="H90" s="203"/>
      <c r="I90" s="204"/>
      <c r="J90" s="22"/>
      <c r="L90" s="18"/>
      <c r="M90" s="19"/>
      <c r="N90" s="20"/>
    </row>
    <row r="91" spans="1:14" ht="15.75" customHeight="1">
      <c r="A91" s="26">
        <v>17</v>
      </c>
      <c r="B91" s="173" t="s">
        <v>198</v>
      </c>
      <c r="C91" s="26" t="s">
        <v>114</v>
      </c>
      <c r="D91" s="163"/>
      <c r="E91" s="34"/>
      <c r="F91" s="34">
        <v>2</v>
      </c>
      <c r="G91" s="34">
        <v>4402.3500000000004</v>
      </c>
      <c r="H91" s="72"/>
      <c r="I91" s="12">
        <f>G91*2</f>
        <v>8804.7000000000007</v>
      </c>
      <c r="J91" s="22"/>
      <c r="L91" s="18"/>
      <c r="M91" s="19"/>
      <c r="N91" s="20"/>
    </row>
    <row r="92" spans="1:14" ht="46.5" customHeight="1">
      <c r="A92" s="26">
        <v>18</v>
      </c>
      <c r="B92" s="173" t="s">
        <v>199</v>
      </c>
      <c r="C92" s="26" t="s">
        <v>156</v>
      </c>
      <c r="D92" s="36" t="s">
        <v>203</v>
      </c>
      <c r="E92" s="34"/>
      <c r="F92" s="34">
        <v>0.8</v>
      </c>
      <c r="G92" s="34">
        <v>1478.55</v>
      </c>
      <c r="H92" s="75"/>
      <c r="I92" s="12">
        <f>G92*0.8</f>
        <v>1182.8399999999999</v>
      </c>
      <c r="J92" s="22"/>
      <c r="L92" s="18"/>
      <c r="M92" s="19"/>
      <c r="N92" s="20"/>
    </row>
    <row r="93" spans="1:14" ht="19.5" customHeight="1">
      <c r="A93" s="26">
        <v>19</v>
      </c>
      <c r="B93" s="121" t="s">
        <v>200</v>
      </c>
      <c r="C93" s="165" t="s">
        <v>201</v>
      </c>
      <c r="D93" s="163" t="s">
        <v>202</v>
      </c>
      <c r="E93" s="34"/>
      <c r="F93" s="34">
        <v>1</v>
      </c>
      <c r="G93" s="34">
        <v>165.94</v>
      </c>
      <c r="H93" s="75"/>
      <c r="I93" s="12">
        <f>G93*1</f>
        <v>165.94</v>
      </c>
      <c r="J93" s="22"/>
      <c r="L93" s="18"/>
      <c r="M93" s="19"/>
      <c r="N93" s="20"/>
    </row>
    <row r="94" spans="1:14" ht="17.25" customHeight="1">
      <c r="A94" s="26">
        <v>20</v>
      </c>
      <c r="B94" s="121" t="s">
        <v>72</v>
      </c>
      <c r="C94" s="122" t="s">
        <v>90</v>
      </c>
      <c r="D94" s="163"/>
      <c r="E94" s="34"/>
      <c r="F94" s="34">
        <v>2</v>
      </c>
      <c r="G94" s="34">
        <v>224.48</v>
      </c>
      <c r="H94" s="75"/>
      <c r="I94" s="12">
        <f>G94*2</f>
        <v>448.96</v>
      </c>
      <c r="J94" s="22"/>
      <c r="L94" s="18"/>
      <c r="M94" s="19"/>
      <c r="N94" s="20"/>
    </row>
    <row r="95" spans="1:14" ht="15.75" customHeight="1">
      <c r="A95" s="26"/>
      <c r="B95" s="27" t="s">
        <v>49</v>
      </c>
      <c r="C95" s="40"/>
      <c r="D95" s="46"/>
      <c r="E95" s="40">
        <v>1</v>
      </c>
      <c r="F95" s="40"/>
      <c r="G95" s="40"/>
      <c r="H95" s="40"/>
      <c r="I95" s="30">
        <f>SUM(I91:I94)</f>
        <v>10602.44</v>
      </c>
      <c r="J95" s="22"/>
      <c r="L95" s="18"/>
      <c r="M95" s="19"/>
      <c r="N95" s="20"/>
    </row>
    <row r="96" spans="1:14" ht="15.75" customHeight="1">
      <c r="A96" s="26"/>
      <c r="B96" s="45" t="s">
        <v>70</v>
      </c>
      <c r="C96" s="14"/>
      <c r="D96" s="14"/>
      <c r="E96" s="41"/>
      <c r="F96" s="41"/>
      <c r="G96" s="42"/>
      <c r="H96" s="42"/>
      <c r="I96" s="16">
        <v>0</v>
      </c>
      <c r="J96" s="22"/>
      <c r="L96" s="18"/>
      <c r="M96" s="19"/>
      <c r="N96" s="20"/>
    </row>
    <row r="97" spans="1:22" ht="15.75" customHeight="1">
      <c r="A97" s="47"/>
      <c r="B97" s="44" t="s">
        <v>137</v>
      </c>
      <c r="C97" s="33"/>
      <c r="D97" s="33"/>
      <c r="E97" s="33"/>
      <c r="F97" s="33"/>
      <c r="G97" s="33"/>
      <c r="H97" s="33"/>
      <c r="I97" s="43">
        <f>I89+I95</f>
        <v>69198.914494666664</v>
      </c>
      <c r="J97" s="22"/>
      <c r="L97" s="18"/>
      <c r="M97" s="19"/>
      <c r="N97" s="20"/>
    </row>
    <row r="98" spans="1:22" ht="15.75" customHeight="1">
      <c r="A98" s="191" t="s">
        <v>204</v>
      </c>
      <c r="B98" s="191"/>
      <c r="C98" s="191"/>
      <c r="D98" s="191"/>
      <c r="E98" s="191"/>
      <c r="F98" s="191"/>
      <c r="G98" s="191"/>
      <c r="H98" s="191"/>
      <c r="I98" s="191"/>
      <c r="J98" s="22"/>
      <c r="L98" s="18"/>
      <c r="M98" s="19"/>
      <c r="N98" s="20"/>
    </row>
    <row r="99" spans="1:22" ht="15.75" customHeight="1">
      <c r="A99" s="8"/>
      <c r="B99" s="205" t="s">
        <v>205</v>
      </c>
      <c r="C99" s="205"/>
      <c r="D99" s="205"/>
      <c r="E99" s="205"/>
      <c r="F99" s="205"/>
      <c r="G99" s="205"/>
      <c r="H99" s="115"/>
      <c r="I99" s="3"/>
      <c r="J99" s="22"/>
      <c r="L99" s="18"/>
      <c r="M99" s="19"/>
      <c r="N99" s="20"/>
    </row>
    <row r="100" spans="1:22" ht="15.75" customHeight="1">
      <c r="A100" s="117"/>
      <c r="B100" s="206" t="s">
        <v>5</v>
      </c>
      <c r="C100" s="206"/>
      <c r="D100" s="206"/>
      <c r="E100" s="206"/>
      <c r="F100" s="206"/>
      <c r="G100" s="206"/>
      <c r="H100" s="23"/>
      <c r="I100" s="5"/>
      <c r="J100" s="22"/>
      <c r="K100" s="22"/>
      <c r="L100" s="22"/>
      <c r="M100" s="19"/>
      <c r="N100" s="20"/>
    </row>
    <row r="101" spans="1:22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22"/>
      <c r="K101" s="22"/>
      <c r="L101" s="22"/>
      <c r="M101" s="19"/>
      <c r="N101" s="20"/>
    </row>
    <row r="102" spans="1:22" ht="15.75" customHeight="1">
      <c r="A102" s="207" t="s">
        <v>6</v>
      </c>
      <c r="B102" s="207"/>
      <c r="C102" s="207"/>
      <c r="D102" s="207"/>
      <c r="E102" s="207"/>
      <c r="F102" s="207"/>
      <c r="G102" s="207"/>
      <c r="H102" s="207"/>
      <c r="I102" s="207"/>
      <c r="J102" s="22"/>
      <c r="K102" s="22"/>
      <c r="L102" s="22"/>
    </row>
    <row r="103" spans="1:22" ht="15.75" customHeight="1">
      <c r="A103" s="207" t="s">
        <v>7</v>
      </c>
      <c r="B103" s="207"/>
      <c r="C103" s="207"/>
      <c r="D103" s="207"/>
      <c r="E103" s="207"/>
      <c r="F103" s="207"/>
      <c r="G103" s="207"/>
      <c r="H103" s="207"/>
      <c r="I103" s="207"/>
      <c r="J103" s="22"/>
      <c r="K103" s="22"/>
      <c r="L103" s="22"/>
    </row>
    <row r="104" spans="1:22" ht="15.75" customHeight="1">
      <c r="A104" s="191" t="s">
        <v>8</v>
      </c>
      <c r="B104" s="191"/>
      <c r="C104" s="191"/>
      <c r="D104" s="191"/>
      <c r="E104" s="191"/>
      <c r="F104" s="191"/>
      <c r="G104" s="191"/>
      <c r="H104" s="191"/>
      <c r="I104" s="191"/>
    </row>
    <row r="105" spans="1:22" ht="15.75" customHeight="1">
      <c r="A105" s="1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7"/>
    </row>
    <row r="106" spans="1:22" ht="15.75" customHeight="1">
      <c r="A106" s="209" t="s">
        <v>9</v>
      </c>
      <c r="B106" s="209"/>
      <c r="C106" s="209"/>
      <c r="D106" s="209"/>
      <c r="E106" s="209"/>
      <c r="F106" s="209"/>
      <c r="G106" s="209"/>
      <c r="H106" s="209"/>
      <c r="I106" s="209"/>
      <c r="J106" s="24"/>
      <c r="K106" s="24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2" ht="15.75" customHeight="1">
      <c r="A107" s="4"/>
      <c r="J107" s="3"/>
      <c r="K107" s="3"/>
      <c r="L107" s="3"/>
      <c r="M107" s="3"/>
      <c r="N107" s="3"/>
      <c r="O107" s="3"/>
      <c r="P107" s="3"/>
      <c r="Q107" s="3"/>
      <c r="S107" s="3"/>
      <c r="T107" s="3"/>
      <c r="U107" s="3"/>
    </row>
    <row r="108" spans="1:22" ht="15.75" customHeight="1">
      <c r="A108" s="191" t="s">
        <v>10</v>
      </c>
      <c r="B108" s="191"/>
      <c r="C108" s="210" t="s">
        <v>187</v>
      </c>
      <c r="D108" s="210"/>
      <c r="E108" s="210"/>
      <c r="F108" s="57"/>
      <c r="I108" s="120"/>
      <c r="J108" s="5"/>
      <c r="K108" s="5"/>
      <c r="L108" s="5"/>
      <c r="M108" s="5"/>
      <c r="N108" s="5"/>
      <c r="O108" s="5"/>
      <c r="P108" s="5"/>
      <c r="Q108" s="5"/>
      <c r="R108" s="211"/>
      <c r="S108" s="211"/>
      <c r="T108" s="211"/>
      <c r="U108" s="211"/>
    </row>
    <row r="109" spans="1:22" ht="15.75" customHeight="1">
      <c r="A109" s="117"/>
      <c r="C109" s="206" t="s">
        <v>11</v>
      </c>
      <c r="D109" s="206"/>
      <c r="E109" s="206"/>
      <c r="F109" s="23"/>
      <c r="I109" s="118" t="s">
        <v>12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2" ht="15.75" customHeight="1">
      <c r="A110" s="24"/>
      <c r="C110" s="11"/>
      <c r="D110" s="11"/>
      <c r="G110" s="11"/>
      <c r="H110" s="11"/>
    </row>
    <row r="111" spans="1:22" ht="15.75" customHeight="1">
      <c r="A111" s="191" t="s">
        <v>13</v>
      </c>
      <c r="B111" s="191"/>
      <c r="C111" s="212"/>
      <c r="D111" s="212"/>
      <c r="E111" s="212"/>
      <c r="F111" s="58"/>
      <c r="I111" s="120"/>
    </row>
    <row r="112" spans="1:22" ht="15.75" customHeight="1">
      <c r="A112" s="117"/>
      <c r="C112" s="211" t="s">
        <v>11</v>
      </c>
      <c r="D112" s="211"/>
      <c r="E112" s="211"/>
      <c r="F112" s="117"/>
      <c r="I112" s="118" t="s">
        <v>12</v>
      </c>
    </row>
    <row r="113" spans="1:9" ht="15.75" customHeight="1">
      <c r="A113" s="4" t="s">
        <v>14</v>
      </c>
    </row>
    <row r="114" spans="1:9" ht="15" customHeight="1">
      <c r="A114" s="213" t="s">
        <v>15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45" customHeight="1">
      <c r="A115" s="208" t="s">
        <v>16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30" customHeight="1">
      <c r="A116" s="208" t="s">
        <v>17</v>
      </c>
      <c r="B116" s="208"/>
      <c r="C116" s="208"/>
      <c r="D116" s="208"/>
      <c r="E116" s="208"/>
      <c r="F116" s="208"/>
      <c r="G116" s="208"/>
      <c r="H116" s="208"/>
      <c r="I116" s="208"/>
    </row>
    <row r="117" spans="1:9" ht="30" customHeight="1">
      <c r="A117" s="208" t="s">
        <v>21</v>
      </c>
      <c r="B117" s="208"/>
      <c r="C117" s="208"/>
      <c r="D117" s="208"/>
      <c r="E117" s="208"/>
      <c r="F117" s="208"/>
      <c r="G117" s="208"/>
      <c r="H117" s="208"/>
      <c r="I117" s="208"/>
    </row>
    <row r="118" spans="1:9" ht="15" customHeight="1">
      <c r="A118" s="208" t="s">
        <v>20</v>
      </c>
      <c r="B118" s="208"/>
      <c r="C118" s="208"/>
      <c r="D118" s="208"/>
      <c r="E118" s="208"/>
      <c r="F118" s="208"/>
      <c r="G118" s="208"/>
      <c r="H118" s="208"/>
      <c r="I118" s="208"/>
    </row>
  </sheetData>
  <autoFilter ref="I12:I104"/>
  <mergeCells count="31">
    <mergeCell ref="A118:I118"/>
    <mergeCell ref="A106:I106"/>
    <mergeCell ref="A108:B108"/>
    <mergeCell ref="C108:E108"/>
    <mergeCell ref="R108:U108"/>
    <mergeCell ref="C109:E109"/>
    <mergeCell ref="A111:B111"/>
    <mergeCell ref="C111:E111"/>
    <mergeCell ref="C112:E112"/>
    <mergeCell ref="A114:I114"/>
    <mergeCell ref="A115:I115"/>
    <mergeCell ref="A116:I116"/>
    <mergeCell ref="A117:I117"/>
    <mergeCell ref="A104:I104"/>
    <mergeCell ref="A15:I15"/>
    <mergeCell ref="A28:I28"/>
    <mergeCell ref="A45:I45"/>
    <mergeCell ref="A56:I56"/>
    <mergeCell ref="A86:I86"/>
    <mergeCell ref="A90:I90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57"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0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126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299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44500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188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customHeight="1">
      <c r="A29" s="99">
        <v>4</v>
      </c>
      <c r="B29" s="32" t="s">
        <v>131</v>
      </c>
      <c r="C29" s="39" t="s">
        <v>89</v>
      </c>
      <c r="D29" s="32" t="s">
        <v>165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5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5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5"/>
        <v>2.5542143999999998</v>
      </c>
      <c r="I30" s="12">
        <f t="shared" ref="I30" si="6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7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7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4"/>
      <c r="B33" s="51" t="s">
        <v>100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7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1"/>
      <c r="B34" s="55" t="s">
        <v>4</v>
      </c>
      <c r="C34" s="103"/>
      <c r="D34" s="103"/>
      <c r="E34" s="103"/>
      <c r="F34" s="103"/>
      <c r="G34" s="103"/>
      <c r="H34" s="103"/>
      <c r="I34" s="103"/>
      <c r="J34" s="21"/>
      <c r="K34" s="6"/>
      <c r="L34" s="6"/>
      <c r="M34" s="6"/>
    </row>
    <row r="35" spans="1:14" ht="15.75" hidden="1" customHeight="1">
      <c r="A35" s="99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138</v>
      </c>
      <c r="C36" s="59" t="s">
        <v>27</v>
      </c>
      <c r="D36" s="51" t="s">
        <v>101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102</v>
      </c>
      <c r="C37" s="59" t="s">
        <v>103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104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73</v>
      </c>
      <c r="C39" s="59" t="s">
        <v>89</v>
      </c>
      <c r="D39" s="51" t="s">
        <v>139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105</v>
      </c>
      <c r="C40" s="59" t="s">
        <v>89</v>
      </c>
      <c r="D40" s="51" t="s">
        <v>140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7.25" hidden="1" customHeight="1">
      <c r="A42" s="195" t="s">
        <v>116</v>
      </c>
      <c r="B42" s="196"/>
      <c r="C42" s="196"/>
      <c r="D42" s="196"/>
      <c r="E42" s="196"/>
      <c r="F42" s="196"/>
      <c r="G42" s="196"/>
      <c r="H42" s="196"/>
      <c r="I42" s="197"/>
      <c r="J42" s="22"/>
      <c r="L42" s="18"/>
      <c r="M42" s="19"/>
      <c r="N42" s="20"/>
    </row>
    <row r="43" spans="1:14" ht="21" hidden="1" customHeight="1">
      <c r="A43" s="26">
        <v>11</v>
      </c>
      <c r="B43" s="32" t="s">
        <v>106</v>
      </c>
      <c r="C43" s="39" t="s">
        <v>89</v>
      </c>
      <c r="D43" s="32" t="s">
        <v>39</v>
      </c>
      <c r="E43" s="106">
        <v>1114.25</v>
      </c>
      <c r="F43" s="31">
        <f>SUM(E43*2/1000)</f>
        <v>2.2284999999999999</v>
      </c>
      <c r="G43" s="34">
        <v>1193.71</v>
      </c>
      <c r="H43" s="107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9.5" hidden="1" customHeight="1">
      <c r="A44" s="26">
        <v>12</v>
      </c>
      <c r="B44" s="32" t="s">
        <v>33</v>
      </c>
      <c r="C44" s="39" t="s">
        <v>89</v>
      </c>
      <c r="D44" s="32" t="s">
        <v>39</v>
      </c>
      <c r="E44" s="106">
        <v>2631</v>
      </c>
      <c r="F44" s="31">
        <f>SUM(E44*2/1000)</f>
        <v>5.2619999999999996</v>
      </c>
      <c r="G44" s="34">
        <v>1803.69</v>
      </c>
      <c r="H44" s="107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23.25" hidden="1" customHeight="1">
      <c r="A45" s="26">
        <v>13</v>
      </c>
      <c r="B45" s="32" t="s">
        <v>34</v>
      </c>
      <c r="C45" s="39" t="s">
        <v>89</v>
      </c>
      <c r="D45" s="32" t="s">
        <v>39</v>
      </c>
      <c r="E45" s="106">
        <v>1953.8</v>
      </c>
      <c r="F45" s="31">
        <f>SUM(E45*2/1000)</f>
        <v>3.9076</v>
      </c>
      <c r="G45" s="34">
        <v>1243.43</v>
      </c>
      <c r="H45" s="107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24.75" hidden="1" customHeight="1">
      <c r="A46" s="26">
        <v>14</v>
      </c>
      <c r="B46" s="32" t="s">
        <v>31</v>
      </c>
      <c r="C46" s="39" t="s">
        <v>32</v>
      </c>
      <c r="D46" s="32" t="s">
        <v>39</v>
      </c>
      <c r="E46" s="106">
        <v>91.84</v>
      </c>
      <c r="F46" s="31">
        <f>SUM(E46*2/100)</f>
        <v>1.8368</v>
      </c>
      <c r="G46" s="108">
        <v>1172.4100000000001</v>
      </c>
      <c r="H46" s="107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25.5" hidden="1" customHeight="1">
      <c r="A47" s="26">
        <v>15</v>
      </c>
      <c r="B47" s="32" t="s">
        <v>53</v>
      </c>
      <c r="C47" s="39" t="s">
        <v>89</v>
      </c>
      <c r="D47" s="32" t="s">
        <v>136</v>
      </c>
      <c r="E47" s="106">
        <v>3181</v>
      </c>
      <c r="F47" s="31">
        <f>SUM(E47*5/1000)</f>
        <v>15.904999999999999</v>
      </c>
      <c r="G47" s="34">
        <v>1083.69</v>
      </c>
      <c r="H47" s="107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4.5" hidden="1" customHeight="1">
      <c r="A48" s="26">
        <v>9</v>
      </c>
      <c r="B48" s="32" t="s">
        <v>107</v>
      </c>
      <c r="C48" s="39" t="s">
        <v>89</v>
      </c>
      <c r="D48" s="32" t="s">
        <v>39</v>
      </c>
      <c r="E48" s="106">
        <v>3181</v>
      </c>
      <c r="F48" s="31">
        <f>SUM(E48*2/1000)</f>
        <v>6.3620000000000001</v>
      </c>
      <c r="G48" s="34">
        <v>1591.6</v>
      </c>
      <c r="H48" s="107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10</v>
      </c>
      <c r="B49" s="32" t="s">
        <v>108</v>
      </c>
      <c r="C49" s="39" t="s">
        <v>35</v>
      </c>
      <c r="D49" s="32" t="s">
        <v>39</v>
      </c>
      <c r="E49" s="106">
        <v>20</v>
      </c>
      <c r="F49" s="31">
        <f>SUM(E49*2/100)</f>
        <v>0.4</v>
      </c>
      <c r="G49" s="34">
        <v>4058.32</v>
      </c>
      <c r="H49" s="107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21" hidden="1" customHeight="1">
      <c r="A50" s="26">
        <v>11</v>
      </c>
      <c r="B50" s="32" t="s">
        <v>36</v>
      </c>
      <c r="C50" s="39" t="s">
        <v>37</v>
      </c>
      <c r="D50" s="32" t="s">
        <v>39</v>
      </c>
      <c r="E50" s="106">
        <v>1</v>
      </c>
      <c r="F50" s="31">
        <v>0.02</v>
      </c>
      <c r="G50" s="34">
        <v>7412.92</v>
      </c>
      <c r="H50" s="107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9.5" hidden="1" customHeight="1">
      <c r="A51" s="26">
        <v>19</v>
      </c>
      <c r="B51" s="32" t="s">
        <v>109</v>
      </c>
      <c r="C51" s="39" t="s">
        <v>90</v>
      </c>
      <c r="D51" s="32" t="s">
        <v>63</v>
      </c>
      <c r="E51" s="106">
        <v>70</v>
      </c>
      <c r="F51" s="31">
        <f>E51*3</f>
        <v>210</v>
      </c>
      <c r="G51" s="34">
        <v>185.08</v>
      </c>
      <c r="H51" s="107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6.5" hidden="1" customHeight="1">
      <c r="A52" s="26">
        <v>20</v>
      </c>
      <c r="B52" s="32" t="s">
        <v>38</v>
      </c>
      <c r="C52" s="39" t="s">
        <v>90</v>
      </c>
      <c r="D52" s="32" t="s">
        <v>63</v>
      </c>
      <c r="E52" s="106">
        <v>140</v>
      </c>
      <c r="F52" s="31">
        <f>E52*3</f>
        <v>420</v>
      </c>
      <c r="G52" s="35">
        <v>86.15</v>
      </c>
      <c r="H52" s="107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95" t="s">
        <v>75</v>
      </c>
      <c r="B53" s="198"/>
      <c r="C53" s="198"/>
      <c r="D53" s="198"/>
      <c r="E53" s="198"/>
      <c r="F53" s="198"/>
      <c r="G53" s="198"/>
      <c r="H53" s="198"/>
      <c r="I53" s="199"/>
      <c r="J53" s="22"/>
      <c r="L53" s="18"/>
      <c r="M53" s="19"/>
      <c r="N53" s="20"/>
    </row>
    <row r="54" spans="1:14" ht="15.75" hidden="1" customHeight="1">
      <c r="A54" s="26"/>
      <c r="B54" s="80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110</v>
      </c>
      <c r="C55" s="59" t="s">
        <v>79</v>
      </c>
      <c r="D55" s="51" t="s">
        <v>111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113</v>
      </c>
      <c r="C56" s="69" t="s">
        <v>114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1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6</v>
      </c>
      <c r="B59" s="53" t="s">
        <v>151</v>
      </c>
      <c r="C59" s="155" t="s">
        <v>152</v>
      </c>
      <c r="D59" s="53" t="s">
        <v>166</v>
      </c>
      <c r="E59" s="156">
        <v>48</v>
      </c>
      <c r="F59" s="157">
        <f>E59*12/1</f>
        <v>576</v>
      </c>
      <c r="G59" s="158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1" t="s">
        <v>43</v>
      </c>
      <c r="C60" s="69"/>
      <c r="D60" s="70"/>
      <c r="E60" s="71"/>
      <c r="F60" s="74"/>
      <c r="G60" s="74"/>
      <c r="H60" s="72" t="s">
        <v>98</v>
      </c>
      <c r="I60" s="12"/>
      <c r="J60" s="22"/>
      <c r="L60" s="18"/>
      <c r="M60" s="19"/>
      <c r="N60" s="20"/>
    </row>
    <row r="61" spans="1:14" ht="15.75" hidden="1" customHeight="1">
      <c r="A61" s="26">
        <v>8</v>
      </c>
      <c r="B61" s="159" t="s">
        <v>44</v>
      </c>
      <c r="C61" s="37" t="s">
        <v>90</v>
      </c>
      <c r="D61" s="36" t="s">
        <v>166</v>
      </c>
      <c r="E61" s="16">
        <v>12</v>
      </c>
      <c r="F61" s="31">
        <f>E61</f>
        <v>12</v>
      </c>
      <c r="G61" s="34">
        <v>331.57</v>
      </c>
      <c r="H61" s="75">
        <f t="shared" ref="H61" si="13">SUM(F61*G61/1000)</f>
        <v>3.9788399999999999</v>
      </c>
      <c r="I61" s="12">
        <f>G61*1</f>
        <v>331.57</v>
      </c>
      <c r="J61" s="22"/>
      <c r="L61" s="18"/>
      <c r="M61" s="19"/>
      <c r="N61" s="20"/>
    </row>
    <row r="62" spans="1:14" ht="15.75" customHeight="1">
      <c r="A62" s="26">
        <v>7</v>
      </c>
      <c r="B62" s="13" t="s">
        <v>45</v>
      </c>
      <c r="C62" s="15" t="s">
        <v>90</v>
      </c>
      <c r="D62" s="13" t="s">
        <v>166</v>
      </c>
      <c r="E62" s="17">
        <v>4</v>
      </c>
      <c r="F62" s="61">
        <f>E62</f>
        <v>4</v>
      </c>
      <c r="G62" s="137">
        <v>113.69</v>
      </c>
      <c r="H62" s="75">
        <f t="shared" ref="H62:H69" si="14">SUM(F62*G62/1000)</f>
        <v>0.45476</v>
      </c>
      <c r="I62" s="12">
        <f>G62*1</f>
        <v>113.69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91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4"/>
        <v>35.342044800000004</v>
      </c>
      <c r="I63" s="12">
        <f t="shared" ref="I63:I67" si="15">G63*2</f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92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4"/>
        <v>2.7522693600000001</v>
      </c>
      <c r="I64" s="12">
        <f t="shared" si="15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4"/>
        <v>59.860680000000002</v>
      </c>
      <c r="I65" s="12">
        <f t="shared" si="15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93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4"/>
        <v>0.40905599999999998</v>
      </c>
      <c r="I66" s="12">
        <f t="shared" si="15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94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4"/>
        <v>0.44198399999999999</v>
      </c>
      <c r="I67" s="12">
        <f t="shared" si="15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4"/>
        <v>0.26168000000000002</v>
      </c>
      <c r="I68" s="12">
        <f>G68*4</f>
        <v>261.68</v>
      </c>
      <c r="J68" s="22"/>
      <c r="L68" s="18"/>
      <c r="M68" s="19"/>
      <c r="N68" s="20"/>
    </row>
    <row r="69" spans="1:14" ht="36" customHeight="1">
      <c r="A69" s="26">
        <v>8</v>
      </c>
      <c r="B69" s="36" t="s">
        <v>141</v>
      </c>
      <c r="C69" s="135" t="s">
        <v>142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4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6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98</v>
      </c>
      <c r="I70" s="12"/>
      <c r="J70" s="22"/>
      <c r="L70" s="18"/>
      <c r="M70" s="19"/>
      <c r="N70" s="20"/>
    </row>
    <row r="71" spans="1:14" ht="20.25" hidden="1" customHeight="1">
      <c r="A71" s="26">
        <v>18</v>
      </c>
      <c r="B71" s="13" t="s">
        <v>143</v>
      </c>
      <c r="C71" s="15" t="s">
        <v>28</v>
      </c>
      <c r="D71" s="13" t="s">
        <v>60</v>
      </c>
      <c r="E71" s="17">
        <v>1</v>
      </c>
      <c r="F71" s="61">
        <f t="shared" ref="F71" si="16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9.5" hidden="1" customHeight="1">
      <c r="A72" s="26"/>
      <c r="B72" s="50" t="s">
        <v>144</v>
      </c>
      <c r="C72" s="54" t="s">
        <v>90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1.75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7">SUM(F73*G73/1000)</f>
        <v>0.19736099999999998</v>
      </c>
      <c r="I73" s="12">
        <v>0</v>
      </c>
      <c r="J73" s="22"/>
      <c r="L73" s="18"/>
      <c r="M73" s="19"/>
      <c r="N73" s="20"/>
    </row>
    <row r="74" spans="1:14" ht="25.5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7"/>
        <v>1.1187199999999999</v>
      </c>
      <c r="I74" s="12">
        <v>0</v>
      </c>
      <c r="J74" s="22"/>
      <c r="L74" s="18"/>
      <c r="M74" s="19"/>
      <c r="N74" s="20"/>
    </row>
    <row r="75" spans="1:14" ht="26.25" hidden="1" customHeight="1">
      <c r="A75" s="26"/>
      <c r="B75" s="50" t="s">
        <v>145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7"/>
        <v>1.6058299999999999</v>
      </c>
      <c r="I75" s="12">
        <v>0</v>
      </c>
      <c r="J75" s="22"/>
      <c r="L75" s="18"/>
      <c r="M75" s="19"/>
      <c r="N75" s="20"/>
    </row>
    <row r="76" spans="1:14" ht="29.25" customHeight="1">
      <c r="A76" s="26">
        <v>9</v>
      </c>
      <c r="B76" s="121" t="s">
        <v>146</v>
      </c>
      <c r="C76" s="122" t="s">
        <v>90</v>
      </c>
      <c r="D76" s="36" t="s">
        <v>166</v>
      </c>
      <c r="E76" s="16">
        <v>2</v>
      </c>
      <c r="F76" s="31">
        <f>E76*12</f>
        <v>24</v>
      </c>
      <c r="G76" s="34">
        <v>425</v>
      </c>
      <c r="H76" s="75">
        <f t="shared" si="17"/>
        <v>10.199999999999999</v>
      </c>
      <c r="I76" s="12">
        <f>G76*2</f>
        <v>850</v>
      </c>
      <c r="J76" s="22"/>
      <c r="L76" s="18"/>
      <c r="M76" s="19"/>
      <c r="N76" s="20"/>
    </row>
    <row r="77" spans="1:14" ht="32.25" hidden="1" customHeight="1">
      <c r="A77" s="26"/>
      <c r="B77" s="77" t="s">
        <v>68</v>
      </c>
      <c r="C77" s="15"/>
      <c r="D77" s="13"/>
      <c r="E77" s="17"/>
      <c r="F77" s="12"/>
      <c r="G77" s="12" t="s">
        <v>98</v>
      </c>
      <c r="H77" s="75" t="s">
        <v>98</v>
      </c>
      <c r="I77" s="12"/>
      <c r="J77" s="22"/>
      <c r="L77" s="18"/>
      <c r="M77" s="19"/>
      <c r="N77" s="20"/>
    </row>
    <row r="78" spans="1:14" ht="28.5" hidden="1" customHeight="1">
      <c r="A78" s="26"/>
      <c r="B78" s="45" t="s">
        <v>97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8">SUM(F78*G78/1000)</f>
        <v>3.3708899999999997</v>
      </c>
      <c r="I78" s="12">
        <v>0</v>
      </c>
      <c r="J78" s="22"/>
      <c r="L78" s="18"/>
      <c r="M78" s="19"/>
      <c r="N78" s="20"/>
    </row>
    <row r="79" spans="1:14" ht="27.75" customHeight="1">
      <c r="A79" s="26"/>
      <c r="B79" s="55" t="s">
        <v>95</v>
      </c>
      <c r="C79" s="77"/>
      <c r="D79" s="27"/>
      <c r="E79" s="30"/>
      <c r="F79" s="66"/>
      <c r="G79" s="66"/>
      <c r="H79" s="78">
        <f>SUM(H55:H78)</f>
        <v>251.14613411999994</v>
      </c>
      <c r="I79" s="66"/>
      <c r="J79" s="22"/>
      <c r="L79" s="18"/>
      <c r="M79" s="19"/>
      <c r="N79" s="20"/>
    </row>
    <row r="80" spans="1:14" ht="18.75" customHeight="1">
      <c r="A80" s="104">
        <v>10</v>
      </c>
      <c r="B80" s="53" t="s">
        <v>96</v>
      </c>
      <c r="C80" s="109"/>
      <c r="D80" s="110"/>
      <c r="E80" s="110"/>
      <c r="F80" s="111">
        <v>1</v>
      </c>
      <c r="G80" s="111">
        <v>207.2</v>
      </c>
      <c r="H80" s="112">
        <f>G80*F80/1000</f>
        <v>0.2072</v>
      </c>
      <c r="I80" s="79">
        <f>G80</f>
        <v>207.2</v>
      </c>
      <c r="J80" s="22"/>
      <c r="L80" s="18"/>
      <c r="M80" s="19"/>
      <c r="N80" s="20"/>
    </row>
    <row r="81" spans="1:14" ht="21" hidden="1" customHeight="1">
      <c r="A81" s="49"/>
      <c r="B81" s="113" t="s">
        <v>147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4">
        <v>0</v>
      </c>
      <c r="J81" s="22"/>
      <c r="L81" s="18"/>
      <c r="M81" s="19"/>
      <c r="N81" s="20"/>
    </row>
    <row r="82" spans="1:14" ht="15.75" customHeight="1">
      <c r="A82" s="192" t="s">
        <v>124</v>
      </c>
      <c r="B82" s="200"/>
      <c r="C82" s="200"/>
      <c r="D82" s="200"/>
      <c r="E82" s="200"/>
      <c r="F82" s="200"/>
      <c r="G82" s="200"/>
      <c r="H82" s="200"/>
      <c r="I82" s="201"/>
      <c r="J82" s="22"/>
      <c r="L82" s="18"/>
      <c r="M82" s="19"/>
      <c r="N82" s="20"/>
    </row>
    <row r="83" spans="1:14" ht="15.75" customHeight="1">
      <c r="A83" s="99">
        <v>11</v>
      </c>
      <c r="B83" s="32" t="s">
        <v>112</v>
      </c>
      <c r="C83" s="37" t="s">
        <v>52</v>
      </c>
      <c r="D83" s="162"/>
      <c r="E83" s="34">
        <v>3181</v>
      </c>
      <c r="F83" s="34">
        <f>SUM(E83*12)</f>
        <v>38172</v>
      </c>
      <c r="G83" s="34">
        <v>3.5</v>
      </c>
      <c r="H83" s="105">
        <f>SUM(F83*G83/1000)</f>
        <v>133.602</v>
      </c>
      <c r="I83" s="100">
        <f>F83/12*G83</f>
        <v>11133.5</v>
      </c>
      <c r="J83" s="22"/>
      <c r="L83" s="18"/>
      <c r="M83" s="19"/>
      <c r="N83" s="20"/>
    </row>
    <row r="84" spans="1:14" ht="31.5" customHeight="1">
      <c r="A84" s="26">
        <v>12</v>
      </c>
      <c r="B84" s="36" t="s">
        <v>181</v>
      </c>
      <c r="C84" s="37" t="s">
        <v>152</v>
      </c>
      <c r="D84" s="163"/>
      <c r="E84" s="106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15.75" customHeight="1">
      <c r="A85" s="49"/>
      <c r="B85" s="38" t="s">
        <v>71</v>
      </c>
      <c r="C85" s="15"/>
      <c r="D85" s="45"/>
      <c r="E85" s="12"/>
      <c r="F85" s="12"/>
      <c r="G85" s="12"/>
      <c r="H85" s="75">
        <f>H84</f>
        <v>122.1504</v>
      </c>
      <c r="I85" s="66">
        <f>I84+I83+I76+I69+I62+I59+I30+I29+I18+I17+I16+I80</f>
        <v>43405.399829999995</v>
      </c>
      <c r="J85" s="22"/>
      <c r="L85" s="18"/>
      <c r="M85" s="19"/>
      <c r="N85" s="20"/>
    </row>
    <row r="86" spans="1:14" ht="15.75" customHeight="1">
      <c r="A86" s="202" t="s">
        <v>56</v>
      </c>
      <c r="B86" s="203"/>
      <c r="C86" s="203"/>
      <c r="D86" s="203"/>
      <c r="E86" s="203"/>
      <c r="F86" s="203"/>
      <c r="G86" s="203"/>
      <c r="H86" s="203"/>
      <c r="I86" s="204"/>
      <c r="J86" s="22"/>
      <c r="L86" s="18"/>
      <c r="M86" s="19"/>
      <c r="N86" s="20"/>
    </row>
    <row r="87" spans="1:14" ht="30" customHeight="1">
      <c r="A87" s="26">
        <v>13</v>
      </c>
      <c r="B87" s="173" t="s">
        <v>292</v>
      </c>
      <c r="C87" s="26" t="s">
        <v>156</v>
      </c>
      <c r="D87" s="163" t="s">
        <v>302</v>
      </c>
      <c r="E87" s="34"/>
      <c r="F87" s="34">
        <v>4</v>
      </c>
      <c r="G87" s="34">
        <v>1584.54</v>
      </c>
      <c r="H87" s="72"/>
      <c r="I87" s="12">
        <f>G87*1</f>
        <v>1584.54</v>
      </c>
      <c r="J87" s="22"/>
      <c r="L87" s="18"/>
      <c r="M87" s="19"/>
      <c r="N87" s="20"/>
    </row>
    <row r="88" spans="1:14" ht="15.75" customHeight="1">
      <c r="A88" s="26">
        <v>14</v>
      </c>
      <c r="B88" s="121" t="s">
        <v>183</v>
      </c>
      <c r="C88" s="122" t="s">
        <v>37</v>
      </c>
      <c r="D88" s="163" t="s">
        <v>166</v>
      </c>
      <c r="E88" s="34"/>
      <c r="F88" s="34">
        <v>0.04</v>
      </c>
      <c r="G88" s="34">
        <v>28224.75</v>
      </c>
      <c r="H88" s="75"/>
      <c r="I88" s="79">
        <v>0</v>
      </c>
      <c r="J88" s="22"/>
      <c r="L88" s="18"/>
      <c r="M88" s="19"/>
      <c r="N88" s="20"/>
    </row>
    <row r="89" spans="1:14" ht="33.75" customHeight="1">
      <c r="A89" s="26">
        <v>15</v>
      </c>
      <c r="B89" s="121" t="s">
        <v>300</v>
      </c>
      <c r="C89" s="122" t="s">
        <v>115</v>
      </c>
      <c r="D89" s="163" t="s">
        <v>303</v>
      </c>
      <c r="E89" s="34"/>
      <c r="F89" s="34">
        <v>1</v>
      </c>
      <c r="G89" s="34">
        <v>614.47</v>
      </c>
      <c r="H89" s="75"/>
      <c r="I89" s="79">
        <f>G89*1</f>
        <v>614.47</v>
      </c>
      <c r="J89" s="22"/>
      <c r="L89" s="18"/>
      <c r="M89" s="19"/>
      <c r="N89" s="20"/>
    </row>
    <row r="90" spans="1:14" ht="29.25" customHeight="1">
      <c r="A90" s="26">
        <v>16</v>
      </c>
      <c r="B90" s="121" t="s">
        <v>301</v>
      </c>
      <c r="C90" s="122" t="s">
        <v>90</v>
      </c>
      <c r="D90" s="163"/>
      <c r="E90" s="34"/>
      <c r="F90" s="34">
        <v>10</v>
      </c>
      <c r="G90" s="34">
        <v>224.48</v>
      </c>
      <c r="H90" s="75"/>
      <c r="I90" s="79">
        <f>G90*2</f>
        <v>448.96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0"/>
      <c r="D91" s="46"/>
      <c r="E91" s="40">
        <v>1</v>
      </c>
      <c r="F91" s="40"/>
      <c r="G91" s="40"/>
      <c r="H91" s="40"/>
      <c r="I91" s="30">
        <f>SUM(I87:I90)</f>
        <v>2647.9700000000003</v>
      </c>
      <c r="J91" s="22"/>
      <c r="L91" s="18"/>
      <c r="M91" s="19"/>
      <c r="N91" s="20"/>
    </row>
    <row r="92" spans="1:14" ht="15.75" customHeight="1">
      <c r="A92" s="26"/>
      <c r="B92" s="45" t="s">
        <v>70</v>
      </c>
      <c r="C92" s="14"/>
      <c r="D92" s="14"/>
      <c r="E92" s="41"/>
      <c r="F92" s="41"/>
      <c r="G92" s="42"/>
      <c r="H92" s="42"/>
      <c r="I92" s="16">
        <v>0</v>
      </c>
      <c r="J92" s="22"/>
      <c r="L92" s="18"/>
      <c r="M92" s="19"/>
      <c r="N92" s="20"/>
    </row>
    <row r="93" spans="1:14" ht="15.75" customHeight="1">
      <c r="A93" s="47"/>
      <c r="B93" s="44" t="s">
        <v>137</v>
      </c>
      <c r="C93" s="33"/>
      <c r="D93" s="33"/>
      <c r="E93" s="33"/>
      <c r="F93" s="33"/>
      <c r="G93" s="33"/>
      <c r="H93" s="33"/>
      <c r="I93" s="43">
        <f>I85+I91</f>
        <v>46053.369829999996</v>
      </c>
      <c r="J93" s="22"/>
      <c r="L93" s="18"/>
      <c r="M93" s="19"/>
      <c r="N93" s="20"/>
    </row>
    <row r="94" spans="1:14" ht="15.75" customHeight="1">
      <c r="A94" s="191" t="s">
        <v>304</v>
      </c>
      <c r="B94" s="191"/>
      <c r="C94" s="191"/>
      <c r="D94" s="191"/>
      <c r="E94" s="191"/>
      <c r="F94" s="191"/>
      <c r="G94" s="191"/>
      <c r="H94" s="191"/>
      <c r="I94" s="191"/>
      <c r="J94" s="22"/>
      <c r="L94" s="18"/>
      <c r="M94" s="19"/>
      <c r="N94" s="20"/>
    </row>
    <row r="95" spans="1:14" ht="15.75" customHeight="1">
      <c r="A95" s="8"/>
      <c r="B95" s="205" t="s">
        <v>305</v>
      </c>
      <c r="C95" s="205"/>
      <c r="D95" s="205"/>
      <c r="E95" s="205"/>
      <c r="F95" s="205"/>
      <c r="G95" s="205"/>
      <c r="H95" s="82"/>
      <c r="I95" s="3"/>
      <c r="J95" s="22"/>
      <c r="L95" s="18"/>
      <c r="M95" s="19"/>
      <c r="N95" s="20"/>
    </row>
    <row r="96" spans="1:14" ht="15.75" customHeight="1">
      <c r="A96" s="84"/>
      <c r="B96" s="206" t="s">
        <v>5</v>
      </c>
      <c r="C96" s="206"/>
      <c r="D96" s="206"/>
      <c r="E96" s="206"/>
      <c r="F96" s="206"/>
      <c r="G96" s="206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207" t="s">
        <v>6</v>
      </c>
      <c r="B98" s="207"/>
      <c r="C98" s="207"/>
      <c r="D98" s="207"/>
      <c r="E98" s="207"/>
      <c r="F98" s="207"/>
      <c r="G98" s="207"/>
      <c r="H98" s="207"/>
      <c r="I98" s="207"/>
      <c r="J98" s="22"/>
      <c r="K98" s="22"/>
      <c r="L98" s="22"/>
    </row>
    <row r="99" spans="1:22" ht="15.75" customHeight="1">
      <c r="A99" s="207" t="s">
        <v>7</v>
      </c>
      <c r="B99" s="207"/>
      <c r="C99" s="207"/>
      <c r="D99" s="207"/>
      <c r="E99" s="207"/>
      <c r="F99" s="207"/>
      <c r="G99" s="207"/>
      <c r="H99" s="207"/>
      <c r="I99" s="207"/>
      <c r="J99" s="22"/>
      <c r="K99" s="22"/>
      <c r="L99" s="22"/>
    </row>
    <row r="100" spans="1:22" ht="15.75" customHeight="1">
      <c r="A100" s="191" t="s">
        <v>8</v>
      </c>
      <c r="B100" s="191"/>
      <c r="C100" s="191"/>
      <c r="D100" s="191"/>
      <c r="E100" s="191"/>
      <c r="F100" s="191"/>
      <c r="G100" s="191"/>
      <c r="H100" s="191"/>
      <c r="I100" s="191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209" t="s">
        <v>9</v>
      </c>
      <c r="B102" s="209"/>
      <c r="C102" s="209"/>
      <c r="D102" s="209"/>
      <c r="E102" s="209"/>
      <c r="F102" s="209"/>
      <c r="G102" s="209"/>
      <c r="H102" s="209"/>
      <c r="I102" s="209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91" t="s">
        <v>10</v>
      </c>
      <c r="B104" s="191"/>
      <c r="C104" s="210" t="s">
        <v>187</v>
      </c>
      <c r="D104" s="210"/>
      <c r="E104" s="210"/>
      <c r="F104" s="57"/>
      <c r="I104" s="87"/>
      <c r="J104" s="5"/>
      <c r="K104" s="5"/>
      <c r="L104" s="5"/>
      <c r="M104" s="5"/>
      <c r="N104" s="5"/>
      <c r="O104" s="5"/>
      <c r="P104" s="5"/>
      <c r="Q104" s="5"/>
      <c r="R104" s="211"/>
      <c r="S104" s="211"/>
      <c r="T104" s="211"/>
      <c r="U104" s="211"/>
    </row>
    <row r="105" spans="1:22" ht="15.75" customHeight="1">
      <c r="A105" s="84"/>
      <c r="C105" s="206" t="s">
        <v>11</v>
      </c>
      <c r="D105" s="206"/>
      <c r="E105" s="206"/>
      <c r="F105" s="23"/>
      <c r="I105" s="85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91" t="s">
        <v>13</v>
      </c>
      <c r="B107" s="191"/>
      <c r="C107" s="212"/>
      <c r="D107" s="212"/>
      <c r="E107" s="212"/>
      <c r="F107" s="58"/>
      <c r="I107" s="87"/>
    </row>
    <row r="108" spans="1:22" ht="15.75" customHeight="1">
      <c r="A108" s="84"/>
      <c r="C108" s="211" t="s">
        <v>11</v>
      </c>
      <c r="D108" s="211"/>
      <c r="E108" s="211"/>
      <c r="F108" s="84"/>
      <c r="I108" s="85" t="s">
        <v>12</v>
      </c>
    </row>
    <row r="109" spans="1:22" ht="15.75" customHeight="1">
      <c r="A109" s="4" t="s">
        <v>14</v>
      </c>
    </row>
    <row r="110" spans="1:22" ht="15" customHeight="1">
      <c r="A110" s="213" t="s">
        <v>15</v>
      </c>
      <c r="B110" s="213"/>
      <c r="C110" s="213"/>
      <c r="D110" s="213"/>
      <c r="E110" s="213"/>
      <c r="F110" s="213"/>
      <c r="G110" s="213"/>
      <c r="H110" s="213"/>
      <c r="I110" s="213"/>
    </row>
    <row r="111" spans="1:22" ht="45" customHeight="1">
      <c r="A111" s="208" t="s">
        <v>16</v>
      </c>
      <c r="B111" s="208"/>
      <c r="C111" s="208"/>
      <c r="D111" s="208"/>
      <c r="E111" s="208"/>
      <c r="F111" s="208"/>
      <c r="G111" s="208"/>
      <c r="H111" s="208"/>
      <c r="I111" s="208"/>
    </row>
    <row r="112" spans="1:22" ht="30" customHeight="1">
      <c r="A112" s="208" t="s">
        <v>17</v>
      </c>
      <c r="B112" s="208"/>
      <c r="C112" s="208"/>
      <c r="D112" s="208"/>
      <c r="E112" s="208"/>
      <c r="F112" s="208"/>
      <c r="G112" s="208"/>
      <c r="H112" s="208"/>
      <c r="I112" s="208"/>
    </row>
    <row r="113" spans="1:9" ht="30" customHeight="1">
      <c r="A113" s="208" t="s">
        <v>21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15" customHeight="1">
      <c r="A114" s="208" t="s">
        <v>20</v>
      </c>
      <c r="B114" s="208"/>
      <c r="C114" s="208"/>
      <c r="D114" s="208"/>
      <c r="E114" s="208"/>
      <c r="F114" s="208"/>
      <c r="G114" s="208"/>
      <c r="H114" s="208"/>
      <c r="I114" s="208"/>
    </row>
  </sheetData>
  <autoFilter ref="I12:I100"/>
  <mergeCells count="31"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7:I27"/>
    <mergeCell ref="A42:I42"/>
    <mergeCell ref="A53:I53"/>
    <mergeCell ref="A82:I82"/>
    <mergeCell ref="A86:I86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1"/>
  <sheetViews>
    <sheetView topLeftCell="A86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1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148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306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93"/>
      <c r="C6" s="93"/>
      <c r="D6" s="93"/>
      <c r="E6" s="93"/>
      <c r="F6" s="93"/>
      <c r="G6" s="93"/>
      <c r="H6" s="93"/>
      <c r="I6" s="29">
        <v>44530</v>
      </c>
      <c r="J6" s="2"/>
      <c r="K6" s="2"/>
      <c r="L6" s="2"/>
      <c r="M6" s="2"/>
    </row>
    <row r="7" spans="1:15" ht="15.75">
      <c r="B7" s="89"/>
      <c r="C7" s="89"/>
      <c r="D7" s="8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5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92" t="s">
        <v>129</v>
      </c>
      <c r="B28" s="193"/>
      <c r="C28" s="193"/>
      <c r="D28" s="193"/>
      <c r="E28" s="193"/>
      <c r="F28" s="193"/>
      <c r="G28" s="193"/>
      <c r="H28" s="193"/>
      <c r="I28" s="194"/>
      <c r="J28" s="21"/>
      <c r="K28" s="6"/>
      <c r="L28" s="6"/>
      <c r="M28" s="6"/>
    </row>
    <row r="29" spans="1:13" ht="15.75" hidden="1" customHeight="1">
      <c r="A29" s="101"/>
      <c r="B29" s="55" t="s">
        <v>130</v>
      </c>
      <c r="C29" s="102"/>
      <c r="D29" s="102"/>
      <c r="E29" s="102"/>
      <c r="F29" s="102"/>
      <c r="G29" s="102"/>
      <c r="H29" s="102"/>
      <c r="I29" s="102"/>
      <c r="J29" s="21"/>
      <c r="K29" s="6"/>
      <c r="L29" s="6"/>
      <c r="M29" s="6"/>
    </row>
    <row r="30" spans="1:13" ht="15.75" hidden="1" customHeight="1">
      <c r="A30" s="99">
        <v>6</v>
      </c>
      <c r="B30" s="51" t="s">
        <v>131</v>
      </c>
      <c r="C30" s="59" t="s">
        <v>89</v>
      </c>
      <c r="D30" s="51" t="s">
        <v>134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132</v>
      </c>
      <c r="C31" s="59" t="s">
        <v>89</v>
      </c>
      <c r="D31" s="51" t="s">
        <v>135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89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133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4"/>
      <c r="B35" s="51" t="s">
        <v>100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1"/>
      <c r="B36" s="55" t="s">
        <v>4</v>
      </c>
      <c r="C36" s="103"/>
      <c r="D36" s="103"/>
      <c r="E36" s="103"/>
      <c r="F36" s="103"/>
      <c r="G36" s="103"/>
      <c r="H36" s="103"/>
      <c r="I36" s="103"/>
      <c r="J36" s="21"/>
      <c r="K36" s="6"/>
      <c r="L36" s="6"/>
      <c r="M36" s="6"/>
    </row>
    <row r="37" spans="1:14" ht="16.5" customHeight="1">
      <c r="A37" s="99">
        <v>4</v>
      </c>
      <c r="B37" s="51" t="s">
        <v>25</v>
      </c>
      <c r="C37" s="59" t="s">
        <v>29</v>
      </c>
      <c r="D37" s="51" t="s">
        <v>307</v>
      </c>
      <c r="E37" s="60"/>
      <c r="F37" s="61">
        <v>3</v>
      </c>
      <c r="G37" s="171">
        <v>1930</v>
      </c>
      <c r="H37" s="62">
        <f t="shared" ref="H37:H43" si="8">SUM(F37*G37/1000)</f>
        <v>5.79</v>
      </c>
      <c r="I37" s="12">
        <f>G37*0.5</f>
        <v>965</v>
      </c>
      <c r="J37" s="21"/>
      <c r="K37" s="6"/>
      <c r="L37" s="6"/>
      <c r="M37" s="6"/>
    </row>
    <row r="38" spans="1:14" ht="15.75" customHeight="1">
      <c r="A38" s="26">
        <v>5</v>
      </c>
      <c r="B38" s="167" t="s">
        <v>138</v>
      </c>
      <c r="C38" s="168" t="s">
        <v>27</v>
      </c>
      <c r="D38" s="32" t="s">
        <v>163</v>
      </c>
      <c r="E38" s="106">
        <v>92</v>
      </c>
      <c r="F38" s="169">
        <f>E38*30/1000</f>
        <v>2.76</v>
      </c>
      <c r="G38" s="31">
        <v>3134.93</v>
      </c>
      <c r="H38" s="62">
        <f>G38*F38/1000</f>
        <v>8.6524067999999996</v>
      </c>
      <c r="I38" s="12">
        <f>F38/6*G38</f>
        <v>1442.0677999999998</v>
      </c>
      <c r="J38" s="21"/>
      <c r="K38" s="6"/>
      <c r="L38" s="6"/>
      <c r="M38" s="6"/>
    </row>
    <row r="39" spans="1:14" ht="15.75" hidden="1" customHeight="1">
      <c r="A39" s="26">
        <v>8</v>
      </c>
      <c r="B39" s="32" t="s">
        <v>102</v>
      </c>
      <c r="C39" s="39" t="s">
        <v>103</v>
      </c>
      <c r="D39" s="32" t="s">
        <v>180</v>
      </c>
      <c r="E39" s="106"/>
      <c r="F39" s="169">
        <v>52</v>
      </c>
      <c r="G39" s="31">
        <v>330</v>
      </c>
      <c r="H39" s="62">
        <f>G39*F39/1000</f>
        <v>17.16</v>
      </c>
      <c r="I39" s="12">
        <f t="shared" ref="I39:I41" si="9">F39/6*G39</f>
        <v>2860</v>
      </c>
      <c r="J39" s="21"/>
      <c r="K39" s="6"/>
    </row>
    <row r="40" spans="1:14" ht="15.75" customHeight="1">
      <c r="A40" s="26">
        <v>6</v>
      </c>
      <c r="B40" s="32" t="s">
        <v>61</v>
      </c>
      <c r="C40" s="39" t="s">
        <v>27</v>
      </c>
      <c r="D40" s="32" t="s">
        <v>164</v>
      </c>
      <c r="E40" s="31">
        <f>E38</f>
        <v>92</v>
      </c>
      <c r="F40" s="169">
        <f>SUM(E40*155/1000)</f>
        <v>14.26</v>
      </c>
      <c r="G40" s="31">
        <v>522.92999999999995</v>
      </c>
      <c r="H40" s="62">
        <f t="shared" si="8"/>
        <v>7.4569817999999994</v>
      </c>
      <c r="I40" s="12">
        <f t="shared" si="9"/>
        <v>1242.8302999999999</v>
      </c>
      <c r="J40" s="22"/>
    </row>
    <row r="41" spans="1:14" ht="48" customHeight="1">
      <c r="A41" s="26">
        <v>7</v>
      </c>
      <c r="B41" s="32" t="s">
        <v>73</v>
      </c>
      <c r="C41" s="39" t="s">
        <v>89</v>
      </c>
      <c r="D41" s="32" t="s">
        <v>163</v>
      </c>
      <c r="E41" s="31">
        <v>92</v>
      </c>
      <c r="F41" s="169">
        <f>SUM(E41*35/1000)</f>
        <v>3.22</v>
      </c>
      <c r="G41" s="31">
        <v>8652.07</v>
      </c>
      <c r="H41" s="62">
        <f t="shared" si="8"/>
        <v>27.859665400000001</v>
      </c>
      <c r="I41" s="12">
        <f t="shared" si="9"/>
        <v>4643.2775666666676</v>
      </c>
      <c r="J41" s="22"/>
    </row>
    <row r="42" spans="1:14" ht="15.75" hidden="1" customHeight="1">
      <c r="A42" s="26">
        <v>9</v>
      </c>
      <c r="B42" s="32" t="s">
        <v>105</v>
      </c>
      <c r="C42" s="39" t="s">
        <v>89</v>
      </c>
      <c r="D42" s="32" t="s">
        <v>166</v>
      </c>
      <c r="E42" s="31">
        <f>E38</f>
        <v>92</v>
      </c>
      <c r="F42" s="169">
        <f>SUM(E42*20/1000)</f>
        <v>1.84</v>
      </c>
      <c r="G42" s="31">
        <v>639.14</v>
      </c>
      <c r="H42" s="62">
        <f t="shared" si="8"/>
        <v>1.1760176000000002</v>
      </c>
      <c r="I42" s="12">
        <f>G42*F42/20*1</f>
        <v>58.800880000000006</v>
      </c>
      <c r="J42" s="22"/>
    </row>
    <row r="43" spans="1:14" ht="15.75" hidden="1" customHeight="1">
      <c r="A43" s="26">
        <v>10</v>
      </c>
      <c r="B43" s="167" t="s">
        <v>62</v>
      </c>
      <c r="C43" s="168" t="s">
        <v>30</v>
      </c>
      <c r="D43" s="167"/>
      <c r="E43" s="149"/>
      <c r="F43" s="169">
        <v>0.8</v>
      </c>
      <c r="G43" s="169">
        <v>900</v>
      </c>
      <c r="H43" s="62">
        <f t="shared" si="8"/>
        <v>0.72</v>
      </c>
      <c r="I43" s="12">
        <f>G43*F43/20*1</f>
        <v>36</v>
      </c>
      <c r="J43" s="22"/>
    </row>
    <row r="44" spans="1:14" ht="30" customHeight="1">
      <c r="A44" s="166">
        <v>8</v>
      </c>
      <c r="B44" s="167" t="s">
        <v>190</v>
      </c>
      <c r="C44" s="168" t="s">
        <v>27</v>
      </c>
      <c r="D44" s="167" t="s">
        <v>161</v>
      </c>
      <c r="E44" s="149">
        <v>3</v>
      </c>
      <c r="F44" s="169">
        <f>E44*12/1000</f>
        <v>3.5999999999999997E-2</v>
      </c>
      <c r="G44" s="169">
        <v>20547.34</v>
      </c>
      <c r="H44" s="56"/>
      <c r="I44" s="12">
        <f>G44*F44/6</f>
        <v>123.28403999999999</v>
      </c>
      <c r="J44" s="22"/>
    </row>
    <row r="45" spans="1:14" ht="15.75" customHeight="1">
      <c r="A45" s="195" t="s">
        <v>116</v>
      </c>
      <c r="B45" s="196"/>
      <c r="C45" s="196"/>
      <c r="D45" s="196"/>
      <c r="E45" s="196"/>
      <c r="F45" s="196"/>
      <c r="G45" s="196"/>
      <c r="H45" s="196"/>
      <c r="I45" s="197"/>
      <c r="J45" s="22"/>
      <c r="L45" s="18"/>
      <c r="M45" s="19"/>
      <c r="N45" s="20"/>
    </row>
    <row r="46" spans="1:14" ht="15.75" hidden="1" customHeight="1">
      <c r="A46" s="26">
        <v>11</v>
      </c>
      <c r="B46" s="32" t="s">
        <v>106</v>
      </c>
      <c r="C46" s="39" t="s">
        <v>89</v>
      </c>
      <c r="D46" s="32" t="s">
        <v>39</v>
      </c>
      <c r="E46" s="106">
        <v>1114.25</v>
      </c>
      <c r="F46" s="31">
        <f>SUM(E46*2/1000)</f>
        <v>2.2284999999999999</v>
      </c>
      <c r="G46" s="34">
        <v>1193.71</v>
      </c>
      <c r="H46" s="107">
        <f t="shared" ref="H46:H55" si="10">SUM(F46*G46/1000)</f>
        <v>2.6601827349999998</v>
      </c>
      <c r="I46" s="12">
        <f t="shared" ref="I46:I48" si="11">F46/2*G46</f>
        <v>1330.0913674999999</v>
      </c>
      <c r="J46" s="22"/>
      <c r="L46" s="18"/>
      <c r="M46" s="19"/>
      <c r="N46" s="20"/>
    </row>
    <row r="47" spans="1:14" ht="15.75" hidden="1" customHeight="1">
      <c r="A47" s="26">
        <v>12</v>
      </c>
      <c r="B47" s="32" t="s">
        <v>33</v>
      </c>
      <c r="C47" s="39" t="s">
        <v>89</v>
      </c>
      <c r="D47" s="32" t="s">
        <v>39</v>
      </c>
      <c r="E47" s="106">
        <v>2631</v>
      </c>
      <c r="F47" s="31">
        <f>SUM(E47*2/1000)</f>
        <v>5.2619999999999996</v>
      </c>
      <c r="G47" s="34">
        <v>1803.69</v>
      </c>
      <c r="H47" s="107">
        <f t="shared" si="10"/>
        <v>9.4910167800000007</v>
      </c>
      <c r="I47" s="12">
        <f t="shared" si="11"/>
        <v>4745.50839</v>
      </c>
      <c r="J47" s="22"/>
      <c r="L47" s="18"/>
      <c r="M47" s="19"/>
      <c r="N47" s="20"/>
    </row>
    <row r="48" spans="1:14" ht="15.75" hidden="1" customHeight="1">
      <c r="A48" s="26">
        <v>13</v>
      </c>
      <c r="B48" s="32" t="s">
        <v>34</v>
      </c>
      <c r="C48" s="39" t="s">
        <v>89</v>
      </c>
      <c r="D48" s="32" t="s">
        <v>39</v>
      </c>
      <c r="E48" s="106">
        <v>1953.8</v>
      </c>
      <c r="F48" s="31">
        <f>SUM(E48*2/1000)</f>
        <v>3.9076</v>
      </c>
      <c r="G48" s="34">
        <v>1243.43</v>
      </c>
      <c r="H48" s="107">
        <f t="shared" si="10"/>
        <v>4.8588270680000001</v>
      </c>
      <c r="I48" s="12">
        <f t="shared" si="11"/>
        <v>2429.4135340000003</v>
      </c>
      <c r="J48" s="22"/>
      <c r="L48" s="18"/>
      <c r="M48" s="19"/>
      <c r="N48" s="20"/>
    </row>
    <row r="49" spans="1:14" ht="15.75" hidden="1" customHeight="1">
      <c r="A49" s="26">
        <v>14</v>
      </c>
      <c r="B49" s="32" t="s">
        <v>31</v>
      </c>
      <c r="C49" s="39" t="s">
        <v>32</v>
      </c>
      <c r="D49" s="32" t="s">
        <v>39</v>
      </c>
      <c r="E49" s="106">
        <v>91.84</v>
      </c>
      <c r="F49" s="31">
        <f>SUM(E49*2/100)</f>
        <v>1.8368</v>
      </c>
      <c r="G49" s="108">
        <v>1172.4100000000001</v>
      </c>
      <c r="H49" s="107">
        <f t="shared" si="10"/>
        <v>2.153482688</v>
      </c>
      <c r="I49" s="12">
        <f>F49/2*G49</f>
        <v>1076.741344</v>
      </c>
      <c r="J49" s="22"/>
      <c r="L49" s="18"/>
      <c r="M49" s="19"/>
      <c r="N49" s="20"/>
    </row>
    <row r="50" spans="1:14" ht="15.75" hidden="1" customHeight="1">
      <c r="A50" s="26">
        <v>15</v>
      </c>
      <c r="B50" s="32" t="s">
        <v>53</v>
      </c>
      <c r="C50" s="39" t="s">
        <v>89</v>
      </c>
      <c r="D50" s="32" t="s">
        <v>136</v>
      </c>
      <c r="E50" s="106">
        <v>3181</v>
      </c>
      <c r="F50" s="31">
        <f>SUM(E50*5/1000)</f>
        <v>15.904999999999999</v>
      </c>
      <c r="G50" s="34">
        <v>1083.69</v>
      </c>
      <c r="H50" s="107">
        <f t="shared" si="10"/>
        <v>17.236089449999998</v>
      </c>
      <c r="I50" s="12">
        <f>F50/5*G50</f>
        <v>3447.2178900000004</v>
      </c>
      <c r="J50" s="22"/>
      <c r="L50" s="18"/>
      <c r="M50" s="19"/>
      <c r="N50" s="20"/>
    </row>
    <row r="51" spans="1:14" ht="31.5" hidden="1" customHeight="1">
      <c r="A51" s="26">
        <v>16</v>
      </c>
      <c r="B51" s="32" t="s">
        <v>107</v>
      </c>
      <c r="C51" s="39" t="s">
        <v>89</v>
      </c>
      <c r="D51" s="32" t="s">
        <v>39</v>
      </c>
      <c r="E51" s="106">
        <v>3181</v>
      </c>
      <c r="F51" s="31">
        <f>SUM(E51*2/1000)</f>
        <v>6.3620000000000001</v>
      </c>
      <c r="G51" s="34">
        <v>1591.6</v>
      </c>
      <c r="H51" s="107">
        <f t="shared" si="10"/>
        <v>10.125759200000001</v>
      </c>
      <c r="I51" s="12">
        <f>F51/2*G51</f>
        <v>5062.8796000000002</v>
      </c>
      <c r="J51" s="22"/>
      <c r="L51" s="18"/>
      <c r="M51" s="19"/>
      <c r="N51" s="20"/>
    </row>
    <row r="52" spans="1:14" ht="31.5" hidden="1" customHeight="1">
      <c r="A52" s="26">
        <v>17</v>
      </c>
      <c r="B52" s="32" t="s">
        <v>108</v>
      </c>
      <c r="C52" s="39" t="s">
        <v>35</v>
      </c>
      <c r="D52" s="32" t="s">
        <v>39</v>
      </c>
      <c r="E52" s="106">
        <v>20</v>
      </c>
      <c r="F52" s="31">
        <f>SUM(E52*2/100)</f>
        <v>0.4</v>
      </c>
      <c r="G52" s="34">
        <v>4058.32</v>
      </c>
      <c r="H52" s="107">
        <f t="shared" si="10"/>
        <v>1.6233280000000001</v>
      </c>
      <c r="I52" s="12">
        <f t="shared" ref="I52:I53" si="12">F52/2*G52</f>
        <v>811.6640000000001</v>
      </c>
      <c r="J52" s="22"/>
      <c r="L52" s="18"/>
      <c r="M52" s="19"/>
      <c r="N52" s="20"/>
    </row>
    <row r="53" spans="1:14" ht="15.75" hidden="1" customHeight="1">
      <c r="A53" s="26">
        <v>18</v>
      </c>
      <c r="B53" s="32" t="s">
        <v>36</v>
      </c>
      <c r="C53" s="39" t="s">
        <v>37</v>
      </c>
      <c r="D53" s="32" t="s">
        <v>39</v>
      </c>
      <c r="E53" s="106">
        <v>1</v>
      </c>
      <c r="F53" s="31">
        <v>0.02</v>
      </c>
      <c r="G53" s="34">
        <v>7412.92</v>
      </c>
      <c r="H53" s="107">
        <f t="shared" si="10"/>
        <v>0.14825839999999998</v>
      </c>
      <c r="I53" s="12">
        <f t="shared" si="12"/>
        <v>74.129199999999997</v>
      </c>
      <c r="J53" s="22"/>
      <c r="L53" s="18"/>
      <c r="M53" s="19"/>
      <c r="N53" s="20"/>
    </row>
    <row r="54" spans="1:14" ht="15.75" customHeight="1">
      <c r="A54" s="26">
        <v>9</v>
      </c>
      <c r="B54" s="32" t="s">
        <v>109</v>
      </c>
      <c r="C54" s="39" t="s">
        <v>90</v>
      </c>
      <c r="D54" s="150">
        <v>44510</v>
      </c>
      <c r="E54" s="106">
        <v>70</v>
      </c>
      <c r="F54" s="31">
        <f>E54*3</f>
        <v>210</v>
      </c>
      <c r="G54" s="137">
        <v>290.39999999999998</v>
      </c>
      <c r="H54" s="107">
        <f t="shared" si="10"/>
        <v>60.983999999999995</v>
      </c>
      <c r="I54" s="12">
        <f>E54*G54</f>
        <v>20328</v>
      </c>
      <c r="J54" s="22"/>
      <c r="L54" s="18"/>
      <c r="M54" s="19"/>
      <c r="N54" s="20"/>
    </row>
    <row r="55" spans="1:14" ht="15.75" customHeight="1">
      <c r="A55" s="26">
        <v>10</v>
      </c>
      <c r="B55" s="32" t="s">
        <v>38</v>
      </c>
      <c r="C55" s="39" t="s">
        <v>90</v>
      </c>
      <c r="D55" s="150">
        <v>44510</v>
      </c>
      <c r="E55" s="106">
        <v>140</v>
      </c>
      <c r="F55" s="31">
        <f>E55*3</f>
        <v>420</v>
      </c>
      <c r="G55" s="172">
        <v>90</v>
      </c>
      <c r="H55" s="107">
        <f t="shared" si="10"/>
        <v>37.799999999999997</v>
      </c>
      <c r="I55" s="12">
        <f>E55*G55</f>
        <v>12600</v>
      </c>
      <c r="J55" s="22"/>
      <c r="L55" s="18"/>
      <c r="M55" s="19"/>
      <c r="N55" s="20"/>
    </row>
    <row r="56" spans="1:14" ht="15.75" customHeight="1">
      <c r="A56" s="195" t="s">
        <v>117</v>
      </c>
      <c r="B56" s="198"/>
      <c r="C56" s="198"/>
      <c r="D56" s="198"/>
      <c r="E56" s="198"/>
      <c r="F56" s="198"/>
      <c r="G56" s="198"/>
      <c r="H56" s="198"/>
      <c r="I56" s="199"/>
      <c r="J56" s="22"/>
      <c r="L56" s="18"/>
      <c r="M56" s="19"/>
      <c r="N56" s="20"/>
    </row>
    <row r="57" spans="1:14" ht="15.75" hidden="1" customHeight="1">
      <c r="A57" s="26"/>
      <c r="B57" s="80" t="s">
        <v>40</v>
      </c>
      <c r="C57" s="59"/>
      <c r="D57" s="51"/>
      <c r="E57" s="60"/>
      <c r="F57" s="61"/>
      <c r="G57" s="61"/>
      <c r="H57" s="62"/>
      <c r="I57" s="12"/>
      <c r="J57" s="22"/>
      <c r="L57" s="18"/>
      <c r="M57" s="19"/>
      <c r="N57" s="20"/>
    </row>
    <row r="58" spans="1:14" ht="31.5" hidden="1" customHeight="1">
      <c r="A58" s="26">
        <v>12</v>
      </c>
      <c r="B58" s="51" t="s">
        <v>110</v>
      </c>
      <c r="C58" s="59" t="s">
        <v>79</v>
      </c>
      <c r="D58" s="51" t="s">
        <v>111</v>
      </c>
      <c r="E58" s="60">
        <v>111.2</v>
      </c>
      <c r="F58" s="61">
        <f>SUM(E58*6/100)</f>
        <v>6.6720000000000006</v>
      </c>
      <c r="G58" s="12">
        <v>2431.1799999999998</v>
      </c>
      <c r="H58" s="62">
        <f>SUM(F58*G58/1000)</f>
        <v>16.220832959999999</v>
      </c>
      <c r="I58" s="12">
        <f>F58/6*G58</f>
        <v>2703.4721600000003</v>
      </c>
      <c r="J58" s="22"/>
      <c r="L58" s="18"/>
      <c r="M58" s="19"/>
      <c r="N58" s="20"/>
    </row>
    <row r="59" spans="1:14" ht="15.75" hidden="1" customHeight="1">
      <c r="A59" s="26"/>
      <c r="B59" s="70" t="s">
        <v>113</v>
      </c>
      <c r="C59" s="69" t="s">
        <v>114</v>
      </c>
      <c r="D59" s="13" t="s">
        <v>60</v>
      </c>
      <c r="E59" s="71"/>
      <c r="F59" s="72">
        <v>3</v>
      </c>
      <c r="G59" s="12">
        <v>1582.05</v>
      </c>
      <c r="H59" s="62">
        <f>SUM(F59*G59/1000)</f>
        <v>4.7461499999999992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1" t="s">
        <v>41</v>
      </c>
      <c r="C60" s="69"/>
      <c r="D60" s="70"/>
      <c r="E60" s="71"/>
      <c r="F60" s="72"/>
      <c r="G60" s="12"/>
      <c r="H60" s="73"/>
      <c r="I60" s="12"/>
      <c r="J60" s="22"/>
      <c r="L60" s="18"/>
      <c r="M60" s="19"/>
      <c r="N60" s="20"/>
    </row>
    <row r="61" spans="1:14" ht="15.75" hidden="1" customHeight="1">
      <c r="A61" s="26"/>
      <c r="B61" s="70" t="s">
        <v>42</v>
      </c>
      <c r="C61" s="69" t="s">
        <v>50</v>
      </c>
      <c r="D61" s="70" t="s">
        <v>51</v>
      </c>
      <c r="E61" s="71">
        <v>222.85</v>
      </c>
      <c r="F61" s="72">
        <v>8.9</v>
      </c>
      <c r="G61" s="12">
        <v>1040.8399999999999</v>
      </c>
      <c r="H61" s="73">
        <f>F61*G61/1000</f>
        <v>9.2634759999999989</v>
      </c>
      <c r="I61" s="12">
        <v>0</v>
      </c>
      <c r="J61" s="22"/>
      <c r="L61" s="18"/>
      <c r="M61" s="19"/>
      <c r="N61" s="20"/>
    </row>
    <row r="62" spans="1:14" ht="15.75" customHeight="1">
      <c r="A62" s="26">
        <v>11</v>
      </c>
      <c r="B62" s="53" t="s">
        <v>151</v>
      </c>
      <c r="C62" s="155" t="s">
        <v>152</v>
      </c>
      <c r="D62" s="53" t="s">
        <v>166</v>
      </c>
      <c r="E62" s="156">
        <v>48</v>
      </c>
      <c r="F62" s="157">
        <f>E62*12/1</f>
        <v>576</v>
      </c>
      <c r="G62" s="158">
        <v>1.4</v>
      </c>
      <c r="H62" s="73"/>
      <c r="I62" s="12">
        <f>G62*F62/12</f>
        <v>67.2</v>
      </c>
      <c r="J62" s="22"/>
      <c r="L62" s="18"/>
      <c r="M62" s="19"/>
      <c r="N62" s="20"/>
    </row>
    <row r="63" spans="1:14" ht="15.75" hidden="1" customHeight="1">
      <c r="A63" s="26"/>
      <c r="B63" s="81" t="s">
        <v>43</v>
      </c>
      <c r="C63" s="69"/>
      <c r="D63" s="70"/>
      <c r="E63" s="71"/>
      <c r="F63" s="74"/>
      <c r="G63" s="74"/>
      <c r="H63" s="72" t="s">
        <v>98</v>
      </c>
      <c r="I63" s="12"/>
      <c r="J63" s="22"/>
      <c r="L63" s="18"/>
      <c r="M63" s="19"/>
      <c r="N63" s="20"/>
    </row>
    <row r="64" spans="1:14" ht="15.75" hidden="1" customHeight="1">
      <c r="A64" s="26">
        <v>11</v>
      </c>
      <c r="B64" s="13" t="s">
        <v>44</v>
      </c>
      <c r="C64" s="15" t="s">
        <v>90</v>
      </c>
      <c r="D64" s="13" t="s">
        <v>161</v>
      </c>
      <c r="E64" s="17">
        <v>4</v>
      </c>
      <c r="F64" s="61">
        <f>E64</f>
        <v>4</v>
      </c>
      <c r="G64" s="34">
        <v>331.57</v>
      </c>
      <c r="H64" s="75">
        <f t="shared" ref="H64:H71" si="13">SUM(F64*G64/1000)</f>
        <v>1.3262799999999999</v>
      </c>
      <c r="I64" s="12">
        <f>G64*2</f>
        <v>663.14</v>
      </c>
      <c r="J64" s="22"/>
      <c r="L64" s="18"/>
      <c r="M64" s="19"/>
      <c r="N64" s="20"/>
    </row>
    <row r="65" spans="1:14" ht="15.75" hidden="1" customHeight="1">
      <c r="A65" s="26">
        <v>17</v>
      </c>
      <c r="B65" s="13" t="s">
        <v>45</v>
      </c>
      <c r="C65" s="15" t="s">
        <v>90</v>
      </c>
      <c r="D65" s="13" t="s">
        <v>60</v>
      </c>
      <c r="E65" s="17">
        <v>4</v>
      </c>
      <c r="F65" s="61">
        <f>E65</f>
        <v>4</v>
      </c>
      <c r="G65" s="12">
        <v>100.01</v>
      </c>
      <c r="H65" s="75">
        <f t="shared" si="13"/>
        <v>0.40004000000000001</v>
      </c>
      <c r="I65" s="12">
        <f t="shared" ref="I65:I70" si="14">G65*2</f>
        <v>200.02</v>
      </c>
      <c r="J65" s="22"/>
      <c r="L65" s="18"/>
      <c r="M65" s="19"/>
      <c r="N65" s="20"/>
    </row>
    <row r="66" spans="1:14" ht="15.75" hidden="1" customHeight="1">
      <c r="A66" s="26">
        <v>24</v>
      </c>
      <c r="B66" s="13" t="s">
        <v>46</v>
      </c>
      <c r="C66" s="15" t="s">
        <v>91</v>
      </c>
      <c r="D66" s="13" t="s">
        <v>51</v>
      </c>
      <c r="E66" s="60">
        <v>12702</v>
      </c>
      <c r="F66" s="12">
        <f>SUM(E66/100)</f>
        <v>127.02</v>
      </c>
      <c r="G66" s="12">
        <v>278.24</v>
      </c>
      <c r="H66" s="75">
        <f t="shared" si="13"/>
        <v>35.342044800000004</v>
      </c>
      <c r="I66" s="12">
        <f t="shared" si="14"/>
        <v>556.48</v>
      </c>
      <c r="J66" s="22"/>
      <c r="L66" s="18"/>
      <c r="M66" s="19"/>
      <c r="N66" s="20"/>
    </row>
    <row r="67" spans="1:14" ht="15.75" hidden="1" customHeight="1">
      <c r="A67" s="26">
        <v>25</v>
      </c>
      <c r="B67" s="13" t="s">
        <v>47</v>
      </c>
      <c r="C67" s="15" t="s">
        <v>92</v>
      </c>
      <c r="D67" s="13"/>
      <c r="E67" s="60">
        <v>12702</v>
      </c>
      <c r="F67" s="12">
        <f>SUM(E67/1000)</f>
        <v>12.702</v>
      </c>
      <c r="G67" s="12">
        <v>216.68</v>
      </c>
      <c r="H67" s="75">
        <f t="shared" si="13"/>
        <v>2.7522693600000001</v>
      </c>
      <c r="I67" s="12">
        <f t="shared" si="14"/>
        <v>433.36</v>
      </c>
      <c r="J67" s="22"/>
      <c r="L67" s="18"/>
      <c r="M67" s="19"/>
      <c r="N67" s="20"/>
    </row>
    <row r="68" spans="1:14" ht="15.75" hidden="1" customHeight="1">
      <c r="A68" s="26">
        <v>26</v>
      </c>
      <c r="B68" s="13" t="s">
        <v>48</v>
      </c>
      <c r="C68" s="15" t="s">
        <v>69</v>
      </c>
      <c r="D68" s="13" t="s">
        <v>51</v>
      </c>
      <c r="E68" s="60">
        <v>2200</v>
      </c>
      <c r="F68" s="12">
        <f>SUM(E68/100)</f>
        <v>22</v>
      </c>
      <c r="G68" s="12">
        <v>2720.94</v>
      </c>
      <c r="H68" s="75">
        <f t="shared" si="13"/>
        <v>59.860680000000002</v>
      </c>
      <c r="I68" s="12">
        <f t="shared" si="14"/>
        <v>5441.88</v>
      </c>
      <c r="J68" s="22"/>
      <c r="L68" s="18"/>
      <c r="M68" s="19"/>
      <c r="N68" s="20"/>
    </row>
    <row r="69" spans="1:14" ht="15.75" hidden="1" customHeight="1">
      <c r="A69" s="26">
        <v>27</v>
      </c>
      <c r="B69" s="76" t="s">
        <v>93</v>
      </c>
      <c r="C69" s="15" t="s">
        <v>30</v>
      </c>
      <c r="D69" s="13"/>
      <c r="E69" s="60">
        <v>9.6</v>
      </c>
      <c r="F69" s="12">
        <f>SUM(E69)</f>
        <v>9.6</v>
      </c>
      <c r="G69" s="12">
        <v>42.61</v>
      </c>
      <c r="H69" s="75">
        <f t="shared" si="13"/>
        <v>0.40905599999999998</v>
      </c>
      <c r="I69" s="12">
        <f t="shared" si="14"/>
        <v>85.22</v>
      </c>
      <c r="J69" s="22"/>
      <c r="L69" s="18"/>
      <c r="M69" s="19"/>
      <c r="N69" s="20"/>
    </row>
    <row r="70" spans="1:14" ht="15.75" hidden="1" customHeight="1">
      <c r="A70" s="26">
        <v>28</v>
      </c>
      <c r="B70" s="76" t="s">
        <v>94</v>
      </c>
      <c r="C70" s="15" t="s">
        <v>30</v>
      </c>
      <c r="D70" s="13"/>
      <c r="E70" s="60">
        <v>9.6</v>
      </c>
      <c r="F70" s="12">
        <f>SUM(E70)</f>
        <v>9.6</v>
      </c>
      <c r="G70" s="12">
        <v>46.04</v>
      </c>
      <c r="H70" s="75">
        <f t="shared" si="13"/>
        <v>0.44198399999999999</v>
      </c>
      <c r="I70" s="12">
        <f t="shared" si="14"/>
        <v>92.08</v>
      </c>
      <c r="J70" s="22"/>
      <c r="L70" s="18"/>
      <c r="M70" s="19"/>
      <c r="N70" s="20"/>
    </row>
    <row r="71" spans="1:14" ht="15.75" hidden="1" customHeight="1">
      <c r="A71" s="26">
        <v>22</v>
      </c>
      <c r="B71" s="13" t="s">
        <v>54</v>
      </c>
      <c r="C71" s="15" t="s">
        <v>55</v>
      </c>
      <c r="D71" s="13" t="s">
        <v>51</v>
      </c>
      <c r="E71" s="17">
        <v>4</v>
      </c>
      <c r="F71" s="12">
        <f>SUM(E71)</f>
        <v>4</v>
      </c>
      <c r="G71" s="12">
        <v>65.42</v>
      </c>
      <c r="H71" s="75">
        <f t="shared" si="13"/>
        <v>0.26168000000000002</v>
      </c>
      <c r="I71" s="12">
        <f>G71*4</f>
        <v>261.68</v>
      </c>
      <c r="J71" s="22"/>
      <c r="L71" s="18"/>
      <c r="M71" s="19"/>
      <c r="N71" s="20"/>
    </row>
    <row r="72" spans="1:14" ht="15.75" customHeight="1">
      <c r="A72" s="26"/>
      <c r="B72" s="170" t="s">
        <v>177</v>
      </c>
      <c r="C72" s="15"/>
      <c r="D72" s="13"/>
      <c r="E72" s="17"/>
      <c r="F72" s="56"/>
      <c r="G72" s="12"/>
      <c r="H72" s="75"/>
      <c r="I72" s="12"/>
      <c r="J72" s="22"/>
      <c r="L72" s="18"/>
      <c r="M72" s="19"/>
      <c r="N72" s="20"/>
    </row>
    <row r="73" spans="1:14" ht="33.75" customHeight="1">
      <c r="A73" s="26">
        <v>12</v>
      </c>
      <c r="B73" s="36" t="s">
        <v>141</v>
      </c>
      <c r="C73" s="135" t="s">
        <v>142</v>
      </c>
      <c r="D73" s="36"/>
      <c r="E73" s="16">
        <v>3181</v>
      </c>
      <c r="F73" s="31">
        <f>SUM(E73)*12</f>
        <v>38172</v>
      </c>
      <c r="G73" s="34">
        <v>2.6</v>
      </c>
      <c r="H73" s="75">
        <f t="shared" ref="H73" si="15">SUM(F73*G73/1000)</f>
        <v>99.247199999999992</v>
      </c>
      <c r="I73" s="12">
        <f>F73/12*G73</f>
        <v>8270.6</v>
      </c>
      <c r="J73" s="22"/>
      <c r="L73" s="18"/>
      <c r="M73" s="19"/>
      <c r="N73" s="20"/>
    </row>
    <row r="74" spans="1:14" ht="16.5" customHeight="1">
      <c r="A74" s="26"/>
      <c r="B74" s="55" t="s">
        <v>64</v>
      </c>
      <c r="C74" s="15"/>
      <c r="D74" s="13"/>
      <c r="E74" s="17"/>
      <c r="F74" s="12"/>
      <c r="G74" s="12"/>
      <c r="H74" s="75" t="s">
        <v>98</v>
      </c>
      <c r="I74" s="12"/>
      <c r="J74" s="22"/>
      <c r="L74" s="18"/>
      <c r="M74" s="19"/>
      <c r="N74" s="20"/>
    </row>
    <row r="75" spans="1:14" ht="24" hidden="1" customHeight="1">
      <c r="A75" s="26">
        <v>18</v>
      </c>
      <c r="B75" s="13" t="s">
        <v>143</v>
      </c>
      <c r="C75" s="15" t="s">
        <v>28</v>
      </c>
      <c r="D75" s="13" t="s">
        <v>60</v>
      </c>
      <c r="E75" s="17">
        <v>1</v>
      </c>
      <c r="F75" s="61">
        <f t="shared" ref="F75" si="16">E75</f>
        <v>1</v>
      </c>
      <c r="G75" s="12">
        <v>1543.4</v>
      </c>
      <c r="H75" s="75">
        <f>G75*F75/1000</f>
        <v>1.5434000000000001</v>
      </c>
      <c r="I75" s="12">
        <v>0</v>
      </c>
      <c r="J75" s="22"/>
      <c r="L75" s="18"/>
      <c r="M75" s="19"/>
      <c r="N75" s="20"/>
    </row>
    <row r="76" spans="1:14" ht="25.5" hidden="1" customHeight="1">
      <c r="A76" s="26"/>
      <c r="B76" s="50" t="s">
        <v>144</v>
      </c>
      <c r="C76" s="54" t="s">
        <v>90</v>
      </c>
      <c r="D76" s="13" t="s">
        <v>60</v>
      </c>
      <c r="E76" s="17">
        <v>1</v>
      </c>
      <c r="F76" s="61">
        <f>E76</f>
        <v>1</v>
      </c>
      <c r="G76" s="12">
        <v>130.96</v>
      </c>
      <c r="H76" s="75">
        <f>G76*F76/1000</f>
        <v>0.13096000000000002</v>
      </c>
      <c r="I76" s="12">
        <v>0</v>
      </c>
      <c r="J76" s="22"/>
      <c r="L76" s="18"/>
      <c r="M76" s="19"/>
      <c r="N76" s="20"/>
    </row>
    <row r="77" spans="1:14" ht="23.25" hidden="1" customHeight="1">
      <c r="A77" s="26">
        <v>11</v>
      </c>
      <c r="B77" s="13" t="s">
        <v>65</v>
      </c>
      <c r="C77" s="15" t="s">
        <v>67</v>
      </c>
      <c r="D77" s="13" t="s">
        <v>191</v>
      </c>
      <c r="E77" s="17">
        <v>3</v>
      </c>
      <c r="F77" s="61">
        <f>E77/10</f>
        <v>0.3</v>
      </c>
      <c r="G77" s="137">
        <v>747.85</v>
      </c>
      <c r="H77" s="75">
        <f t="shared" ref="H77:H79" si="17">SUM(F77*G77/1000)</f>
        <v>0.224355</v>
      </c>
      <c r="I77" s="12">
        <f>G77*0.1</f>
        <v>74.785000000000011</v>
      </c>
      <c r="J77" s="22"/>
      <c r="L77" s="18"/>
      <c r="M77" s="19"/>
      <c r="N77" s="20"/>
    </row>
    <row r="78" spans="1:14" ht="23.25" hidden="1" customHeight="1">
      <c r="A78" s="26"/>
      <c r="B78" s="13" t="s">
        <v>66</v>
      </c>
      <c r="C78" s="15" t="s">
        <v>28</v>
      </c>
      <c r="D78" s="13" t="s">
        <v>60</v>
      </c>
      <c r="E78" s="17">
        <v>1</v>
      </c>
      <c r="F78" s="61">
        <f>E78</f>
        <v>1</v>
      </c>
      <c r="G78" s="12">
        <v>1118.72</v>
      </c>
      <c r="H78" s="75">
        <f t="shared" si="17"/>
        <v>1.1187199999999999</v>
      </c>
      <c r="I78" s="12">
        <v>0</v>
      </c>
      <c r="J78" s="22"/>
      <c r="L78" s="18"/>
      <c r="M78" s="19"/>
      <c r="N78" s="20"/>
    </row>
    <row r="79" spans="1:14" ht="21.75" hidden="1" customHeight="1">
      <c r="A79" s="26"/>
      <c r="B79" s="50" t="s">
        <v>145</v>
      </c>
      <c r="C79" s="54" t="s">
        <v>90</v>
      </c>
      <c r="D79" s="13" t="s">
        <v>60</v>
      </c>
      <c r="E79" s="17">
        <v>1</v>
      </c>
      <c r="F79" s="61">
        <f>E79</f>
        <v>1</v>
      </c>
      <c r="G79" s="12">
        <v>1605.83</v>
      </c>
      <c r="H79" s="75">
        <f t="shared" si="17"/>
        <v>1.6058299999999999</v>
      </c>
      <c r="I79" s="12">
        <v>0</v>
      </c>
      <c r="J79" s="22"/>
      <c r="L79" s="18"/>
      <c r="M79" s="19"/>
      <c r="N79" s="20"/>
    </row>
    <row r="80" spans="1:14" ht="32.25" customHeight="1">
      <c r="A80" s="26">
        <v>13</v>
      </c>
      <c r="B80" s="121" t="s">
        <v>146</v>
      </c>
      <c r="C80" s="122" t="s">
        <v>90</v>
      </c>
      <c r="D80" s="36" t="s">
        <v>166</v>
      </c>
      <c r="E80" s="16">
        <v>2</v>
      </c>
      <c r="F80" s="31">
        <f>E80*12</f>
        <v>24</v>
      </c>
      <c r="G80" s="34">
        <v>425</v>
      </c>
      <c r="H80" s="75">
        <f t="shared" ref="H80" si="18">SUM(F80*G80/1000)</f>
        <v>10.199999999999999</v>
      </c>
      <c r="I80" s="12">
        <f>G80*2</f>
        <v>850</v>
      </c>
      <c r="J80" s="22"/>
      <c r="L80" s="18"/>
      <c r="M80" s="19"/>
      <c r="N80" s="20"/>
    </row>
    <row r="81" spans="1:14" ht="18" hidden="1" customHeight="1">
      <c r="A81" s="26"/>
      <c r="B81" s="77" t="s">
        <v>68</v>
      </c>
      <c r="C81" s="15"/>
      <c r="D81" s="13"/>
      <c r="E81" s="17"/>
      <c r="F81" s="12"/>
      <c r="G81" s="12" t="s">
        <v>98</v>
      </c>
      <c r="H81" s="75" t="s">
        <v>98</v>
      </c>
      <c r="I81" s="12"/>
      <c r="J81" s="22"/>
      <c r="L81" s="18"/>
      <c r="M81" s="19"/>
      <c r="N81" s="20"/>
    </row>
    <row r="82" spans="1:14" ht="20.25" hidden="1" customHeight="1">
      <c r="A82" s="26"/>
      <c r="B82" s="45" t="s">
        <v>97</v>
      </c>
      <c r="C82" s="15" t="s">
        <v>69</v>
      </c>
      <c r="D82" s="13"/>
      <c r="E82" s="17"/>
      <c r="F82" s="12">
        <v>1</v>
      </c>
      <c r="G82" s="12">
        <v>3370.89</v>
      </c>
      <c r="H82" s="75">
        <f t="shared" ref="H82" si="19">SUM(F82*G82/1000)</f>
        <v>3.3708899999999997</v>
      </c>
      <c r="I82" s="12">
        <v>0</v>
      </c>
      <c r="J82" s="22"/>
      <c r="L82" s="18"/>
      <c r="M82" s="19"/>
      <c r="N82" s="20"/>
    </row>
    <row r="83" spans="1:14" ht="21" hidden="1" customHeight="1">
      <c r="A83" s="26"/>
      <c r="B83" s="55" t="s">
        <v>95</v>
      </c>
      <c r="C83" s="77"/>
      <c r="D83" s="27"/>
      <c r="E83" s="30"/>
      <c r="F83" s="66"/>
      <c r="G83" s="66"/>
      <c r="H83" s="78">
        <f>SUM(H58:H82)</f>
        <v>248.46584811999998</v>
      </c>
      <c r="I83" s="66"/>
      <c r="J83" s="22"/>
      <c r="L83" s="18"/>
      <c r="M83" s="19"/>
      <c r="N83" s="20"/>
    </row>
    <row r="84" spans="1:14" ht="18.75" hidden="1" customHeight="1">
      <c r="A84" s="104">
        <v>15</v>
      </c>
      <c r="B84" s="53" t="s">
        <v>96</v>
      </c>
      <c r="C84" s="109"/>
      <c r="D84" s="110"/>
      <c r="E84" s="110"/>
      <c r="F84" s="111">
        <v>1</v>
      </c>
      <c r="G84" s="111">
        <v>23195</v>
      </c>
      <c r="H84" s="112">
        <f>G84*F84/1000</f>
        <v>23.195</v>
      </c>
      <c r="I84" s="79">
        <f>G84</f>
        <v>23195</v>
      </c>
      <c r="J84" s="22"/>
      <c r="L84" s="18"/>
      <c r="M84" s="19"/>
      <c r="N84" s="20"/>
    </row>
    <row r="85" spans="1:14" ht="17.25" hidden="1" customHeight="1">
      <c r="A85" s="49"/>
      <c r="B85" s="113" t="s">
        <v>147</v>
      </c>
      <c r="C85" s="15"/>
      <c r="D85" s="13"/>
      <c r="E85" s="13"/>
      <c r="F85" s="12">
        <v>69</v>
      </c>
      <c r="G85" s="12">
        <v>700</v>
      </c>
      <c r="H85" s="75">
        <f>G85*F85/1000</f>
        <v>48.3</v>
      </c>
      <c r="I85" s="114">
        <v>0</v>
      </c>
      <c r="J85" s="22"/>
      <c r="L85" s="18"/>
      <c r="M85" s="19"/>
      <c r="N85" s="20"/>
    </row>
    <row r="86" spans="1:14" ht="15.75" customHeight="1">
      <c r="A86" s="192" t="s">
        <v>118</v>
      </c>
      <c r="B86" s="200"/>
      <c r="C86" s="200"/>
      <c r="D86" s="200"/>
      <c r="E86" s="200"/>
      <c r="F86" s="200"/>
      <c r="G86" s="200"/>
      <c r="H86" s="200"/>
      <c r="I86" s="201"/>
      <c r="J86" s="22"/>
      <c r="L86" s="18"/>
      <c r="M86" s="19"/>
      <c r="N86" s="20"/>
    </row>
    <row r="87" spans="1:14" ht="15.75" customHeight="1">
      <c r="A87" s="99">
        <v>14</v>
      </c>
      <c r="B87" s="32" t="s">
        <v>112</v>
      </c>
      <c r="C87" s="37" t="s">
        <v>52</v>
      </c>
      <c r="D87" s="162"/>
      <c r="E87" s="34">
        <v>3181</v>
      </c>
      <c r="F87" s="34">
        <f>SUM(E87*12)</f>
        <v>38172</v>
      </c>
      <c r="G87" s="34">
        <v>3.5</v>
      </c>
      <c r="H87" s="105">
        <f>SUM(F87*G87/1000)</f>
        <v>133.602</v>
      </c>
      <c r="I87" s="100">
        <f>F87/12*G87</f>
        <v>11133.5</v>
      </c>
      <c r="J87" s="22"/>
      <c r="L87" s="18"/>
      <c r="M87" s="19"/>
      <c r="N87" s="20"/>
    </row>
    <row r="88" spans="1:14" ht="31.5" customHeight="1">
      <c r="A88" s="26">
        <v>15</v>
      </c>
      <c r="B88" s="36" t="s">
        <v>181</v>
      </c>
      <c r="C88" s="37" t="s">
        <v>152</v>
      </c>
      <c r="D88" s="163"/>
      <c r="E88" s="106">
        <f>E87</f>
        <v>3181</v>
      </c>
      <c r="F88" s="34">
        <f>E88*12</f>
        <v>38172</v>
      </c>
      <c r="G88" s="34">
        <v>3.2</v>
      </c>
      <c r="H88" s="75">
        <f>F88*G88/1000</f>
        <v>122.1504</v>
      </c>
      <c r="I88" s="12">
        <f>F88/12*G88</f>
        <v>10179.200000000001</v>
      </c>
      <c r="J88" s="22"/>
      <c r="L88" s="18"/>
      <c r="M88" s="19"/>
      <c r="N88" s="20"/>
    </row>
    <row r="89" spans="1:14" ht="15.75" customHeight="1">
      <c r="A89" s="49"/>
      <c r="B89" s="38" t="s">
        <v>71</v>
      </c>
      <c r="C89" s="15"/>
      <c r="D89" s="45"/>
      <c r="E89" s="12"/>
      <c r="F89" s="12"/>
      <c r="G89" s="12"/>
      <c r="H89" s="75">
        <f>H88</f>
        <v>122.1504</v>
      </c>
      <c r="I89" s="66">
        <f>I88+I87+I80+I73+I62+I55+I54+I44+I41+I40+I38+I37+I18+I17+I16</f>
        <v>83807.865216666672</v>
      </c>
      <c r="J89" s="22"/>
      <c r="L89" s="18"/>
      <c r="M89" s="19"/>
      <c r="N89" s="20"/>
    </row>
    <row r="90" spans="1:14" ht="15.75" customHeight="1">
      <c r="A90" s="202" t="s">
        <v>56</v>
      </c>
      <c r="B90" s="203"/>
      <c r="C90" s="203"/>
      <c r="D90" s="203"/>
      <c r="E90" s="203"/>
      <c r="F90" s="203"/>
      <c r="G90" s="203"/>
      <c r="H90" s="203"/>
      <c r="I90" s="204"/>
      <c r="J90" s="22"/>
      <c r="L90" s="18"/>
      <c r="M90" s="19"/>
      <c r="N90" s="20"/>
    </row>
    <row r="91" spans="1:14" ht="15.75" customHeight="1">
      <c r="A91" s="26">
        <v>16</v>
      </c>
      <c r="B91" s="121" t="s">
        <v>308</v>
      </c>
      <c r="C91" s="122" t="s">
        <v>309</v>
      </c>
      <c r="D91" s="163" t="s">
        <v>312</v>
      </c>
      <c r="E91" s="34"/>
      <c r="F91" s="34">
        <v>1</v>
      </c>
      <c r="G91" s="34">
        <v>231.54</v>
      </c>
      <c r="H91" s="72"/>
      <c r="I91" s="12">
        <f>G91*1</f>
        <v>231.54</v>
      </c>
      <c r="J91" s="22"/>
      <c r="L91" s="18"/>
      <c r="M91" s="19"/>
      <c r="N91" s="20"/>
    </row>
    <row r="92" spans="1:14" ht="32.25" customHeight="1">
      <c r="A92" s="26">
        <v>17</v>
      </c>
      <c r="B92" s="173" t="s">
        <v>199</v>
      </c>
      <c r="C92" s="26" t="s">
        <v>156</v>
      </c>
      <c r="D92" s="163" t="s">
        <v>313</v>
      </c>
      <c r="E92" s="34"/>
      <c r="F92" s="34">
        <v>6.8</v>
      </c>
      <c r="G92" s="34">
        <v>1478.55</v>
      </c>
      <c r="H92" s="75"/>
      <c r="I92" s="79">
        <f>G92*6</f>
        <v>8871.2999999999993</v>
      </c>
      <c r="J92" s="22"/>
      <c r="L92" s="18"/>
      <c r="M92" s="19"/>
      <c r="N92" s="20"/>
    </row>
    <row r="93" spans="1:14" ht="18" customHeight="1">
      <c r="A93" s="26">
        <v>18</v>
      </c>
      <c r="B93" s="121" t="s">
        <v>251</v>
      </c>
      <c r="C93" s="122" t="s">
        <v>27</v>
      </c>
      <c r="D93" s="163"/>
      <c r="E93" s="34"/>
      <c r="F93" s="34">
        <f>0.576+0.576</f>
        <v>1.1519999999999999</v>
      </c>
      <c r="G93" s="34">
        <v>241.69</v>
      </c>
      <c r="H93" s="105"/>
      <c r="I93" s="79">
        <f>G93*0.576</f>
        <v>139.21343999999999</v>
      </c>
      <c r="J93" s="22"/>
      <c r="L93" s="18"/>
      <c r="M93" s="19"/>
      <c r="N93" s="20"/>
    </row>
    <row r="94" spans="1:14" ht="18" customHeight="1">
      <c r="A94" s="26">
        <v>19</v>
      </c>
      <c r="B94" s="121" t="s">
        <v>183</v>
      </c>
      <c r="C94" s="122" t="s">
        <v>37</v>
      </c>
      <c r="D94" s="163" t="s">
        <v>161</v>
      </c>
      <c r="E94" s="34"/>
      <c r="F94" s="34">
        <v>0.06</v>
      </c>
      <c r="G94" s="34">
        <v>28224.75</v>
      </c>
      <c r="H94" s="105"/>
      <c r="I94" s="79">
        <v>0</v>
      </c>
      <c r="J94" s="22"/>
      <c r="L94" s="18"/>
      <c r="M94" s="19"/>
      <c r="N94" s="20"/>
    </row>
    <row r="95" spans="1:14" ht="48" customHeight="1">
      <c r="A95" s="26">
        <v>20</v>
      </c>
      <c r="B95" s="121" t="s">
        <v>310</v>
      </c>
      <c r="C95" s="122" t="s">
        <v>212</v>
      </c>
      <c r="D95" s="163" t="s">
        <v>315</v>
      </c>
      <c r="E95" s="34"/>
      <c r="F95" s="34">
        <v>0.7</v>
      </c>
      <c r="G95" s="34">
        <v>8968.52</v>
      </c>
      <c r="H95" s="105"/>
      <c r="I95" s="79">
        <f>G95*0.7</f>
        <v>6277.9639999999999</v>
      </c>
      <c r="J95" s="22"/>
      <c r="L95" s="18"/>
      <c r="M95" s="19"/>
      <c r="N95" s="20"/>
    </row>
    <row r="96" spans="1:14" ht="34.5" customHeight="1">
      <c r="A96" s="26">
        <v>21</v>
      </c>
      <c r="B96" s="121" t="s">
        <v>301</v>
      </c>
      <c r="C96" s="122" t="s">
        <v>90</v>
      </c>
      <c r="D96" s="163"/>
      <c r="E96" s="34"/>
      <c r="F96" s="34">
        <v>12</v>
      </c>
      <c r="G96" s="34">
        <v>224.48</v>
      </c>
      <c r="H96" s="105"/>
      <c r="I96" s="79">
        <f>G96*2</f>
        <v>448.96</v>
      </c>
      <c r="J96" s="22"/>
      <c r="L96" s="18"/>
      <c r="M96" s="19"/>
      <c r="N96" s="20"/>
    </row>
    <row r="97" spans="1:22" ht="21" customHeight="1">
      <c r="A97" s="26">
        <v>22</v>
      </c>
      <c r="B97" s="121" t="s">
        <v>311</v>
      </c>
      <c r="C97" s="122" t="s">
        <v>115</v>
      </c>
      <c r="D97" s="163" t="s">
        <v>314</v>
      </c>
      <c r="E97" s="34"/>
      <c r="F97" s="34">
        <v>1</v>
      </c>
      <c r="G97" s="34">
        <v>7415.91</v>
      </c>
      <c r="H97" s="105"/>
      <c r="I97" s="79">
        <f>G97*1</f>
        <v>7415.91</v>
      </c>
      <c r="J97" s="22"/>
      <c r="L97" s="18"/>
      <c r="M97" s="19"/>
      <c r="N97" s="20"/>
    </row>
    <row r="98" spans="1:22" ht="15.75" customHeight="1">
      <c r="A98" s="26"/>
      <c r="B98" s="27" t="s">
        <v>49</v>
      </c>
      <c r="C98" s="40"/>
      <c r="D98" s="46"/>
      <c r="E98" s="40">
        <v>1</v>
      </c>
      <c r="F98" s="40"/>
      <c r="G98" s="40"/>
      <c r="H98" s="40"/>
      <c r="I98" s="30">
        <f>SUM(I91:I97)</f>
        <v>23384.887439999999</v>
      </c>
      <c r="J98" s="22"/>
      <c r="L98" s="18"/>
      <c r="M98" s="19"/>
      <c r="N98" s="20"/>
    </row>
    <row r="99" spans="1:22" ht="15.75" customHeight="1">
      <c r="A99" s="26"/>
      <c r="B99" s="45" t="s">
        <v>70</v>
      </c>
      <c r="C99" s="14"/>
      <c r="D99" s="14"/>
      <c r="E99" s="41"/>
      <c r="F99" s="41"/>
      <c r="G99" s="42"/>
      <c r="H99" s="42"/>
      <c r="I99" s="16">
        <v>0</v>
      </c>
      <c r="J99" s="22"/>
      <c r="L99" s="18"/>
      <c r="M99" s="19"/>
      <c r="N99" s="20"/>
    </row>
    <row r="100" spans="1:22" ht="15.75" customHeight="1">
      <c r="A100" s="47"/>
      <c r="B100" s="44" t="s">
        <v>137</v>
      </c>
      <c r="C100" s="33"/>
      <c r="D100" s="33"/>
      <c r="E100" s="33"/>
      <c r="F100" s="33"/>
      <c r="G100" s="33"/>
      <c r="H100" s="33"/>
      <c r="I100" s="43">
        <f>I89+I98</f>
        <v>107192.75265666668</v>
      </c>
      <c r="J100" s="22"/>
      <c r="L100" s="18"/>
      <c r="M100" s="19"/>
      <c r="N100" s="20"/>
    </row>
    <row r="101" spans="1:22" ht="15.75" customHeight="1">
      <c r="A101" s="191" t="s">
        <v>316</v>
      </c>
      <c r="B101" s="191"/>
      <c r="C101" s="191"/>
      <c r="D101" s="191"/>
      <c r="E101" s="191"/>
      <c r="F101" s="191"/>
      <c r="G101" s="191"/>
      <c r="H101" s="191"/>
      <c r="I101" s="191"/>
      <c r="J101" s="22"/>
      <c r="L101" s="18"/>
      <c r="M101" s="19"/>
      <c r="N101" s="20"/>
    </row>
    <row r="102" spans="1:22" ht="15.75" customHeight="1">
      <c r="A102" s="8"/>
      <c r="B102" s="205" t="s">
        <v>317</v>
      </c>
      <c r="C102" s="205"/>
      <c r="D102" s="205"/>
      <c r="E102" s="205"/>
      <c r="F102" s="205"/>
      <c r="G102" s="205"/>
      <c r="H102" s="92"/>
      <c r="I102" s="3"/>
      <c r="J102" s="22"/>
      <c r="L102" s="18"/>
      <c r="M102" s="19"/>
      <c r="N102" s="20"/>
    </row>
    <row r="103" spans="1:22" ht="15.75" customHeight="1">
      <c r="A103" s="90"/>
      <c r="B103" s="206" t="s">
        <v>5</v>
      </c>
      <c r="C103" s="206"/>
      <c r="D103" s="206"/>
      <c r="E103" s="206"/>
      <c r="F103" s="206"/>
      <c r="G103" s="206"/>
      <c r="H103" s="23"/>
      <c r="I103" s="5"/>
      <c r="J103" s="22"/>
      <c r="K103" s="22"/>
      <c r="L103" s="22"/>
      <c r="M103" s="19"/>
      <c r="N103" s="20"/>
    </row>
    <row r="104" spans="1:22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22"/>
      <c r="K104" s="22"/>
      <c r="L104" s="22"/>
      <c r="M104" s="19"/>
      <c r="N104" s="20"/>
    </row>
    <row r="105" spans="1:22" ht="15.75" customHeight="1">
      <c r="A105" s="207" t="s">
        <v>6</v>
      </c>
      <c r="B105" s="207"/>
      <c r="C105" s="207"/>
      <c r="D105" s="207"/>
      <c r="E105" s="207"/>
      <c r="F105" s="207"/>
      <c r="G105" s="207"/>
      <c r="H105" s="207"/>
      <c r="I105" s="207"/>
      <c r="J105" s="22"/>
      <c r="K105" s="22"/>
      <c r="L105" s="22"/>
    </row>
    <row r="106" spans="1:22" ht="15.75" customHeight="1">
      <c r="A106" s="207" t="s">
        <v>7</v>
      </c>
      <c r="B106" s="207"/>
      <c r="C106" s="207"/>
      <c r="D106" s="207"/>
      <c r="E106" s="207"/>
      <c r="F106" s="207"/>
      <c r="G106" s="207"/>
      <c r="H106" s="207"/>
      <c r="I106" s="207"/>
      <c r="J106" s="22"/>
      <c r="K106" s="22"/>
      <c r="L106" s="22"/>
    </row>
    <row r="107" spans="1:22" ht="15.75" customHeight="1">
      <c r="A107" s="191" t="s">
        <v>8</v>
      </c>
      <c r="B107" s="191"/>
      <c r="C107" s="191"/>
      <c r="D107" s="191"/>
      <c r="E107" s="191"/>
      <c r="F107" s="191"/>
      <c r="G107" s="191"/>
      <c r="H107" s="191"/>
      <c r="I107" s="191"/>
    </row>
    <row r="108" spans="1:22" ht="15.75" customHeight="1">
      <c r="A108" s="1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7"/>
    </row>
    <row r="109" spans="1:22" ht="15.75" customHeight="1">
      <c r="A109" s="209" t="s">
        <v>9</v>
      </c>
      <c r="B109" s="209"/>
      <c r="C109" s="209"/>
      <c r="D109" s="209"/>
      <c r="E109" s="209"/>
      <c r="F109" s="209"/>
      <c r="G109" s="209"/>
      <c r="H109" s="209"/>
      <c r="I109" s="209"/>
      <c r="J109" s="24"/>
      <c r="K109" s="24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2" ht="15.75" customHeight="1">
      <c r="A110" s="4"/>
      <c r="J110" s="3"/>
      <c r="K110" s="3"/>
      <c r="L110" s="3"/>
      <c r="M110" s="3"/>
      <c r="N110" s="3"/>
      <c r="O110" s="3"/>
      <c r="P110" s="3"/>
      <c r="Q110" s="3"/>
      <c r="S110" s="3"/>
      <c r="T110" s="3"/>
      <c r="U110" s="3"/>
    </row>
    <row r="111" spans="1:22" ht="15.75" customHeight="1">
      <c r="A111" s="191" t="s">
        <v>10</v>
      </c>
      <c r="B111" s="191"/>
      <c r="C111" s="210" t="s">
        <v>187</v>
      </c>
      <c r="D111" s="210"/>
      <c r="E111" s="210"/>
      <c r="F111" s="57"/>
      <c r="I111" s="91"/>
      <c r="J111" s="5"/>
      <c r="K111" s="5"/>
      <c r="L111" s="5"/>
      <c r="M111" s="5"/>
      <c r="N111" s="5"/>
      <c r="O111" s="5"/>
      <c r="P111" s="5"/>
      <c r="Q111" s="5"/>
      <c r="R111" s="211"/>
      <c r="S111" s="211"/>
      <c r="T111" s="211"/>
      <c r="U111" s="211"/>
    </row>
    <row r="112" spans="1:22" ht="15.75" customHeight="1">
      <c r="A112" s="90"/>
      <c r="C112" s="206" t="s">
        <v>11</v>
      </c>
      <c r="D112" s="206"/>
      <c r="E112" s="206"/>
      <c r="F112" s="23"/>
      <c r="I112" s="88" t="s">
        <v>12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9" ht="15.75" customHeight="1">
      <c r="A113" s="24"/>
      <c r="C113" s="11"/>
      <c r="D113" s="11"/>
      <c r="G113" s="11"/>
      <c r="H113" s="11"/>
    </row>
    <row r="114" spans="1:9" ht="15.75" customHeight="1">
      <c r="A114" s="191" t="s">
        <v>13</v>
      </c>
      <c r="B114" s="191"/>
      <c r="C114" s="212"/>
      <c r="D114" s="212"/>
      <c r="E114" s="212"/>
      <c r="F114" s="58"/>
      <c r="I114" s="91"/>
    </row>
    <row r="115" spans="1:9" ht="15.75" customHeight="1">
      <c r="A115" s="90"/>
      <c r="C115" s="211" t="s">
        <v>11</v>
      </c>
      <c r="D115" s="211"/>
      <c r="E115" s="211"/>
      <c r="F115" s="90"/>
      <c r="I115" s="88" t="s">
        <v>12</v>
      </c>
    </row>
    <row r="116" spans="1:9" ht="15.75" customHeight="1">
      <c r="A116" s="4" t="s">
        <v>14</v>
      </c>
    </row>
    <row r="117" spans="1:9" ht="15" customHeight="1">
      <c r="A117" s="213" t="s">
        <v>15</v>
      </c>
      <c r="B117" s="213"/>
      <c r="C117" s="213"/>
      <c r="D117" s="213"/>
      <c r="E117" s="213"/>
      <c r="F117" s="213"/>
      <c r="G117" s="213"/>
      <c r="H117" s="213"/>
      <c r="I117" s="213"/>
    </row>
    <row r="118" spans="1:9" ht="45" customHeight="1">
      <c r="A118" s="208" t="s">
        <v>16</v>
      </c>
      <c r="B118" s="208"/>
      <c r="C118" s="208"/>
      <c r="D118" s="208"/>
      <c r="E118" s="208"/>
      <c r="F118" s="208"/>
      <c r="G118" s="208"/>
      <c r="H118" s="208"/>
      <c r="I118" s="208"/>
    </row>
    <row r="119" spans="1:9" ht="30" customHeight="1">
      <c r="A119" s="208" t="s">
        <v>17</v>
      </c>
      <c r="B119" s="208"/>
      <c r="C119" s="208"/>
      <c r="D119" s="208"/>
      <c r="E119" s="208"/>
      <c r="F119" s="208"/>
      <c r="G119" s="208"/>
      <c r="H119" s="208"/>
      <c r="I119" s="208"/>
    </row>
    <row r="120" spans="1:9" ht="30" customHeight="1">
      <c r="A120" s="208" t="s">
        <v>21</v>
      </c>
      <c r="B120" s="208"/>
      <c r="C120" s="208"/>
      <c r="D120" s="208"/>
      <c r="E120" s="208"/>
      <c r="F120" s="208"/>
      <c r="G120" s="208"/>
      <c r="H120" s="208"/>
      <c r="I120" s="208"/>
    </row>
    <row r="121" spans="1:9" ht="15" customHeight="1">
      <c r="A121" s="208" t="s">
        <v>20</v>
      </c>
      <c r="B121" s="208"/>
      <c r="C121" s="208"/>
      <c r="D121" s="208"/>
      <c r="E121" s="208"/>
      <c r="F121" s="208"/>
      <c r="G121" s="208"/>
      <c r="H121" s="208"/>
      <c r="I121" s="208"/>
    </row>
  </sheetData>
  <autoFilter ref="I12:I107"/>
  <mergeCells count="31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5:I45"/>
    <mergeCell ref="A56:I56"/>
    <mergeCell ref="A86:I86"/>
    <mergeCell ref="A90:I90"/>
    <mergeCell ref="A101:I101"/>
    <mergeCell ref="B102:G102"/>
    <mergeCell ref="B103:G103"/>
    <mergeCell ref="A105:I105"/>
    <mergeCell ref="A106:I106"/>
    <mergeCell ref="A121:I121"/>
    <mergeCell ref="A109:I109"/>
    <mergeCell ref="A111:B111"/>
    <mergeCell ref="C111:E111"/>
    <mergeCell ref="R111:U111"/>
    <mergeCell ref="C112:E112"/>
    <mergeCell ref="A114:B114"/>
    <mergeCell ref="C114:E114"/>
    <mergeCell ref="C115:E115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abSelected="1" topLeftCell="A56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2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149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318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93"/>
      <c r="C6" s="93"/>
      <c r="D6" s="93"/>
      <c r="E6" s="93"/>
      <c r="F6" s="93"/>
      <c r="G6" s="93"/>
      <c r="H6" s="93"/>
      <c r="I6" s="29">
        <v>44561</v>
      </c>
      <c r="J6" s="2"/>
      <c r="K6" s="2"/>
      <c r="L6" s="2"/>
      <c r="M6" s="2"/>
    </row>
    <row r="7" spans="1:15" ht="15.75">
      <c r="B7" s="89"/>
      <c r="C7" s="89"/>
      <c r="D7" s="8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188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5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92" t="s">
        <v>129</v>
      </c>
      <c r="B28" s="193"/>
      <c r="C28" s="193"/>
      <c r="D28" s="193"/>
      <c r="E28" s="193"/>
      <c r="F28" s="193"/>
      <c r="G28" s="193"/>
      <c r="H28" s="193"/>
      <c r="I28" s="194"/>
      <c r="J28" s="21"/>
      <c r="K28" s="6"/>
      <c r="L28" s="6"/>
      <c r="M28" s="6"/>
    </row>
    <row r="29" spans="1:13" ht="15.75" hidden="1" customHeight="1">
      <c r="A29" s="101"/>
      <c r="B29" s="55" t="s">
        <v>130</v>
      </c>
      <c r="C29" s="102"/>
      <c r="D29" s="102"/>
      <c r="E29" s="102"/>
      <c r="F29" s="102"/>
      <c r="G29" s="102"/>
      <c r="H29" s="102"/>
      <c r="I29" s="102"/>
      <c r="J29" s="21"/>
      <c r="K29" s="6"/>
      <c r="L29" s="6"/>
      <c r="M29" s="6"/>
    </row>
    <row r="30" spans="1:13" ht="15.75" hidden="1" customHeight="1">
      <c r="A30" s="99">
        <v>6</v>
      </c>
      <c r="B30" s="51" t="s">
        <v>131</v>
      </c>
      <c r="C30" s="59" t="s">
        <v>89</v>
      </c>
      <c r="D30" s="51" t="s">
        <v>134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132</v>
      </c>
      <c r="C31" s="59" t="s">
        <v>89</v>
      </c>
      <c r="D31" s="51" t="s">
        <v>135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89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133</v>
      </c>
      <c r="C33" s="59" t="s">
        <v>28</v>
      </c>
      <c r="D33" s="51" t="s">
        <v>58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59</v>
      </c>
      <c r="C34" s="59" t="s">
        <v>30</v>
      </c>
      <c r="D34" s="51" t="s">
        <v>60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4"/>
      <c r="B35" s="51" t="s">
        <v>100</v>
      </c>
      <c r="C35" s="59" t="s">
        <v>29</v>
      </c>
      <c r="D35" s="51" t="s">
        <v>60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1"/>
      <c r="B36" s="55" t="s">
        <v>4</v>
      </c>
      <c r="C36" s="103"/>
      <c r="D36" s="103"/>
      <c r="E36" s="103"/>
      <c r="F36" s="103"/>
      <c r="G36" s="103"/>
      <c r="H36" s="103"/>
      <c r="I36" s="103"/>
      <c r="J36" s="21"/>
      <c r="K36" s="6"/>
      <c r="L36" s="6"/>
      <c r="M36" s="6"/>
    </row>
    <row r="37" spans="1:14" ht="21.75" customHeight="1">
      <c r="A37" s="99">
        <v>4</v>
      </c>
      <c r="B37" s="51" t="s">
        <v>25</v>
      </c>
      <c r="C37" s="59" t="s">
        <v>29</v>
      </c>
      <c r="D37" s="51" t="s">
        <v>319</v>
      </c>
      <c r="E37" s="60"/>
      <c r="F37" s="61">
        <v>3</v>
      </c>
      <c r="G37" s="171">
        <v>1930</v>
      </c>
      <c r="H37" s="62">
        <f t="shared" ref="H37:H43" si="8">SUM(F37*G37/1000)</f>
        <v>5.79</v>
      </c>
      <c r="I37" s="12">
        <f>G37*1</f>
        <v>1930</v>
      </c>
      <c r="J37" s="21"/>
      <c r="K37" s="6"/>
      <c r="L37" s="6"/>
      <c r="M37" s="6"/>
    </row>
    <row r="38" spans="1:14" ht="15.75" customHeight="1">
      <c r="A38" s="26">
        <v>5</v>
      </c>
      <c r="B38" s="167" t="s">
        <v>138</v>
      </c>
      <c r="C38" s="168" t="s">
        <v>27</v>
      </c>
      <c r="D38" s="32" t="s">
        <v>163</v>
      </c>
      <c r="E38" s="106">
        <v>92</v>
      </c>
      <c r="F38" s="169">
        <f>E38*30/1000</f>
        <v>2.76</v>
      </c>
      <c r="G38" s="31">
        <v>3134.93</v>
      </c>
      <c r="H38" s="62">
        <f>G38*F38/1000</f>
        <v>8.6524067999999996</v>
      </c>
      <c r="I38" s="12">
        <f>F38/6*G38</f>
        <v>1442.0677999999998</v>
      </c>
      <c r="J38" s="21"/>
      <c r="K38" s="6"/>
      <c r="L38" s="6"/>
      <c r="M38" s="6"/>
    </row>
    <row r="39" spans="1:14" ht="15.75" hidden="1" customHeight="1">
      <c r="A39" s="26">
        <v>8</v>
      </c>
      <c r="B39" s="32" t="s">
        <v>102</v>
      </c>
      <c r="C39" s="39" t="s">
        <v>103</v>
      </c>
      <c r="D39" s="32" t="s">
        <v>180</v>
      </c>
      <c r="E39" s="106"/>
      <c r="F39" s="169">
        <v>52</v>
      </c>
      <c r="G39" s="31">
        <v>330</v>
      </c>
      <c r="H39" s="62">
        <f>G39*F39/1000</f>
        <v>17.16</v>
      </c>
      <c r="I39" s="12">
        <f t="shared" ref="I39:I41" si="9">F39/6*G39</f>
        <v>2860</v>
      </c>
      <c r="J39" s="21"/>
      <c r="K39" s="6"/>
    </row>
    <row r="40" spans="1:14" ht="15.75" customHeight="1">
      <c r="A40" s="26">
        <v>6</v>
      </c>
      <c r="B40" s="32" t="s">
        <v>61</v>
      </c>
      <c r="C40" s="39" t="s">
        <v>27</v>
      </c>
      <c r="D40" s="32" t="s">
        <v>164</v>
      </c>
      <c r="E40" s="31">
        <f>E38</f>
        <v>92</v>
      </c>
      <c r="F40" s="169">
        <f>SUM(E40*155/1000)</f>
        <v>14.26</v>
      </c>
      <c r="G40" s="31">
        <v>522.92999999999995</v>
      </c>
      <c r="H40" s="62">
        <f t="shared" si="8"/>
        <v>7.4569817999999994</v>
      </c>
      <c r="I40" s="12">
        <f t="shared" si="9"/>
        <v>1242.8302999999999</v>
      </c>
      <c r="J40" s="22"/>
    </row>
    <row r="41" spans="1:14" ht="48" customHeight="1">
      <c r="A41" s="26">
        <v>7</v>
      </c>
      <c r="B41" s="32" t="s">
        <v>73</v>
      </c>
      <c r="C41" s="39" t="s">
        <v>89</v>
      </c>
      <c r="D41" s="32" t="s">
        <v>163</v>
      </c>
      <c r="E41" s="31">
        <v>92</v>
      </c>
      <c r="F41" s="169">
        <f>SUM(E41*35/1000)</f>
        <v>3.22</v>
      </c>
      <c r="G41" s="31">
        <v>8652.07</v>
      </c>
      <c r="H41" s="62">
        <f t="shared" si="8"/>
        <v>27.859665400000001</v>
      </c>
      <c r="I41" s="12">
        <f t="shared" si="9"/>
        <v>4643.2775666666676</v>
      </c>
      <c r="J41" s="22"/>
    </row>
    <row r="42" spans="1:14" ht="15.75" hidden="1" customHeight="1">
      <c r="A42" s="26">
        <v>8</v>
      </c>
      <c r="B42" s="32" t="s">
        <v>105</v>
      </c>
      <c r="C42" s="39" t="s">
        <v>89</v>
      </c>
      <c r="D42" s="32" t="s">
        <v>166</v>
      </c>
      <c r="E42" s="31">
        <f>E38</f>
        <v>92</v>
      </c>
      <c r="F42" s="169">
        <f>SUM(E42*20/1000)</f>
        <v>1.84</v>
      </c>
      <c r="G42" s="31">
        <v>639.14</v>
      </c>
      <c r="H42" s="62">
        <f t="shared" si="8"/>
        <v>1.1760176000000002</v>
      </c>
      <c r="I42" s="12">
        <f>G42*F42/20*1</f>
        <v>58.800880000000006</v>
      </c>
      <c r="J42" s="22"/>
    </row>
    <row r="43" spans="1:14" ht="15.75" hidden="1" customHeight="1">
      <c r="A43" s="26">
        <v>9</v>
      </c>
      <c r="B43" s="167" t="s">
        <v>62</v>
      </c>
      <c r="C43" s="168" t="s">
        <v>30</v>
      </c>
      <c r="D43" s="167"/>
      <c r="E43" s="149"/>
      <c r="F43" s="169">
        <v>0.8</v>
      </c>
      <c r="G43" s="169">
        <v>900</v>
      </c>
      <c r="H43" s="62">
        <f t="shared" si="8"/>
        <v>0.72</v>
      </c>
      <c r="I43" s="12">
        <f>G43*F43/20*1</f>
        <v>36</v>
      </c>
      <c r="J43" s="22"/>
    </row>
    <row r="44" spans="1:14" ht="30" customHeight="1">
      <c r="A44" s="166">
        <v>8</v>
      </c>
      <c r="B44" s="167" t="s">
        <v>190</v>
      </c>
      <c r="C44" s="168" t="s">
        <v>27</v>
      </c>
      <c r="D44" s="167" t="s">
        <v>161</v>
      </c>
      <c r="E44" s="149">
        <v>3</v>
      </c>
      <c r="F44" s="169">
        <f>E44*12/1000</f>
        <v>3.5999999999999997E-2</v>
      </c>
      <c r="G44" s="169">
        <v>20547.34</v>
      </c>
      <c r="H44" s="56"/>
      <c r="I44" s="12">
        <f>G44*F44/6</f>
        <v>123.28403999999999</v>
      </c>
      <c r="J44" s="22"/>
    </row>
    <row r="45" spans="1:14" ht="15.75" customHeight="1">
      <c r="A45" s="195" t="s">
        <v>116</v>
      </c>
      <c r="B45" s="196"/>
      <c r="C45" s="196"/>
      <c r="D45" s="196"/>
      <c r="E45" s="196"/>
      <c r="F45" s="196"/>
      <c r="G45" s="196"/>
      <c r="H45" s="196"/>
      <c r="I45" s="197"/>
      <c r="J45" s="22"/>
      <c r="L45" s="18"/>
      <c r="M45" s="19"/>
      <c r="N45" s="20"/>
    </row>
    <row r="46" spans="1:14" ht="15.75" hidden="1" customHeight="1">
      <c r="A46" s="26">
        <v>11</v>
      </c>
      <c r="B46" s="32" t="s">
        <v>106</v>
      </c>
      <c r="C46" s="39" t="s">
        <v>89</v>
      </c>
      <c r="D46" s="32" t="s">
        <v>39</v>
      </c>
      <c r="E46" s="106">
        <v>1114.25</v>
      </c>
      <c r="F46" s="31">
        <f>SUM(E46*2/1000)</f>
        <v>2.2284999999999999</v>
      </c>
      <c r="G46" s="34">
        <v>1193.71</v>
      </c>
      <c r="H46" s="107">
        <f t="shared" ref="H46:H55" si="10">SUM(F46*G46/1000)</f>
        <v>2.6601827349999998</v>
      </c>
      <c r="I46" s="12">
        <f t="shared" ref="I46:I48" si="11">F46/2*G46</f>
        <v>1330.0913674999999</v>
      </c>
      <c r="J46" s="22"/>
      <c r="L46" s="18"/>
      <c r="M46" s="19"/>
      <c r="N46" s="20"/>
    </row>
    <row r="47" spans="1:14" ht="15.75" hidden="1" customHeight="1">
      <c r="A47" s="26">
        <v>12</v>
      </c>
      <c r="B47" s="32" t="s">
        <v>33</v>
      </c>
      <c r="C47" s="39" t="s">
        <v>89</v>
      </c>
      <c r="D47" s="32" t="s">
        <v>39</v>
      </c>
      <c r="E47" s="106">
        <v>2631</v>
      </c>
      <c r="F47" s="31">
        <f>SUM(E47*2/1000)</f>
        <v>5.2619999999999996</v>
      </c>
      <c r="G47" s="34">
        <v>1803.69</v>
      </c>
      <c r="H47" s="107">
        <f t="shared" si="10"/>
        <v>9.4910167800000007</v>
      </c>
      <c r="I47" s="12">
        <f t="shared" si="11"/>
        <v>4745.50839</v>
      </c>
      <c r="J47" s="22"/>
      <c r="L47" s="18"/>
      <c r="M47" s="19"/>
      <c r="N47" s="20"/>
    </row>
    <row r="48" spans="1:14" ht="15.75" hidden="1" customHeight="1">
      <c r="A48" s="26">
        <v>13</v>
      </c>
      <c r="B48" s="32" t="s">
        <v>34</v>
      </c>
      <c r="C48" s="39" t="s">
        <v>89</v>
      </c>
      <c r="D48" s="32" t="s">
        <v>39</v>
      </c>
      <c r="E48" s="106">
        <v>1953.8</v>
      </c>
      <c r="F48" s="31">
        <f>SUM(E48*2/1000)</f>
        <v>3.9076</v>
      </c>
      <c r="G48" s="34">
        <v>1243.43</v>
      </c>
      <c r="H48" s="107">
        <f t="shared" si="10"/>
        <v>4.8588270680000001</v>
      </c>
      <c r="I48" s="12">
        <f t="shared" si="11"/>
        <v>2429.4135340000003</v>
      </c>
      <c r="J48" s="22"/>
      <c r="L48" s="18"/>
      <c r="M48" s="19"/>
      <c r="N48" s="20"/>
    </row>
    <row r="49" spans="1:14" ht="15.75" hidden="1" customHeight="1">
      <c r="A49" s="26">
        <v>14</v>
      </c>
      <c r="B49" s="32" t="s">
        <v>31</v>
      </c>
      <c r="C49" s="39" t="s">
        <v>32</v>
      </c>
      <c r="D49" s="32" t="s">
        <v>39</v>
      </c>
      <c r="E49" s="106">
        <v>91.84</v>
      </c>
      <c r="F49" s="31">
        <f>SUM(E49*2/100)</f>
        <v>1.8368</v>
      </c>
      <c r="G49" s="108">
        <v>1172.4100000000001</v>
      </c>
      <c r="H49" s="107">
        <f t="shared" si="10"/>
        <v>2.153482688</v>
      </c>
      <c r="I49" s="12">
        <f>F49/2*G49</f>
        <v>1076.741344</v>
      </c>
      <c r="J49" s="22"/>
      <c r="L49" s="18"/>
      <c r="M49" s="19"/>
      <c r="N49" s="20"/>
    </row>
    <row r="50" spans="1:14" ht="15.75" customHeight="1">
      <c r="A50" s="26">
        <v>9</v>
      </c>
      <c r="B50" s="32" t="s">
        <v>53</v>
      </c>
      <c r="C50" s="39" t="s">
        <v>89</v>
      </c>
      <c r="D50" s="32" t="s">
        <v>170</v>
      </c>
      <c r="E50" s="106">
        <v>891.4</v>
      </c>
      <c r="F50" s="31">
        <f>SUM(E50*5/1000)</f>
        <v>4.4569999999999999</v>
      </c>
      <c r="G50" s="34">
        <v>1809.27</v>
      </c>
      <c r="H50" s="107">
        <f t="shared" si="10"/>
        <v>8.0639163899999993</v>
      </c>
      <c r="I50" s="12">
        <f>F50/5*G50</f>
        <v>1612.7832779999999</v>
      </c>
      <c r="J50" s="22"/>
      <c r="L50" s="18"/>
      <c r="M50" s="19"/>
      <c r="N50" s="20"/>
    </row>
    <row r="51" spans="1:14" ht="31.5" hidden="1" customHeight="1">
      <c r="A51" s="26">
        <v>16</v>
      </c>
      <c r="B51" s="32" t="s">
        <v>107</v>
      </c>
      <c r="C51" s="39" t="s">
        <v>89</v>
      </c>
      <c r="D51" s="32" t="s">
        <v>39</v>
      </c>
      <c r="E51" s="106">
        <v>3181</v>
      </c>
      <c r="F51" s="31">
        <f>SUM(E51*2/1000)</f>
        <v>6.3620000000000001</v>
      </c>
      <c r="G51" s="34">
        <v>1591.6</v>
      </c>
      <c r="H51" s="107">
        <f t="shared" si="10"/>
        <v>10.125759200000001</v>
      </c>
      <c r="I51" s="12">
        <f>F51/2*G51</f>
        <v>5062.8796000000002</v>
      </c>
      <c r="J51" s="22"/>
      <c r="L51" s="18"/>
      <c r="M51" s="19"/>
      <c r="N51" s="20"/>
    </row>
    <row r="52" spans="1:14" ht="31.5" hidden="1" customHeight="1">
      <c r="A52" s="26">
        <v>17</v>
      </c>
      <c r="B52" s="32" t="s">
        <v>108</v>
      </c>
      <c r="C52" s="39" t="s">
        <v>35</v>
      </c>
      <c r="D52" s="32" t="s">
        <v>39</v>
      </c>
      <c r="E52" s="106">
        <v>20</v>
      </c>
      <c r="F52" s="31">
        <f>SUM(E52*2/100)</f>
        <v>0.4</v>
      </c>
      <c r="G52" s="34">
        <v>4058.32</v>
      </c>
      <c r="H52" s="107">
        <f t="shared" si="10"/>
        <v>1.6233280000000001</v>
      </c>
      <c r="I52" s="12">
        <f t="shared" ref="I52:I53" si="12">F52/2*G52</f>
        <v>811.6640000000001</v>
      </c>
      <c r="J52" s="22"/>
      <c r="L52" s="18"/>
      <c r="M52" s="19"/>
      <c r="N52" s="20"/>
    </row>
    <row r="53" spans="1:14" ht="15.75" hidden="1" customHeight="1">
      <c r="A53" s="26">
        <v>18</v>
      </c>
      <c r="B53" s="32" t="s">
        <v>36</v>
      </c>
      <c r="C53" s="39" t="s">
        <v>37</v>
      </c>
      <c r="D53" s="32" t="s">
        <v>39</v>
      </c>
      <c r="E53" s="106">
        <v>1</v>
      </c>
      <c r="F53" s="31">
        <v>0.02</v>
      </c>
      <c r="G53" s="34">
        <v>7412.92</v>
      </c>
      <c r="H53" s="107">
        <f t="shared" si="10"/>
        <v>0.14825839999999998</v>
      </c>
      <c r="I53" s="12">
        <f t="shared" si="12"/>
        <v>74.129199999999997</v>
      </c>
      <c r="J53" s="22"/>
      <c r="L53" s="18"/>
      <c r="M53" s="19"/>
      <c r="N53" s="20"/>
    </row>
    <row r="54" spans="1:14" ht="15.75" hidden="1" customHeight="1">
      <c r="A54" s="26">
        <v>11</v>
      </c>
      <c r="B54" s="32" t="s">
        <v>109</v>
      </c>
      <c r="C54" s="39" t="s">
        <v>90</v>
      </c>
      <c r="D54" s="150">
        <v>44167</v>
      </c>
      <c r="E54" s="106">
        <v>70</v>
      </c>
      <c r="F54" s="31">
        <f>E54*3</f>
        <v>210</v>
      </c>
      <c r="G54" s="137">
        <v>290.39999999999998</v>
      </c>
      <c r="H54" s="107">
        <f t="shared" si="10"/>
        <v>60.983999999999995</v>
      </c>
      <c r="I54" s="12">
        <f>E54*G54</f>
        <v>20328</v>
      </c>
      <c r="J54" s="22"/>
      <c r="L54" s="18"/>
      <c r="M54" s="19"/>
      <c r="N54" s="20"/>
    </row>
    <row r="55" spans="1:14" ht="15.75" hidden="1" customHeight="1">
      <c r="A55" s="26">
        <v>12</v>
      </c>
      <c r="B55" s="32" t="s">
        <v>38</v>
      </c>
      <c r="C55" s="39" t="s">
        <v>90</v>
      </c>
      <c r="D55" s="150">
        <v>44167</v>
      </c>
      <c r="E55" s="106">
        <v>140</v>
      </c>
      <c r="F55" s="31">
        <f>E55*3</f>
        <v>420</v>
      </c>
      <c r="G55" s="172">
        <v>90</v>
      </c>
      <c r="H55" s="107">
        <f t="shared" si="10"/>
        <v>37.799999999999997</v>
      </c>
      <c r="I55" s="12">
        <f>E55*G55</f>
        <v>12600</v>
      </c>
      <c r="J55" s="22"/>
      <c r="L55" s="18"/>
      <c r="M55" s="19"/>
      <c r="N55" s="20"/>
    </row>
    <row r="56" spans="1:14" ht="15.75" customHeight="1">
      <c r="A56" s="195" t="s">
        <v>117</v>
      </c>
      <c r="B56" s="198"/>
      <c r="C56" s="198"/>
      <c r="D56" s="198"/>
      <c r="E56" s="198"/>
      <c r="F56" s="198"/>
      <c r="G56" s="198"/>
      <c r="H56" s="198"/>
      <c r="I56" s="199"/>
      <c r="J56" s="22"/>
      <c r="L56" s="18"/>
      <c r="M56" s="19"/>
      <c r="N56" s="20"/>
    </row>
    <row r="57" spans="1:14" ht="15.75" hidden="1" customHeight="1">
      <c r="A57" s="26"/>
      <c r="B57" s="80" t="s">
        <v>40</v>
      </c>
      <c r="C57" s="59"/>
      <c r="D57" s="51"/>
      <c r="E57" s="60"/>
      <c r="F57" s="61"/>
      <c r="G57" s="61"/>
      <c r="H57" s="62"/>
      <c r="I57" s="12"/>
      <c r="J57" s="22"/>
      <c r="L57" s="18"/>
      <c r="M57" s="19"/>
      <c r="N57" s="20"/>
    </row>
    <row r="58" spans="1:14" ht="31.5" hidden="1" customHeight="1">
      <c r="A58" s="26">
        <v>12</v>
      </c>
      <c r="B58" s="51" t="s">
        <v>110</v>
      </c>
      <c r="C58" s="59" t="s">
        <v>79</v>
      </c>
      <c r="D58" s="51" t="s">
        <v>111</v>
      </c>
      <c r="E58" s="60">
        <v>111.2</v>
      </c>
      <c r="F58" s="61">
        <f>SUM(E58*6/100)</f>
        <v>6.6720000000000006</v>
      </c>
      <c r="G58" s="12">
        <v>2431.1799999999998</v>
      </c>
      <c r="H58" s="62">
        <f>SUM(F58*G58/1000)</f>
        <v>16.220832959999999</v>
      </c>
      <c r="I58" s="12">
        <f>F58/6*G58</f>
        <v>2703.4721600000003</v>
      </c>
      <c r="J58" s="22"/>
      <c r="L58" s="18"/>
      <c r="M58" s="19"/>
      <c r="N58" s="20"/>
    </row>
    <row r="59" spans="1:14" ht="20.25" hidden="1" customHeight="1">
      <c r="A59" s="26">
        <v>13</v>
      </c>
      <c r="B59" s="70" t="s">
        <v>113</v>
      </c>
      <c r="C59" s="69" t="s">
        <v>114</v>
      </c>
      <c r="D59" s="13" t="s">
        <v>60</v>
      </c>
      <c r="E59" s="71"/>
      <c r="F59" s="72">
        <v>3</v>
      </c>
      <c r="G59" s="12">
        <v>1582.05</v>
      </c>
      <c r="H59" s="62">
        <f>SUM(F59*G59/1000)</f>
        <v>4.7461499999999992</v>
      </c>
      <c r="I59" s="12">
        <f>G59*1.5</f>
        <v>2373.0749999999998</v>
      </c>
      <c r="J59" s="22"/>
      <c r="L59" s="18"/>
      <c r="M59" s="19"/>
      <c r="N59" s="20"/>
    </row>
    <row r="60" spans="1:14" ht="13.5" customHeight="1">
      <c r="A60" s="26"/>
      <c r="B60" s="81" t="s">
        <v>41</v>
      </c>
      <c r="C60" s="69"/>
      <c r="D60" s="70"/>
      <c r="E60" s="71"/>
      <c r="F60" s="72"/>
      <c r="G60" s="12"/>
      <c r="H60" s="73"/>
      <c r="I60" s="12"/>
      <c r="J60" s="22"/>
      <c r="L60" s="18"/>
      <c r="M60" s="19"/>
      <c r="N60" s="20"/>
    </row>
    <row r="61" spans="1:14" ht="15" customHeight="1">
      <c r="A61" s="26">
        <v>10</v>
      </c>
      <c r="B61" s="53" t="s">
        <v>151</v>
      </c>
      <c r="C61" s="155" t="s">
        <v>152</v>
      </c>
      <c r="D61" s="53" t="s">
        <v>166</v>
      </c>
      <c r="E61" s="156">
        <v>48</v>
      </c>
      <c r="F61" s="157">
        <f>E61*12/1</f>
        <v>576</v>
      </c>
      <c r="G61" s="158">
        <v>1.4</v>
      </c>
      <c r="H61" s="73"/>
      <c r="I61" s="12">
        <f>G61*F61/12</f>
        <v>67.2</v>
      </c>
      <c r="J61" s="22"/>
      <c r="L61" s="18"/>
      <c r="M61" s="19"/>
      <c r="N61" s="20"/>
    </row>
    <row r="62" spans="1:14" ht="15.75" hidden="1" customHeight="1">
      <c r="A62" s="26"/>
      <c r="B62" s="81" t="s">
        <v>43</v>
      </c>
      <c r="C62" s="69"/>
      <c r="D62" s="70"/>
      <c r="E62" s="71"/>
      <c r="F62" s="74"/>
      <c r="G62" s="74"/>
      <c r="H62" s="72" t="s">
        <v>98</v>
      </c>
      <c r="I62" s="12"/>
      <c r="J62" s="22"/>
      <c r="L62" s="18"/>
      <c r="M62" s="19"/>
      <c r="N62" s="20"/>
    </row>
    <row r="63" spans="1:14" ht="15.75" hidden="1" customHeight="1">
      <c r="A63" s="26">
        <v>9</v>
      </c>
      <c r="B63" s="13" t="s">
        <v>44</v>
      </c>
      <c r="C63" s="15" t="s">
        <v>90</v>
      </c>
      <c r="D63" s="13" t="s">
        <v>60</v>
      </c>
      <c r="E63" s="17">
        <v>4</v>
      </c>
      <c r="F63" s="61">
        <f>E63</f>
        <v>4</v>
      </c>
      <c r="G63" s="12">
        <v>291.68</v>
      </c>
      <c r="H63" s="75">
        <f t="shared" ref="H63:H70" si="13">SUM(F63*G63/1000)</f>
        <v>1.16672</v>
      </c>
      <c r="I63" s="12">
        <f>G63*2</f>
        <v>583.36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45</v>
      </c>
      <c r="C64" s="15" t="s">
        <v>90</v>
      </c>
      <c r="D64" s="13" t="s">
        <v>60</v>
      </c>
      <c r="E64" s="17">
        <v>4</v>
      </c>
      <c r="F64" s="61">
        <f>E64</f>
        <v>4</v>
      </c>
      <c r="G64" s="12">
        <v>100.01</v>
      </c>
      <c r="H64" s="75">
        <f t="shared" si="13"/>
        <v>0.40004000000000001</v>
      </c>
      <c r="I64" s="12">
        <f t="shared" ref="I64:I69" si="14">G64*2</f>
        <v>200.02</v>
      </c>
      <c r="J64" s="22"/>
      <c r="L64" s="18"/>
      <c r="M64" s="19"/>
      <c r="N64" s="20"/>
    </row>
    <row r="65" spans="1:14" ht="15.75" hidden="1" customHeight="1">
      <c r="A65" s="26">
        <v>24</v>
      </c>
      <c r="B65" s="13" t="s">
        <v>46</v>
      </c>
      <c r="C65" s="15" t="s">
        <v>91</v>
      </c>
      <c r="D65" s="13" t="s">
        <v>51</v>
      </c>
      <c r="E65" s="60">
        <v>12702</v>
      </c>
      <c r="F65" s="12">
        <f>SUM(E65/100)</f>
        <v>127.02</v>
      </c>
      <c r="G65" s="12">
        <v>278.24</v>
      </c>
      <c r="H65" s="75">
        <f t="shared" si="13"/>
        <v>35.342044800000004</v>
      </c>
      <c r="I65" s="12">
        <f t="shared" si="14"/>
        <v>556.48</v>
      </c>
      <c r="J65" s="22"/>
      <c r="L65" s="18"/>
      <c r="M65" s="19"/>
      <c r="N65" s="20"/>
    </row>
    <row r="66" spans="1:14" ht="15.75" hidden="1" customHeight="1">
      <c r="A66" s="26">
        <v>25</v>
      </c>
      <c r="B66" s="13" t="s">
        <v>47</v>
      </c>
      <c r="C66" s="15" t="s">
        <v>92</v>
      </c>
      <c r="D66" s="13"/>
      <c r="E66" s="60">
        <v>12702</v>
      </c>
      <c r="F66" s="12">
        <f>SUM(E66/1000)</f>
        <v>12.702</v>
      </c>
      <c r="G66" s="12">
        <v>216.68</v>
      </c>
      <c r="H66" s="75">
        <f t="shared" si="13"/>
        <v>2.7522693600000001</v>
      </c>
      <c r="I66" s="12">
        <f t="shared" si="14"/>
        <v>433.36</v>
      </c>
      <c r="J66" s="22"/>
      <c r="L66" s="18"/>
      <c r="M66" s="19"/>
      <c r="N66" s="20"/>
    </row>
    <row r="67" spans="1:14" ht="15.75" hidden="1" customHeight="1">
      <c r="A67" s="26">
        <v>26</v>
      </c>
      <c r="B67" s="13" t="s">
        <v>48</v>
      </c>
      <c r="C67" s="15" t="s">
        <v>69</v>
      </c>
      <c r="D67" s="13" t="s">
        <v>51</v>
      </c>
      <c r="E67" s="60">
        <v>2200</v>
      </c>
      <c r="F67" s="12">
        <f>SUM(E67/100)</f>
        <v>22</v>
      </c>
      <c r="G67" s="12">
        <v>2720.94</v>
      </c>
      <c r="H67" s="75">
        <f t="shared" si="13"/>
        <v>59.860680000000002</v>
      </c>
      <c r="I67" s="12">
        <f t="shared" si="14"/>
        <v>5441.88</v>
      </c>
      <c r="J67" s="22"/>
      <c r="L67" s="18"/>
      <c r="M67" s="19"/>
      <c r="N67" s="20"/>
    </row>
    <row r="68" spans="1:14" ht="15.75" hidden="1" customHeight="1">
      <c r="A68" s="26">
        <v>27</v>
      </c>
      <c r="B68" s="76" t="s">
        <v>93</v>
      </c>
      <c r="C68" s="15" t="s">
        <v>30</v>
      </c>
      <c r="D68" s="13"/>
      <c r="E68" s="60">
        <v>9.6</v>
      </c>
      <c r="F68" s="12">
        <f>SUM(E68)</f>
        <v>9.6</v>
      </c>
      <c r="G68" s="12">
        <v>42.61</v>
      </c>
      <c r="H68" s="75">
        <f t="shared" si="13"/>
        <v>0.40905599999999998</v>
      </c>
      <c r="I68" s="12">
        <f t="shared" si="14"/>
        <v>85.22</v>
      </c>
      <c r="J68" s="22"/>
      <c r="L68" s="18"/>
      <c r="M68" s="19"/>
      <c r="N68" s="20"/>
    </row>
    <row r="69" spans="1:14" ht="15.75" hidden="1" customHeight="1">
      <c r="A69" s="26">
        <v>28</v>
      </c>
      <c r="B69" s="76" t="s">
        <v>94</v>
      </c>
      <c r="C69" s="15" t="s">
        <v>30</v>
      </c>
      <c r="D69" s="13"/>
      <c r="E69" s="60">
        <v>9.6</v>
      </c>
      <c r="F69" s="12">
        <f>SUM(E69)</f>
        <v>9.6</v>
      </c>
      <c r="G69" s="12">
        <v>46.04</v>
      </c>
      <c r="H69" s="75">
        <f t="shared" si="13"/>
        <v>0.44198399999999999</v>
      </c>
      <c r="I69" s="12">
        <f t="shared" si="14"/>
        <v>92.08</v>
      </c>
      <c r="J69" s="22"/>
      <c r="L69" s="18"/>
      <c r="M69" s="19"/>
      <c r="N69" s="20"/>
    </row>
    <row r="70" spans="1:14" ht="15.75" hidden="1" customHeight="1">
      <c r="A70" s="26">
        <v>22</v>
      </c>
      <c r="B70" s="13" t="s">
        <v>54</v>
      </c>
      <c r="C70" s="15" t="s">
        <v>55</v>
      </c>
      <c r="D70" s="13" t="s">
        <v>51</v>
      </c>
      <c r="E70" s="17">
        <v>4</v>
      </c>
      <c r="F70" s="12">
        <f>SUM(E70)</f>
        <v>4</v>
      </c>
      <c r="G70" s="12">
        <v>65.42</v>
      </c>
      <c r="H70" s="75">
        <f t="shared" si="13"/>
        <v>0.26168000000000002</v>
      </c>
      <c r="I70" s="12">
        <f>G70*4</f>
        <v>261.68</v>
      </c>
      <c r="J70" s="22"/>
      <c r="L70" s="18"/>
      <c r="M70" s="19"/>
      <c r="N70" s="20"/>
    </row>
    <row r="71" spans="1:14" ht="15.75" customHeight="1">
      <c r="A71" s="26"/>
      <c r="B71" s="170" t="s">
        <v>177</v>
      </c>
      <c r="C71" s="15"/>
      <c r="D71" s="13"/>
      <c r="E71" s="17"/>
      <c r="F71" s="56"/>
      <c r="G71" s="12"/>
      <c r="H71" s="75"/>
      <c r="I71" s="12"/>
      <c r="J71" s="22"/>
      <c r="L71" s="18"/>
      <c r="M71" s="19"/>
      <c r="N71" s="20"/>
    </row>
    <row r="72" spans="1:14" ht="33.75" customHeight="1">
      <c r="A72" s="26">
        <v>11</v>
      </c>
      <c r="B72" s="36" t="s">
        <v>141</v>
      </c>
      <c r="C72" s="135" t="s">
        <v>142</v>
      </c>
      <c r="D72" s="36"/>
      <c r="E72" s="16">
        <v>3181</v>
      </c>
      <c r="F72" s="31">
        <f>SUM(E72)*12</f>
        <v>38172</v>
      </c>
      <c r="G72" s="34">
        <v>2.6</v>
      </c>
      <c r="H72" s="75">
        <f t="shared" ref="H72" si="15">SUM(F72*G72/1000)</f>
        <v>99.247199999999992</v>
      </c>
      <c r="I72" s="12">
        <f>F72/12*G72</f>
        <v>8270.6</v>
      </c>
      <c r="J72" s="22"/>
      <c r="L72" s="18"/>
      <c r="M72" s="19"/>
      <c r="N72" s="20"/>
    </row>
    <row r="73" spans="1:14" ht="18" customHeight="1">
      <c r="A73" s="26"/>
      <c r="B73" s="55" t="s">
        <v>64</v>
      </c>
      <c r="C73" s="15"/>
      <c r="D73" s="13"/>
      <c r="E73" s="17"/>
      <c r="F73" s="12"/>
      <c r="G73" s="12"/>
      <c r="H73" s="75" t="s">
        <v>98</v>
      </c>
      <c r="I73" s="12"/>
      <c r="J73" s="22"/>
      <c r="L73" s="18"/>
      <c r="M73" s="19"/>
      <c r="N73" s="20"/>
    </row>
    <row r="74" spans="1:14" ht="26.25" hidden="1" customHeight="1">
      <c r="A74" s="26">
        <v>18</v>
      </c>
      <c r="B74" s="13" t="s">
        <v>143</v>
      </c>
      <c r="C74" s="15" t="s">
        <v>28</v>
      </c>
      <c r="D74" s="13" t="s">
        <v>60</v>
      </c>
      <c r="E74" s="17">
        <v>1</v>
      </c>
      <c r="F74" s="61">
        <f t="shared" ref="F74" si="16">E74</f>
        <v>1</v>
      </c>
      <c r="G74" s="12">
        <v>1543.4</v>
      </c>
      <c r="H74" s="75">
        <f>G74*F74/1000</f>
        <v>1.5434000000000001</v>
      </c>
      <c r="I74" s="12">
        <v>0</v>
      </c>
      <c r="J74" s="22"/>
      <c r="L74" s="18"/>
      <c r="M74" s="19"/>
      <c r="N74" s="20"/>
    </row>
    <row r="75" spans="1:14" ht="30" hidden="1" customHeight="1">
      <c r="A75" s="26"/>
      <c r="B75" s="50" t="s">
        <v>144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130.96</v>
      </c>
      <c r="H75" s="75">
        <f>G75*F75/1000</f>
        <v>0.13096000000000002</v>
      </c>
      <c r="I75" s="12">
        <v>0</v>
      </c>
      <c r="J75" s="22"/>
      <c r="L75" s="18"/>
      <c r="M75" s="19"/>
      <c r="N75" s="20"/>
    </row>
    <row r="76" spans="1:14" ht="22.5" hidden="1" customHeight="1">
      <c r="A76" s="26">
        <v>15</v>
      </c>
      <c r="B76" s="13" t="s">
        <v>65</v>
      </c>
      <c r="C76" s="15" t="s">
        <v>67</v>
      </c>
      <c r="D76" s="13" t="s">
        <v>195</v>
      </c>
      <c r="E76" s="17">
        <v>3</v>
      </c>
      <c r="F76" s="61">
        <f>E76/10</f>
        <v>0.3</v>
      </c>
      <c r="G76" s="137">
        <v>747.85</v>
      </c>
      <c r="H76" s="75">
        <f t="shared" ref="H76" si="17">SUM(F76*G76/1000)</f>
        <v>0.224355</v>
      </c>
      <c r="I76" s="12">
        <f>G76*0.1</f>
        <v>74.785000000000011</v>
      </c>
      <c r="J76" s="22"/>
      <c r="L76" s="18"/>
      <c r="M76" s="19"/>
      <c r="N76" s="20"/>
    </row>
    <row r="77" spans="1:14" ht="24.75" hidden="1" customHeight="1">
      <c r="A77" s="26"/>
      <c r="B77" s="13" t="s">
        <v>66</v>
      </c>
      <c r="C77" s="15" t="s">
        <v>28</v>
      </c>
      <c r="D77" s="13" t="s">
        <v>60</v>
      </c>
      <c r="E77" s="17">
        <v>1</v>
      </c>
      <c r="F77" s="61">
        <f>E77</f>
        <v>1</v>
      </c>
      <c r="G77" s="12">
        <v>1118.72</v>
      </c>
      <c r="H77" s="75">
        <f t="shared" ref="H77:H78" si="18">SUM(F77*G77/1000)</f>
        <v>1.1187199999999999</v>
      </c>
      <c r="I77" s="12">
        <v>0</v>
      </c>
      <c r="J77" s="22"/>
      <c r="L77" s="18"/>
      <c r="M77" s="19"/>
      <c r="N77" s="20"/>
    </row>
    <row r="78" spans="1:14" ht="24.75" hidden="1" customHeight="1">
      <c r="A78" s="26"/>
      <c r="B78" s="50" t="s">
        <v>145</v>
      </c>
      <c r="C78" s="54" t="s">
        <v>90</v>
      </c>
      <c r="D78" s="13" t="s">
        <v>60</v>
      </c>
      <c r="E78" s="17">
        <v>1</v>
      </c>
      <c r="F78" s="61">
        <f>E78</f>
        <v>1</v>
      </c>
      <c r="G78" s="12">
        <v>1605.83</v>
      </c>
      <c r="H78" s="75">
        <f t="shared" si="18"/>
        <v>1.6058299999999999</v>
      </c>
      <c r="I78" s="12">
        <v>0</v>
      </c>
      <c r="J78" s="22"/>
      <c r="L78" s="18"/>
      <c r="M78" s="19"/>
      <c r="N78" s="20"/>
    </row>
    <row r="79" spans="1:14" ht="28.5" customHeight="1">
      <c r="A79" s="26">
        <v>12</v>
      </c>
      <c r="B79" s="121" t="s">
        <v>146</v>
      </c>
      <c r="C79" s="122" t="s">
        <v>90</v>
      </c>
      <c r="D79" s="36" t="s">
        <v>166</v>
      </c>
      <c r="E79" s="16">
        <v>2</v>
      </c>
      <c r="F79" s="31">
        <f>E79*12</f>
        <v>24</v>
      </c>
      <c r="G79" s="34">
        <v>425</v>
      </c>
      <c r="H79" s="75">
        <f t="shared" ref="H79" si="19">SUM(F79*G79/1000)</f>
        <v>10.199999999999999</v>
      </c>
      <c r="I79" s="12">
        <f>G79*2</f>
        <v>850</v>
      </c>
      <c r="J79" s="22"/>
      <c r="L79" s="18"/>
      <c r="M79" s="19"/>
      <c r="N79" s="20"/>
    </row>
    <row r="80" spans="1:14" ht="22.5" hidden="1" customHeight="1">
      <c r="A80" s="26"/>
      <c r="B80" s="77" t="s">
        <v>68</v>
      </c>
      <c r="C80" s="15"/>
      <c r="D80" s="13"/>
      <c r="E80" s="17"/>
      <c r="F80" s="12"/>
      <c r="G80" s="12" t="s">
        <v>98</v>
      </c>
      <c r="H80" s="75" t="s">
        <v>98</v>
      </c>
      <c r="I80" s="12"/>
      <c r="J80" s="22"/>
      <c r="L80" s="18"/>
      <c r="M80" s="19"/>
      <c r="N80" s="20"/>
    </row>
    <row r="81" spans="1:14" ht="27" hidden="1" customHeight="1">
      <c r="A81" s="26"/>
      <c r="B81" s="45" t="s">
        <v>97</v>
      </c>
      <c r="C81" s="15" t="s">
        <v>69</v>
      </c>
      <c r="D81" s="13"/>
      <c r="E81" s="17"/>
      <c r="F81" s="12">
        <v>1</v>
      </c>
      <c r="G81" s="12">
        <v>3370.89</v>
      </c>
      <c r="H81" s="75">
        <f t="shared" ref="H81" si="20">SUM(F81*G81/1000)</f>
        <v>3.3708899999999997</v>
      </c>
      <c r="I81" s="12">
        <v>0</v>
      </c>
      <c r="J81" s="22"/>
      <c r="L81" s="18"/>
      <c r="M81" s="19"/>
      <c r="N81" s="20"/>
    </row>
    <row r="82" spans="1:14" ht="23.25" hidden="1" customHeight="1">
      <c r="A82" s="26"/>
      <c r="B82" s="55" t="s">
        <v>95</v>
      </c>
      <c r="C82" s="77"/>
      <c r="D82" s="27"/>
      <c r="E82" s="30"/>
      <c r="F82" s="66"/>
      <c r="G82" s="66"/>
      <c r="H82" s="78">
        <f>SUM(H58:H81)</f>
        <v>239.04281211999998</v>
      </c>
      <c r="I82" s="66"/>
      <c r="J82" s="22"/>
      <c r="L82" s="18"/>
      <c r="M82" s="19"/>
      <c r="N82" s="20"/>
    </row>
    <row r="83" spans="1:14" ht="26.25" hidden="1" customHeight="1">
      <c r="A83" s="104">
        <v>15</v>
      </c>
      <c r="B83" s="53" t="s">
        <v>96</v>
      </c>
      <c r="C83" s="109"/>
      <c r="D83" s="110"/>
      <c r="E83" s="110"/>
      <c r="F83" s="111">
        <v>1</v>
      </c>
      <c r="G83" s="111">
        <v>23195</v>
      </c>
      <c r="H83" s="112">
        <f>G83*F83/1000</f>
        <v>23.195</v>
      </c>
      <c r="I83" s="79">
        <f>G83</f>
        <v>23195</v>
      </c>
      <c r="J83" s="22"/>
      <c r="L83" s="18"/>
      <c r="M83" s="19"/>
      <c r="N83" s="20"/>
    </row>
    <row r="84" spans="1:14" ht="23.25" hidden="1" customHeight="1">
      <c r="A84" s="49"/>
      <c r="B84" s="113" t="s">
        <v>147</v>
      </c>
      <c r="C84" s="15"/>
      <c r="D84" s="13"/>
      <c r="E84" s="13"/>
      <c r="F84" s="12">
        <v>69</v>
      </c>
      <c r="G84" s="12">
        <v>700</v>
      </c>
      <c r="H84" s="75">
        <f>G84*F84/1000</f>
        <v>48.3</v>
      </c>
      <c r="I84" s="114">
        <v>0</v>
      </c>
      <c r="J84" s="22"/>
      <c r="L84" s="18"/>
      <c r="M84" s="19"/>
      <c r="N84" s="20"/>
    </row>
    <row r="85" spans="1:14" ht="15.75" customHeight="1">
      <c r="A85" s="192" t="s">
        <v>118</v>
      </c>
      <c r="B85" s="200"/>
      <c r="C85" s="200"/>
      <c r="D85" s="200"/>
      <c r="E85" s="200"/>
      <c r="F85" s="200"/>
      <c r="G85" s="200"/>
      <c r="H85" s="200"/>
      <c r="I85" s="201"/>
      <c r="J85" s="22"/>
      <c r="L85" s="18"/>
      <c r="M85" s="19"/>
      <c r="N85" s="20"/>
    </row>
    <row r="86" spans="1:14" ht="15.75" customHeight="1">
      <c r="A86" s="99">
        <v>13</v>
      </c>
      <c r="B86" s="32" t="s">
        <v>112</v>
      </c>
      <c r="C86" s="37" t="s">
        <v>52</v>
      </c>
      <c r="D86" s="162"/>
      <c r="E86" s="34">
        <v>3181</v>
      </c>
      <c r="F86" s="34">
        <f>SUM(E86*12)</f>
        <v>38172</v>
      </c>
      <c r="G86" s="34">
        <v>3.5</v>
      </c>
      <c r="H86" s="105">
        <f>SUM(F86*G86/1000)</f>
        <v>133.602</v>
      </c>
      <c r="I86" s="100">
        <f>F86/12*G86</f>
        <v>11133.5</v>
      </c>
      <c r="J86" s="22"/>
      <c r="L86" s="18"/>
      <c r="M86" s="19"/>
      <c r="N86" s="20"/>
    </row>
    <row r="87" spans="1:14" ht="31.5" customHeight="1">
      <c r="A87" s="26">
        <v>14</v>
      </c>
      <c r="B87" s="36" t="s">
        <v>181</v>
      </c>
      <c r="C87" s="37" t="s">
        <v>152</v>
      </c>
      <c r="D87" s="163"/>
      <c r="E87" s="106">
        <f>E86</f>
        <v>3181</v>
      </c>
      <c r="F87" s="34">
        <f>E87*12</f>
        <v>38172</v>
      </c>
      <c r="G87" s="34">
        <v>3.2</v>
      </c>
      <c r="H87" s="75">
        <f>F87*G87/1000</f>
        <v>122.1504</v>
      </c>
      <c r="I87" s="12">
        <f>F87/12*G87</f>
        <v>10179.200000000001</v>
      </c>
      <c r="J87" s="22"/>
      <c r="L87" s="18"/>
      <c r="M87" s="19"/>
      <c r="N87" s="20"/>
    </row>
    <row r="88" spans="1:14" ht="15.75" customHeight="1">
      <c r="A88" s="49"/>
      <c r="B88" s="38" t="s">
        <v>71</v>
      </c>
      <c r="C88" s="15"/>
      <c r="D88" s="45"/>
      <c r="E88" s="12"/>
      <c r="F88" s="12"/>
      <c r="G88" s="12"/>
      <c r="H88" s="75">
        <f>H87</f>
        <v>122.1504</v>
      </c>
      <c r="I88" s="66">
        <f>I87+I86+I79+I72+I61+I50+I44+I41+I40+I38+I37+I18+I17+I16</f>
        <v>53457.648494666668</v>
      </c>
      <c r="J88" s="22"/>
      <c r="L88" s="18"/>
      <c r="M88" s="19"/>
      <c r="N88" s="20"/>
    </row>
    <row r="89" spans="1:14" ht="15.75" customHeight="1">
      <c r="A89" s="202" t="s">
        <v>56</v>
      </c>
      <c r="B89" s="203"/>
      <c r="C89" s="203"/>
      <c r="D89" s="203"/>
      <c r="E89" s="203"/>
      <c r="F89" s="203"/>
      <c r="G89" s="203"/>
      <c r="H89" s="203"/>
      <c r="I89" s="204"/>
      <c r="J89" s="22"/>
      <c r="L89" s="18"/>
      <c r="M89" s="19"/>
      <c r="N89" s="20"/>
    </row>
    <row r="90" spans="1:14" ht="21" customHeight="1">
      <c r="A90" s="26">
        <v>15</v>
      </c>
      <c r="B90" s="177" t="s">
        <v>320</v>
      </c>
      <c r="C90" s="135" t="s">
        <v>81</v>
      </c>
      <c r="D90" s="163"/>
      <c r="E90" s="34"/>
      <c r="F90" s="34">
        <v>0.03</v>
      </c>
      <c r="G90" s="34">
        <v>3880.23</v>
      </c>
      <c r="H90" s="72"/>
      <c r="I90" s="12">
        <f>G90*0.03</f>
        <v>116.40689999999999</v>
      </c>
      <c r="J90" s="22"/>
      <c r="L90" s="18"/>
      <c r="M90" s="19"/>
      <c r="N90" s="20"/>
    </row>
    <row r="91" spans="1:14" ht="21" customHeight="1">
      <c r="A91" s="26">
        <v>16</v>
      </c>
      <c r="B91" s="121" t="s">
        <v>183</v>
      </c>
      <c r="C91" s="122" t="s">
        <v>37</v>
      </c>
      <c r="D91" s="163" t="s">
        <v>161</v>
      </c>
      <c r="E91" s="34"/>
      <c r="F91" s="34">
        <v>7.0000000000000007E-2</v>
      </c>
      <c r="G91" s="34">
        <v>28224.75</v>
      </c>
      <c r="H91" s="75"/>
      <c r="I91" s="79">
        <v>0</v>
      </c>
      <c r="J91" s="22"/>
      <c r="L91" s="18"/>
      <c r="M91" s="19"/>
      <c r="N91" s="20"/>
    </row>
    <row r="92" spans="1:14" ht="21" customHeight="1">
      <c r="A92" s="26">
        <v>17</v>
      </c>
      <c r="B92" s="173" t="s">
        <v>321</v>
      </c>
      <c r="C92" s="26" t="s">
        <v>322</v>
      </c>
      <c r="D92" s="218">
        <v>44555</v>
      </c>
      <c r="E92" s="34"/>
      <c r="F92" s="34">
        <v>0.5</v>
      </c>
      <c r="G92" s="34">
        <v>3537.07</v>
      </c>
      <c r="H92" s="75"/>
      <c r="I92" s="79">
        <f>G92*0.5</f>
        <v>1768.5350000000001</v>
      </c>
      <c r="J92" s="22"/>
      <c r="L92" s="18"/>
      <c r="M92" s="19"/>
      <c r="N92" s="20"/>
    </row>
    <row r="93" spans="1:14" ht="21" customHeight="1">
      <c r="A93" s="26">
        <v>18</v>
      </c>
      <c r="B93" s="121" t="s">
        <v>323</v>
      </c>
      <c r="C93" s="122" t="s">
        <v>322</v>
      </c>
      <c r="D93" s="163" t="s">
        <v>324</v>
      </c>
      <c r="E93" s="34"/>
      <c r="F93" s="34">
        <v>0.5</v>
      </c>
      <c r="G93" s="34">
        <v>672.88</v>
      </c>
      <c r="H93" s="75"/>
      <c r="I93" s="79">
        <f>G93*0.5</f>
        <v>336.44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0"/>
      <c r="D94" s="46"/>
      <c r="E94" s="40">
        <v>1</v>
      </c>
      <c r="F94" s="40"/>
      <c r="G94" s="40"/>
      <c r="H94" s="40"/>
      <c r="I94" s="30">
        <f>SUM(I90:I93)</f>
        <v>2221.3818999999999</v>
      </c>
      <c r="J94" s="22"/>
      <c r="L94" s="18"/>
      <c r="M94" s="19"/>
      <c r="N94" s="20"/>
    </row>
    <row r="95" spans="1:14" ht="15.75" customHeight="1">
      <c r="A95" s="26"/>
      <c r="B95" s="45" t="s">
        <v>70</v>
      </c>
      <c r="C95" s="14"/>
      <c r="D95" s="14"/>
      <c r="E95" s="41"/>
      <c r="F95" s="41"/>
      <c r="G95" s="42"/>
      <c r="H95" s="42"/>
      <c r="I95" s="16">
        <v>0</v>
      </c>
      <c r="J95" s="22"/>
      <c r="L95" s="18"/>
      <c r="M95" s="19"/>
      <c r="N95" s="20"/>
    </row>
    <row r="96" spans="1:14" ht="15.75" customHeight="1">
      <c r="A96" s="47"/>
      <c r="B96" s="44" t="s">
        <v>137</v>
      </c>
      <c r="C96" s="33"/>
      <c r="D96" s="33"/>
      <c r="E96" s="33"/>
      <c r="F96" s="33"/>
      <c r="G96" s="33"/>
      <c r="H96" s="33"/>
      <c r="I96" s="43">
        <f>I88+I94</f>
        <v>55679.030394666668</v>
      </c>
      <c r="J96" s="22"/>
      <c r="L96" s="18"/>
      <c r="M96" s="19"/>
      <c r="N96" s="20"/>
    </row>
    <row r="97" spans="1:22" ht="15.75" customHeight="1">
      <c r="A97" s="191" t="s">
        <v>325</v>
      </c>
      <c r="B97" s="191"/>
      <c r="C97" s="191"/>
      <c r="D97" s="191"/>
      <c r="E97" s="191"/>
      <c r="F97" s="191"/>
      <c r="G97" s="191"/>
      <c r="H97" s="191"/>
      <c r="I97" s="191"/>
      <c r="J97" s="22"/>
      <c r="L97" s="18"/>
      <c r="M97" s="19"/>
      <c r="N97" s="20"/>
    </row>
    <row r="98" spans="1:22" ht="15.75" customHeight="1">
      <c r="A98" s="8"/>
      <c r="B98" s="205" t="s">
        <v>326</v>
      </c>
      <c r="C98" s="205"/>
      <c r="D98" s="205"/>
      <c r="E98" s="205"/>
      <c r="F98" s="205"/>
      <c r="G98" s="205"/>
      <c r="H98" s="92"/>
      <c r="I98" s="3"/>
      <c r="J98" s="22"/>
      <c r="L98" s="18"/>
      <c r="M98" s="19"/>
      <c r="N98" s="20"/>
    </row>
    <row r="99" spans="1:22" ht="15.75" customHeight="1">
      <c r="A99" s="90"/>
      <c r="B99" s="206" t="s">
        <v>5</v>
      </c>
      <c r="C99" s="206"/>
      <c r="D99" s="206"/>
      <c r="E99" s="206"/>
      <c r="F99" s="206"/>
      <c r="G99" s="206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207" t="s">
        <v>6</v>
      </c>
      <c r="B101" s="207"/>
      <c r="C101" s="207"/>
      <c r="D101" s="207"/>
      <c r="E101" s="207"/>
      <c r="F101" s="207"/>
      <c r="G101" s="207"/>
      <c r="H101" s="207"/>
      <c r="I101" s="207"/>
      <c r="J101" s="22"/>
      <c r="K101" s="22"/>
      <c r="L101" s="22"/>
    </row>
    <row r="102" spans="1:22" ht="15.75" customHeight="1">
      <c r="A102" s="207" t="s">
        <v>7</v>
      </c>
      <c r="B102" s="207"/>
      <c r="C102" s="207"/>
      <c r="D102" s="207"/>
      <c r="E102" s="207"/>
      <c r="F102" s="207"/>
      <c r="G102" s="207"/>
      <c r="H102" s="207"/>
      <c r="I102" s="207"/>
      <c r="J102" s="22"/>
      <c r="K102" s="22"/>
      <c r="L102" s="22"/>
    </row>
    <row r="103" spans="1:22" ht="15.75" customHeight="1">
      <c r="A103" s="191" t="s">
        <v>8</v>
      </c>
      <c r="B103" s="191"/>
      <c r="C103" s="191"/>
      <c r="D103" s="191"/>
      <c r="E103" s="191"/>
      <c r="F103" s="191"/>
      <c r="G103" s="191"/>
      <c r="H103" s="191"/>
      <c r="I103" s="191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209" t="s">
        <v>9</v>
      </c>
      <c r="B105" s="209"/>
      <c r="C105" s="209"/>
      <c r="D105" s="209"/>
      <c r="E105" s="209"/>
      <c r="F105" s="209"/>
      <c r="G105" s="209"/>
      <c r="H105" s="209"/>
      <c r="I105" s="209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91" t="s">
        <v>10</v>
      </c>
      <c r="B107" s="191"/>
      <c r="C107" s="210" t="s">
        <v>187</v>
      </c>
      <c r="D107" s="210"/>
      <c r="E107" s="210"/>
      <c r="F107" s="57"/>
      <c r="I107" s="91"/>
      <c r="J107" s="5"/>
      <c r="K107" s="5"/>
      <c r="L107" s="5"/>
      <c r="M107" s="5"/>
      <c r="N107" s="5"/>
      <c r="O107" s="5"/>
      <c r="P107" s="5"/>
      <c r="Q107" s="5"/>
      <c r="R107" s="211"/>
      <c r="S107" s="211"/>
      <c r="T107" s="211"/>
      <c r="U107" s="211"/>
    </row>
    <row r="108" spans="1:22" ht="15.75" customHeight="1">
      <c r="A108" s="90"/>
      <c r="C108" s="206" t="s">
        <v>11</v>
      </c>
      <c r="D108" s="206"/>
      <c r="E108" s="206"/>
      <c r="F108" s="23"/>
      <c r="I108" s="88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91" t="s">
        <v>13</v>
      </c>
      <c r="B110" s="191"/>
      <c r="C110" s="212"/>
      <c r="D110" s="212"/>
      <c r="E110" s="212"/>
      <c r="F110" s="58"/>
      <c r="I110" s="91"/>
    </row>
    <row r="111" spans="1:22" ht="15.75" customHeight="1">
      <c r="A111" s="90"/>
      <c r="C111" s="211" t="s">
        <v>11</v>
      </c>
      <c r="D111" s="211"/>
      <c r="E111" s="211"/>
      <c r="F111" s="90"/>
      <c r="I111" s="88" t="s">
        <v>12</v>
      </c>
    </row>
    <row r="112" spans="1:22" ht="15.75" customHeight="1">
      <c r="A112" s="4" t="s">
        <v>14</v>
      </c>
    </row>
    <row r="113" spans="1:9" ht="15" customHeight="1">
      <c r="A113" s="213" t="s">
        <v>15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45" customHeight="1">
      <c r="A114" s="208" t="s">
        <v>16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30" customHeight="1">
      <c r="A115" s="208" t="s">
        <v>17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30" customHeight="1">
      <c r="A116" s="208" t="s">
        <v>21</v>
      </c>
      <c r="B116" s="208"/>
      <c r="C116" s="208"/>
      <c r="D116" s="208"/>
      <c r="E116" s="208"/>
      <c r="F116" s="208"/>
      <c r="G116" s="208"/>
      <c r="H116" s="208"/>
      <c r="I116" s="208"/>
    </row>
    <row r="117" spans="1:9" ht="15" customHeight="1">
      <c r="A117" s="208" t="s">
        <v>20</v>
      </c>
      <c r="B117" s="208"/>
      <c r="C117" s="208"/>
      <c r="D117" s="208"/>
      <c r="E117" s="208"/>
      <c r="F117" s="208"/>
      <c r="G117" s="208"/>
      <c r="H117" s="208"/>
      <c r="I117" s="208"/>
    </row>
  </sheetData>
  <autoFilter ref="I12:I103"/>
  <mergeCells count="31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5:I45"/>
    <mergeCell ref="A56:I56"/>
    <mergeCell ref="A85:I85"/>
    <mergeCell ref="A89:I89"/>
    <mergeCell ref="A97:I97"/>
    <mergeCell ref="B98:G98"/>
    <mergeCell ref="B99:G99"/>
    <mergeCell ref="A101:I101"/>
    <mergeCell ref="A102:I102"/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9"/>
  <sheetViews>
    <sheetView topLeftCell="A53" workbookViewId="0">
      <selection activeCell="B61" sqref="B61:I6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4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119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206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116"/>
      <c r="C6" s="116"/>
      <c r="D6" s="116"/>
      <c r="E6" s="116"/>
      <c r="F6" s="116"/>
      <c r="G6" s="116"/>
      <c r="H6" s="116"/>
      <c r="I6" s="29" t="s">
        <v>207</v>
      </c>
      <c r="J6" s="2"/>
      <c r="K6" s="2"/>
      <c r="L6" s="2"/>
      <c r="M6" s="2"/>
    </row>
    <row r="7" spans="1:15" ht="15.75">
      <c r="B7" s="119"/>
      <c r="C7" s="119"/>
      <c r="D7" s="11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5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hidden="1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hidden="1" customHeight="1">
      <c r="A29" s="99">
        <v>6</v>
      </c>
      <c r="B29" s="51" t="s">
        <v>131</v>
      </c>
      <c r="C29" s="59" t="s">
        <v>89</v>
      </c>
      <c r="D29" s="51" t="s">
        <v>134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5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132</v>
      </c>
      <c r="C30" s="59" t="s">
        <v>89</v>
      </c>
      <c r="D30" s="51" t="s">
        <v>135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5"/>
        <v>2.4341709599999999</v>
      </c>
      <c r="I30" s="12">
        <f t="shared" ref="I30:I32" si="6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5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133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5"/>
        <v>3.841416666666666</v>
      </c>
      <c r="I32" s="12">
        <f t="shared" si="6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5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4"/>
      <c r="B34" s="51" t="s">
        <v>100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5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1"/>
      <c r="B35" s="55" t="s">
        <v>4</v>
      </c>
      <c r="C35" s="103"/>
      <c r="D35" s="103"/>
      <c r="E35" s="103"/>
      <c r="F35" s="103"/>
      <c r="G35" s="103"/>
      <c r="H35" s="103"/>
      <c r="I35" s="103"/>
      <c r="J35" s="21"/>
      <c r="K35" s="6"/>
      <c r="L35" s="6"/>
      <c r="M35" s="6"/>
    </row>
    <row r="36" spans="1:14" ht="17.25" customHeight="1">
      <c r="A36" s="99">
        <v>5</v>
      </c>
      <c r="B36" s="51" t="s">
        <v>25</v>
      </c>
      <c r="C36" s="59" t="s">
        <v>29</v>
      </c>
      <c r="D36" s="51" t="s">
        <v>215</v>
      </c>
      <c r="E36" s="60"/>
      <c r="F36" s="61">
        <v>3</v>
      </c>
      <c r="G36" s="171">
        <v>1930</v>
      </c>
      <c r="H36" s="62">
        <f t="shared" ref="H36:H42" si="7">SUM(F36*G36/1000)</f>
        <v>5.79</v>
      </c>
      <c r="I36" s="12">
        <f>G36*0.5</f>
        <v>965</v>
      </c>
      <c r="J36" s="21"/>
      <c r="K36" s="6"/>
      <c r="L36" s="6"/>
      <c r="M36" s="6"/>
    </row>
    <row r="37" spans="1:14" ht="15.75" customHeight="1">
      <c r="A37" s="26">
        <v>6</v>
      </c>
      <c r="B37" s="167" t="s">
        <v>138</v>
      </c>
      <c r="C37" s="168" t="s">
        <v>27</v>
      </c>
      <c r="D37" s="32" t="s">
        <v>163</v>
      </c>
      <c r="E37" s="106">
        <v>92</v>
      </c>
      <c r="F37" s="169">
        <f>E37*30/1000</f>
        <v>2.76</v>
      </c>
      <c r="G37" s="31">
        <v>3134.93</v>
      </c>
      <c r="H37" s="62">
        <f>G37*F37/1000</f>
        <v>8.6524067999999996</v>
      </c>
      <c r="I37" s="12">
        <f>F37/6*G37</f>
        <v>1442.0677999999998</v>
      </c>
      <c r="J37" s="21"/>
      <c r="K37" s="6"/>
      <c r="L37" s="6"/>
      <c r="M37" s="6"/>
    </row>
    <row r="38" spans="1:14" ht="15.75" hidden="1" customHeight="1">
      <c r="A38" s="26">
        <v>8</v>
      </c>
      <c r="B38" s="32" t="s">
        <v>102</v>
      </c>
      <c r="C38" s="39" t="s">
        <v>103</v>
      </c>
      <c r="D38" s="32" t="s">
        <v>180</v>
      </c>
      <c r="E38" s="106"/>
      <c r="F38" s="169">
        <v>52</v>
      </c>
      <c r="G38" s="31">
        <v>330</v>
      </c>
      <c r="H38" s="62">
        <f>G38*F38/1000</f>
        <v>17.16</v>
      </c>
      <c r="I38" s="12">
        <f t="shared" ref="I38:I40" si="8">F38/6*G38</f>
        <v>2860</v>
      </c>
      <c r="J38" s="21"/>
      <c r="K38" s="6"/>
    </row>
    <row r="39" spans="1:14" ht="15.75" customHeight="1">
      <c r="A39" s="26">
        <v>7</v>
      </c>
      <c r="B39" s="32" t="s">
        <v>61</v>
      </c>
      <c r="C39" s="39" t="s">
        <v>27</v>
      </c>
      <c r="D39" s="32" t="s">
        <v>164</v>
      </c>
      <c r="E39" s="31">
        <f>E37</f>
        <v>92</v>
      </c>
      <c r="F39" s="169">
        <f>SUM(E39*155/1000)</f>
        <v>14.26</v>
      </c>
      <c r="G39" s="31">
        <v>522.92999999999995</v>
      </c>
      <c r="H39" s="62">
        <f t="shared" si="7"/>
        <v>7.4569817999999994</v>
      </c>
      <c r="I39" s="12">
        <f t="shared" si="8"/>
        <v>1242.8302999999999</v>
      </c>
      <c r="J39" s="22"/>
    </row>
    <row r="40" spans="1:14" ht="48" customHeight="1">
      <c r="A40" s="26">
        <v>8</v>
      </c>
      <c r="B40" s="32" t="s">
        <v>73</v>
      </c>
      <c r="C40" s="39" t="s">
        <v>89</v>
      </c>
      <c r="D40" s="32" t="s">
        <v>163</v>
      </c>
      <c r="E40" s="31">
        <v>92</v>
      </c>
      <c r="F40" s="169">
        <f>SUM(E40*35/1000)</f>
        <v>3.22</v>
      </c>
      <c r="G40" s="31">
        <v>8652.07</v>
      </c>
      <c r="H40" s="62">
        <f t="shared" si="7"/>
        <v>27.859665400000001</v>
      </c>
      <c r="I40" s="12">
        <f t="shared" si="8"/>
        <v>4643.2775666666676</v>
      </c>
      <c r="J40" s="22"/>
    </row>
    <row r="41" spans="1:14" ht="15.75" hidden="1" customHeight="1">
      <c r="A41" s="26">
        <v>8</v>
      </c>
      <c r="B41" s="32" t="s">
        <v>105</v>
      </c>
      <c r="C41" s="39" t="s">
        <v>89</v>
      </c>
      <c r="D41" s="32" t="s">
        <v>166</v>
      </c>
      <c r="E41" s="31">
        <f>E37</f>
        <v>92</v>
      </c>
      <c r="F41" s="169">
        <f>SUM(E41*20/1000)</f>
        <v>1.84</v>
      </c>
      <c r="G41" s="31">
        <v>639.14</v>
      </c>
      <c r="H41" s="62">
        <f t="shared" si="7"/>
        <v>1.1760176000000002</v>
      </c>
      <c r="I41" s="12">
        <f>G41*F41/20*1</f>
        <v>58.800880000000006</v>
      </c>
      <c r="J41" s="22"/>
    </row>
    <row r="42" spans="1:14" ht="15.75" hidden="1" customHeight="1">
      <c r="A42" s="26">
        <v>9</v>
      </c>
      <c r="B42" s="167" t="s">
        <v>62</v>
      </c>
      <c r="C42" s="168" t="s">
        <v>30</v>
      </c>
      <c r="D42" s="167"/>
      <c r="E42" s="149"/>
      <c r="F42" s="169">
        <v>0.8</v>
      </c>
      <c r="G42" s="169">
        <v>900</v>
      </c>
      <c r="H42" s="62">
        <f t="shared" si="7"/>
        <v>0.72</v>
      </c>
      <c r="I42" s="12">
        <f>G42*F42/20*1</f>
        <v>36</v>
      </c>
      <c r="J42" s="22"/>
    </row>
    <row r="43" spans="1:14" ht="30.75" customHeight="1">
      <c r="A43" s="166">
        <v>9</v>
      </c>
      <c r="B43" s="167" t="s">
        <v>190</v>
      </c>
      <c r="C43" s="168" t="s">
        <v>27</v>
      </c>
      <c r="D43" s="167" t="s">
        <v>161</v>
      </c>
      <c r="E43" s="149">
        <v>3</v>
      </c>
      <c r="F43" s="169">
        <f>E43*12/1000</f>
        <v>3.5999999999999997E-2</v>
      </c>
      <c r="G43" s="169">
        <v>20547.34</v>
      </c>
      <c r="H43" s="56"/>
      <c r="I43" s="12">
        <f>G43*F43/6</f>
        <v>123.28403999999999</v>
      </c>
      <c r="J43" s="22"/>
    </row>
    <row r="44" spans="1:14" ht="15.75" customHeight="1">
      <c r="A44" s="195" t="s">
        <v>116</v>
      </c>
      <c r="B44" s="196"/>
      <c r="C44" s="196"/>
      <c r="D44" s="196"/>
      <c r="E44" s="196"/>
      <c r="F44" s="196"/>
      <c r="G44" s="196"/>
      <c r="H44" s="196"/>
      <c r="I44" s="197"/>
      <c r="J44" s="22"/>
      <c r="L44" s="18"/>
      <c r="M44" s="19"/>
      <c r="N44" s="20"/>
    </row>
    <row r="45" spans="1:14" ht="15.75" hidden="1" customHeight="1">
      <c r="A45" s="26">
        <v>11</v>
      </c>
      <c r="B45" s="32" t="s">
        <v>106</v>
      </c>
      <c r="C45" s="39" t="s">
        <v>89</v>
      </c>
      <c r="D45" s="32" t="s">
        <v>39</v>
      </c>
      <c r="E45" s="106">
        <v>1114.25</v>
      </c>
      <c r="F45" s="31">
        <f>SUM(E45*2/1000)</f>
        <v>2.2284999999999999</v>
      </c>
      <c r="G45" s="34">
        <v>1193.71</v>
      </c>
      <c r="H45" s="107">
        <f t="shared" ref="H45:H48" si="9">SUM(F45*G45/1000)</f>
        <v>2.6601827349999998</v>
      </c>
      <c r="I45" s="12">
        <f t="shared" ref="I45:I47" si="10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2" t="s">
        <v>33</v>
      </c>
      <c r="C46" s="39" t="s">
        <v>89</v>
      </c>
      <c r="D46" s="32" t="s">
        <v>39</v>
      </c>
      <c r="E46" s="106">
        <v>2631</v>
      </c>
      <c r="F46" s="31">
        <f>SUM(E46*2/1000)</f>
        <v>5.2619999999999996</v>
      </c>
      <c r="G46" s="34">
        <v>1803.69</v>
      </c>
      <c r="H46" s="107">
        <f t="shared" si="9"/>
        <v>9.4910167800000007</v>
      </c>
      <c r="I46" s="12">
        <f t="shared" si="10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2" t="s">
        <v>34</v>
      </c>
      <c r="C47" s="39" t="s">
        <v>89</v>
      </c>
      <c r="D47" s="32" t="s">
        <v>39</v>
      </c>
      <c r="E47" s="106">
        <v>1953.8</v>
      </c>
      <c r="F47" s="31">
        <f>SUM(E47*2/1000)</f>
        <v>3.9076</v>
      </c>
      <c r="G47" s="34">
        <v>1243.43</v>
      </c>
      <c r="H47" s="107">
        <f t="shared" si="9"/>
        <v>4.8588270680000001</v>
      </c>
      <c r="I47" s="12">
        <f t="shared" si="10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6">
        <v>91.84</v>
      </c>
      <c r="F48" s="31">
        <f>SUM(E48*2/100)</f>
        <v>1.8368</v>
      </c>
      <c r="G48" s="108">
        <v>1172.4100000000001</v>
      </c>
      <c r="H48" s="107">
        <f t="shared" si="9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10</v>
      </c>
      <c r="B49" s="32" t="s">
        <v>53</v>
      </c>
      <c r="C49" s="39" t="s">
        <v>89</v>
      </c>
      <c r="D49" s="32" t="s">
        <v>170</v>
      </c>
      <c r="E49" s="106">
        <v>891.4</v>
      </c>
      <c r="F49" s="31">
        <f>SUM(E49*5/1000)</f>
        <v>4.4569999999999999</v>
      </c>
      <c r="G49" s="34">
        <v>1809.27</v>
      </c>
      <c r="H49" s="107">
        <f t="shared" ref="H49:H54" si="11">SUM(F49*G49/1000)</f>
        <v>8.0639163899999993</v>
      </c>
      <c r="I49" s="12">
        <f>F49/5*G49</f>
        <v>1612.7832779999999</v>
      </c>
      <c r="J49" s="22"/>
      <c r="L49" s="18"/>
      <c r="M49" s="19"/>
      <c r="N49" s="20"/>
    </row>
    <row r="50" spans="1:14" ht="31.5" hidden="1" customHeight="1">
      <c r="A50" s="26">
        <v>16</v>
      </c>
      <c r="B50" s="32" t="s">
        <v>107</v>
      </c>
      <c r="C50" s="39" t="s">
        <v>89</v>
      </c>
      <c r="D50" s="32" t="s">
        <v>39</v>
      </c>
      <c r="E50" s="106">
        <v>3181</v>
      </c>
      <c r="F50" s="31">
        <f>SUM(E50*2/1000)</f>
        <v>6.3620000000000001</v>
      </c>
      <c r="G50" s="34">
        <v>1591.6</v>
      </c>
      <c r="H50" s="107">
        <f t="shared" si="11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2" t="s">
        <v>108</v>
      </c>
      <c r="C51" s="39" t="s">
        <v>35</v>
      </c>
      <c r="D51" s="32" t="s">
        <v>39</v>
      </c>
      <c r="E51" s="106">
        <v>20</v>
      </c>
      <c r="F51" s="31">
        <f>SUM(E51*2/100)</f>
        <v>0.4</v>
      </c>
      <c r="G51" s="34">
        <v>4058.32</v>
      </c>
      <c r="H51" s="107">
        <f t="shared" si="11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36</v>
      </c>
      <c r="C52" s="39" t="s">
        <v>37</v>
      </c>
      <c r="D52" s="32" t="s">
        <v>39</v>
      </c>
      <c r="E52" s="106">
        <v>1</v>
      </c>
      <c r="F52" s="31">
        <v>0.02</v>
      </c>
      <c r="G52" s="34">
        <v>7412.92</v>
      </c>
      <c r="H52" s="107">
        <f t="shared" si="11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9.5" customHeight="1">
      <c r="A53" s="26">
        <v>11</v>
      </c>
      <c r="B53" s="32" t="s">
        <v>109</v>
      </c>
      <c r="C53" s="39" t="s">
        <v>90</v>
      </c>
      <c r="D53" s="150">
        <v>44228</v>
      </c>
      <c r="E53" s="106">
        <v>70</v>
      </c>
      <c r="F53" s="31">
        <f>E53*3</f>
        <v>210</v>
      </c>
      <c r="G53" s="137">
        <v>290.39999999999998</v>
      </c>
      <c r="H53" s="107">
        <f t="shared" si="11"/>
        <v>60.983999999999995</v>
      </c>
      <c r="I53" s="12">
        <f>E53*G53</f>
        <v>20328</v>
      </c>
      <c r="J53" s="22"/>
      <c r="L53" s="18"/>
      <c r="M53" s="19"/>
      <c r="N53" s="20"/>
    </row>
    <row r="54" spans="1:14" ht="17.25" customHeight="1">
      <c r="A54" s="26">
        <v>12</v>
      </c>
      <c r="B54" s="32" t="s">
        <v>38</v>
      </c>
      <c r="C54" s="39" t="s">
        <v>90</v>
      </c>
      <c r="D54" s="150">
        <v>44228</v>
      </c>
      <c r="E54" s="106">
        <v>140</v>
      </c>
      <c r="F54" s="31">
        <f>E54*3</f>
        <v>420</v>
      </c>
      <c r="G54" s="172">
        <v>90</v>
      </c>
      <c r="H54" s="107">
        <f t="shared" si="11"/>
        <v>37.799999999999997</v>
      </c>
      <c r="I54" s="12">
        <f>E54*G54</f>
        <v>12600</v>
      </c>
      <c r="J54" s="22"/>
      <c r="L54" s="18"/>
      <c r="M54" s="19"/>
      <c r="N54" s="20"/>
    </row>
    <row r="55" spans="1:14" ht="15.75" customHeight="1">
      <c r="A55" s="195" t="s">
        <v>117</v>
      </c>
      <c r="B55" s="198"/>
      <c r="C55" s="198"/>
      <c r="D55" s="198"/>
      <c r="E55" s="198"/>
      <c r="F55" s="198"/>
      <c r="G55" s="198"/>
      <c r="H55" s="198"/>
      <c r="I55" s="199"/>
      <c r="J55" s="22"/>
      <c r="L55" s="18"/>
      <c r="M55" s="19"/>
      <c r="N55" s="20"/>
    </row>
    <row r="56" spans="1:14" ht="21" customHeight="1">
      <c r="A56" s="26"/>
      <c r="B56" s="80" t="s">
        <v>40</v>
      </c>
      <c r="C56" s="59"/>
      <c r="D56" s="51"/>
      <c r="E56" s="60"/>
      <c r="F56" s="61"/>
      <c r="G56" s="61"/>
      <c r="H56" s="62"/>
      <c r="I56" s="12"/>
      <c r="J56" s="22"/>
      <c r="L56" s="18"/>
      <c r="M56" s="19"/>
      <c r="N56" s="20"/>
    </row>
    <row r="57" spans="1:14" ht="33.75" customHeight="1">
      <c r="A57" s="26">
        <v>13</v>
      </c>
      <c r="B57" s="51" t="s">
        <v>110</v>
      </c>
      <c r="C57" s="59" t="s">
        <v>79</v>
      </c>
      <c r="D57" s="51"/>
      <c r="E57" s="60">
        <v>111.2</v>
      </c>
      <c r="F57" s="61">
        <f>SUM(E57*6/100)</f>
        <v>6.6720000000000006</v>
      </c>
      <c r="G57" s="137">
        <v>2306.83</v>
      </c>
      <c r="H57" s="62">
        <f>SUM(F57*G57/1000)</f>
        <v>15.39116976</v>
      </c>
      <c r="I57" s="12">
        <f>G57*0.2</f>
        <v>461.36599999999999</v>
      </c>
      <c r="J57" s="22"/>
      <c r="L57" s="18"/>
      <c r="M57" s="19"/>
      <c r="N57" s="20"/>
    </row>
    <row r="58" spans="1:14" ht="20.25" hidden="1" customHeight="1">
      <c r="A58" s="26">
        <v>11</v>
      </c>
      <c r="B58" s="70" t="s">
        <v>113</v>
      </c>
      <c r="C58" s="69" t="s">
        <v>114</v>
      </c>
      <c r="D58" s="13" t="s">
        <v>175</v>
      </c>
      <c r="E58" s="71"/>
      <c r="F58" s="72">
        <v>3</v>
      </c>
      <c r="G58" s="12">
        <v>1582.05</v>
      </c>
      <c r="H58" s="62">
        <f>SUM(F58*G58/1000)</f>
        <v>4.7461499999999992</v>
      </c>
      <c r="I58" s="12">
        <f>G58*3</f>
        <v>4746.1499999999996</v>
      </c>
      <c r="J58" s="22"/>
      <c r="L58" s="18"/>
      <c r="M58" s="19"/>
      <c r="N58" s="20"/>
    </row>
    <row r="59" spans="1:14" ht="24" customHeight="1">
      <c r="A59" s="26"/>
      <c r="B59" s="81" t="s">
        <v>41</v>
      </c>
      <c r="C59" s="69"/>
      <c r="D59" s="70"/>
      <c r="E59" s="71"/>
      <c r="F59" s="72"/>
      <c r="G59" s="12"/>
      <c r="H59" s="73"/>
      <c r="I59" s="12"/>
      <c r="J59" s="22"/>
      <c r="L59" s="18"/>
      <c r="M59" s="19"/>
      <c r="N59" s="20"/>
    </row>
    <row r="60" spans="1:14" ht="21" hidden="1" customHeight="1">
      <c r="A60" s="26"/>
      <c r="B60" s="70" t="s">
        <v>42</v>
      </c>
      <c r="C60" s="69" t="s">
        <v>50</v>
      </c>
      <c r="D60" s="70" t="s">
        <v>51</v>
      </c>
      <c r="E60" s="71">
        <v>222.85</v>
      </c>
      <c r="F60" s="72">
        <v>8.9</v>
      </c>
      <c r="G60" s="12">
        <v>1040.8399999999999</v>
      </c>
      <c r="H60" s="73">
        <f>F60*G60/1000</f>
        <v>9.2634759999999989</v>
      </c>
      <c r="I60" s="12">
        <v>0</v>
      </c>
      <c r="J60" s="22"/>
      <c r="L60" s="18"/>
      <c r="M60" s="19"/>
      <c r="N60" s="20"/>
    </row>
    <row r="61" spans="1:14" ht="18" customHeight="1">
      <c r="A61" s="26">
        <v>14</v>
      </c>
      <c r="B61" s="53" t="s">
        <v>151</v>
      </c>
      <c r="C61" s="155" t="s">
        <v>152</v>
      </c>
      <c r="D61" s="53" t="s">
        <v>166</v>
      </c>
      <c r="E61" s="156">
        <v>48</v>
      </c>
      <c r="F61" s="157">
        <f>E61*12/1</f>
        <v>576</v>
      </c>
      <c r="G61" s="158">
        <v>1.4</v>
      </c>
      <c r="H61" s="73"/>
      <c r="I61" s="12">
        <f>G61*F61/12</f>
        <v>67.2</v>
      </c>
      <c r="J61" s="22"/>
      <c r="L61" s="18"/>
      <c r="M61" s="19"/>
      <c r="N61" s="20"/>
    </row>
    <row r="62" spans="1:14" ht="15.75" customHeight="1">
      <c r="A62" s="26"/>
      <c r="B62" s="81" t="s">
        <v>43</v>
      </c>
      <c r="C62" s="69"/>
      <c r="D62" s="70"/>
      <c r="E62" s="71"/>
      <c r="F62" s="74"/>
      <c r="G62" s="74"/>
      <c r="H62" s="72" t="s">
        <v>98</v>
      </c>
      <c r="I62" s="12"/>
      <c r="J62" s="22"/>
      <c r="L62" s="18"/>
      <c r="M62" s="19"/>
      <c r="N62" s="20"/>
    </row>
    <row r="63" spans="1:14" ht="15.75" hidden="1" customHeight="1">
      <c r="A63" s="26">
        <v>9</v>
      </c>
      <c r="B63" s="13" t="s">
        <v>44</v>
      </c>
      <c r="C63" s="15" t="s">
        <v>90</v>
      </c>
      <c r="D63" s="13" t="s">
        <v>60</v>
      </c>
      <c r="E63" s="17">
        <v>4</v>
      </c>
      <c r="F63" s="61">
        <f>E63</f>
        <v>4</v>
      </c>
      <c r="G63" s="12">
        <v>291.68</v>
      </c>
      <c r="H63" s="75">
        <f t="shared" ref="H63:H70" si="13">SUM(F63*G63/1000)</f>
        <v>1.16672</v>
      </c>
      <c r="I63" s="12">
        <f>G63*2</f>
        <v>583.36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45</v>
      </c>
      <c r="C64" s="15" t="s">
        <v>90</v>
      </c>
      <c r="D64" s="13" t="s">
        <v>60</v>
      </c>
      <c r="E64" s="17">
        <v>4</v>
      </c>
      <c r="F64" s="61">
        <f>E64</f>
        <v>4</v>
      </c>
      <c r="G64" s="12">
        <v>100.01</v>
      </c>
      <c r="H64" s="75">
        <f t="shared" si="13"/>
        <v>0.40004000000000001</v>
      </c>
      <c r="I64" s="12">
        <f t="shared" ref="I64:I69" si="14">G64*2</f>
        <v>200.02</v>
      </c>
      <c r="J64" s="22"/>
      <c r="L64" s="18"/>
      <c r="M64" s="19"/>
      <c r="N64" s="20"/>
    </row>
    <row r="65" spans="1:14" ht="15.75" hidden="1" customHeight="1">
      <c r="A65" s="26">
        <v>24</v>
      </c>
      <c r="B65" s="13" t="s">
        <v>46</v>
      </c>
      <c r="C65" s="15" t="s">
        <v>91</v>
      </c>
      <c r="D65" s="13" t="s">
        <v>51</v>
      </c>
      <c r="E65" s="60">
        <v>12702</v>
      </c>
      <c r="F65" s="12">
        <f>SUM(E65/100)</f>
        <v>127.02</v>
      </c>
      <c r="G65" s="12">
        <v>278.24</v>
      </c>
      <c r="H65" s="75">
        <f t="shared" si="13"/>
        <v>35.342044800000004</v>
      </c>
      <c r="I65" s="12">
        <f t="shared" si="14"/>
        <v>556.48</v>
      </c>
      <c r="J65" s="22"/>
      <c r="L65" s="18"/>
      <c r="M65" s="19"/>
      <c r="N65" s="20"/>
    </row>
    <row r="66" spans="1:14" ht="15.75" hidden="1" customHeight="1">
      <c r="A66" s="26">
        <v>25</v>
      </c>
      <c r="B66" s="13" t="s">
        <v>47</v>
      </c>
      <c r="C66" s="15" t="s">
        <v>92</v>
      </c>
      <c r="D66" s="13"/>
      <c r="E66" s="60">
        <v>12702</v>
      </c>
      <c r="F66" s="12">
        <f>SUM(E66/1000)</f>
        <v>12.702</v>
      </c>
      <c r="G66" s="12">
        <v>216.68</v>
      </c>
      <c r="H66" s="75">
        <f t="shared" si="13"/>
        <v>2.7522693600000001</v>
      </c>
      <c r="I66" s="12">
        <f t="shared" si="14"/>
        <v>433.36</v>
      </c>
      <c r="J66" s="22"/>
      <c r="L66" s="18"/>
      <c r="M66" s="19"/>
      <c r="N66" s="20"/>
    </row>
    <row r="67" spans="1:14" ht="15.75" hidden="1" customHeight="1">
      <c r="A67" s="26">
        <v>26</v>
      </c>
      <c r="B67" s="13" t="s">
        <v>48</v>
      </c>
      <c r="C67" s="15" t="s">
        <v>69</v>
      </c>
      <c r="D67" s="13" t="s">
        <v>51</v>
      </c>
      <c r="E67" s="60">
        <v>2200</v>
      </c>
      <c r="F67" s="12">
        <f>SUM(E67/100)</f>
        <v>22</v>
      </c>
      <c r="G67" s="12">
        <v>2720.94</v>
      </c>
      <c r="H67" s="75">
        <f t="shared" si="13"/>
        <v>59.860680000000002</v>
      </c>
      <c r="I67" s="12">
        <f t="shared" si="14"/>
        <v>5441.88</v>
      </c>
      <c r="J67" s="22"/>
      <c r="L67" s="18"/>
      <c r="M67" s="19"/>
      <c r="N67" s="20"/>
    </row>
    <row r="68" spans="1:14" ht="15.75" hidden="1" customHeight="1">
      <c r="A68" s="26">
        <v>27</v>
      </c>
      <c r="B68" s="76" t="s">
        <v>93</v>
      </c>
      <c r="C68" s="15" t="s">
        <v>30</v>
      </c>
      <c r="D68" s="13"/>
      <c r="E68" s="60">
        <v>9.6</v>
      </c>
      <c r="F68" s="12">
        <f>SUM(E68)</f>
        <v>9.6</v>
      </c>
      <c r="G68" s="12">
        <v>42.61</v>
      </c>
      <c r="H68" s="75">
        <f t="shared" si="13"/>
        <v>0.40905599999999998</v>
      </c>
      <c r="I68" s="12">
        <f t="shared" si="14"/>
        <v>85.22</v>
      </c>
      <c r="J68" s="22"/>
      <c r="L68" s="18"/>
      <c r="M68" s="19"/>
      <c r="N68" s="20"/>
    </row>
    <row r="69" spans="1:14" ht="15.75" hidden="1" customHeight="1">
      <c r="A69" s="26">
        <v>28</v>
      </c>
      <c r="B69" s="76" t="s">
        <v>94</v>
      </c>
      <c r="C69" s="15" t="s">
        <v>30</v>
      </c>
      <c r="D69" s="13"/>
      <c r="E69" s="60">
        <v>9.6</v>
      </c>
      <c r="F69" s="12">
        <f>SUM(E69)</f>
        <v>9.6</v>
      </c>
      <c r="G69" s="12">
        <v>46.04</v>
      </c>
      <c r="H69" s="75">
        <f t="shared" si="13"/>
        <v>0.44198399999999999</v>
      </c>
      <c r="I69" s="12">
        <f t="shared" si="14"/>
        <v>92.08</v>
      </c>
      <c r="J69" s="22"/>
      <c r="L69" s="18"/>
      <c r="M69" s="19"/>
      <c r="N69" s="20"/>
    </row>
    <row r="70" spans="1:14" ht="15.75" hidden="1" customHeight="1">
      <c r="A70" s="26">
        <v>22</v>
      </c>
      <c r="B70" s="13" t="s">
        <v>54</v>
      </c>
      <c r="C70" s="15" t="s">
        <v>55</v>
      </c>
      <c r="D70" s="13" t="s">
        <v>51</v>
      </c>
      <c r="E70" s="17">
        <v>4</v>
      </c>
      <c r="F70" s="12">
        <f>SUM(E70)</f>
        <v>4</v>
      </c>
      <c r="G70" s="12">
        <v>65.42</v>
      </c>
      <c r="H70" s="75">
        <f t="shared" si="13"/>
        <v>0.26168000000000002</v>
      </c>
      <c r="I70" s="12">
        <f>G70*4</f>
        <v>261.68</v>
      </c>
      <c r="J70" s="22"/>
      <c r="L70" s="18"/>
      <c r="M70" s="19"/>
      <c r="N70" s="20"/>
    </row>
    <row r="71" spans="1:14" ht="35.25" customHeight="1">
      <c r="A71" s="26">
        <v>15</v>
      </c>
      <c r="B71" s="36" t="s">
        <v>141</v>
      </c>
      <c r="C71" s="135" t="s">
        <v>142</v>
      </c>
      <c r="D71" s="36"/>
      <c r="E71" s="16">
        <v>3181</v>
      </c>
      <c r="F71" s="31">
        <f>SUM(E71)*12</f>
        <v>38172</v>
      </c>
      <c r="G71" s="34">
        <v>2.6</v>
      </c>
      <c r="H71" s="75">
        <f t="shared" ref="H71" si="15">SUM(F71*G71/1000)</f>
        <v>99.247199999999992</v>
      </c>
      <c r="I71" s="12">
        <f>F71/12*G71</f>
        <v>8270.6</v>
      </c>
      <c r="J71" s="22"/>
      <c r="L71" s="18"/>
      <c r="M71" s="19"/>
      <c r="N71" s="20"/>
    </row>
    <row r="72" spans="1:14" ht="15.75" customHeight="1">
      <c r="A72" s="26"/>
      <c r="B72" s="55" t="s">
        <v>64</v>
      </c>
      <c r="C72" s="15"/>
      <c r="D72" s="13"/>
      <c r="E72" s="17"/>
      <c r="F72" s="12"/>
      <c r="G72" s="12"/>
      <c r="H72" s="75" t="s">
        <v>98</v>
      </c>
      <c r="I72" s="12"/>
      <c r="J72" s="22"/>
      <c r="L72" s="18"/>
      <c r="M72" s="19"/>
      <c r="N72" s="20"/>
    </row>
    <row r="73" spans="1:14" ht="19.5" hidden="1" customHeight="1">
      <c r="A73" s="26">
        <v>18</v>
      </c>
      <c r="B73" s="13" t="s">
        <v>143</v>
      </c>
      <c r="C73" s="15" t="s">
        <v>28</v>
      </c>
      <c r="D73" s="13" t="s">
        <v>60</v>
      </c>
      <c r="E73" s="17">
        <v>1</v>
      </c>
      <c r="F73" s="61">
        <f t="shared" ref="F73" si="16">E73</f>
        <v>1</v>
      </c>
      <c r="G73" s="12">
        <v>1543.4</v>
      </c>
      <c r="H73" s="75">
        <f>G73*F73/1000</f>
        <v>1.5434000000000001</v>
      </c>
      <c r="I73" s="12">
        <v>0</v>
      </c>
      <c r="J73" s="22"/>
      <c r="L73" s="18"/>
      <c r="M73" s="19"/>
      <c r="N73" s="20"/>
    </row>
    <row r="74" spans="1:14" ht="15.75" hidden="1" customHeight="1">
      <c r="A74" s="26">
        <v>14</v>
      </c>
      <c r="B74" s="50" t="s">
        <v>144</v>
      </c>
      <c r="C74" s="54" t="s">
        <v>90</v>
      </c>
      <c r="D74" s="13" t="s">
        <v>60</v>
      </c>
      <c r="E74" s="17">
        <v>1</v>
      </c>
      <c r="F74" s="61">
        <f>E74</f>
        <v>1</v>
      </c>
      <c r="G74" s="12">
        <v>130.96</v>
      </c>
      <c r="H74" s="75">
        <f>G74*F74/1000</f>
        <v>0.13096000000000002</v>
      </c>
      <c r="I74" s="12">
        <f>G74</f>
        <v>130.96</v>
      </c>
      <c r="J74" s="22"/>
      <c r="L74" s="18"/>
      <c r="M74" s="19"/>
      <c r="N74" s="20"/>
    </row>
    <row r="75" spans="1:14" ht="15" hidden="1" customHeight="1">
      <c r="A75" s="26">
        <v>15</v>
      </c>
      <c r="B75" s="13" t="s">
        <v>65</v>
      </c>
      <c r="C75" s="15" t="s">
        <v>67</v>
      </c>
      <c r="D75" s="13" t="s">
        <v>168</v>
      </c>
      <c r="E75" s="17">
        <v>3</v>
      </c>
      <c r="F75" s="61">
        <f>E75/10</f>
        <v>0.3</v>
      </c>
      <c r="G75" s="12">
        <v>657.87</v>
      </c>
      <c r="H75" s="75">
        <f t="shared" ref="H75:H77" si="17">SUM(F75*G75/1000)</f>
        <v>0.19736099999999998</v>
      </c>
      <c r="I75" s="12">
        <f>G75*1.2</f>
        <v>789.44399999999996</v>
      </c>
      <c r="J75" s="22"/>
      <c r="L75" s="18"/>
      <c r="M75" s="19"/>
      <c r="N75" s="20"/>
    </row>
    <row r="76" spans="1:14" ht="25.5" hidden="1" customHeight="1">
      <c r="A76" s="26"/>
      <c r="B76" s="13" t="s">
        <v>66</v>
      </c>
      <c r="C76" s="15" t="s">
        <v>28</v>
      </c>
      <c r="D76" s="13" t="s">
        <v>60</v>
      </c>
      <c r="E76" s="17">
        <v>1</v>
      </c>
      <c r="F76" s="61">
        <f>E76</f>
        <v>1</v>
      </c>
      <c r="G76" s="12">
        <v>1118.72</v>
      </c>
      <c r="H76" s="75">
        <f t="shared" si="17"/>
        <v>1.1187199999999999</v>
      </c>
      <c r="I76" s="12">
        <v>0</v>
      </c>
      <c r="J76" s="22"/>
      <c r="L76" s="18"/>
      <c r="M76" s="19"/>
      <c r="N76" s="20"/>
    </row>
    <row r="77" spans="1:14" ht="21.75" hidden="1" customHeight="1">
      <c r="A77" s="26"/>
      <c r="B77" s="50" t="s">
        <v>145</v>
      </c>
      <c r="C77" s="54" t="s">
        <v>90</v>
      </c>
      <c r="D77" s="13" t="s">
        <v>60</v>
      </c>
      <c r="E77" s="17">
        <v>1</v>
      </c>
      <c r="F77" s="61">
        <f>E77</f>
        <v>1</v>
      </c>
      <c r="G77" s="12">
        <v>1605.83</v>
      </c>
      <c r="H77" s="75">
        <f t="shared" si="17"/>
        <v>1.6058299999999999</v>
      </c>
      <c r="I77" s="12">
        <v>0</v>
      </c>
      <c r="J77" s="22"/>
      <c r="L77" s="18"/>
      <c r="M77" s="19"/>
      <c r="N77" s="20"/>
    </row>
    <row r="78" spans="1:14" ht="33.75" customHeight="1">
      <c r="A78" s="26">
        <v>16</v>
      </c>
      <c r="B78" s="121" t="s">
        <v>146</v>
      </c>
      <c r="C78" s="122" t="s">
        <v>90</v>
      </c>
      <c r="D78" s="36" t="s">
        <v>166</v>
      </c>
      <c r="E78" s="16">
        <v>2</v>
      </c>
      <c r="F78" s="31">
        <f>E78*12</f>
        <v>24</v>
      </c>
      <c r="G78" s="34">
        <v>425</v>
      </c>
      <c r="H78" s="75">
        <f t="shared" ref="H78" si="18">SUM(F78*G78/1000)</f>
        <v>10.199999999999999</v>
      </c>
      <c r="I78" s="12">
        <f>G78*2</f>
        <v>850</v>
      </c>
      <c r="J78" s="22"/>
      <c r="L78" s="18"/>
      <c r="M78" s="19"/>
      <c r="N78" s="20"/>
    </row>
    <row r="79" spans="1:14" ht="21" hidden="1" customHeight="1">
      <c r="A79" s="26"/>
      <c r="B79" s="77" t="s">
        <v>68</v>
      </c>
      <c r="C79" s="15"/>
      <c r="D79" s="13"/>
      <c r="E79" s="17"/>
      <c r="F79" s="12"/>
      <c r="G79" s="12" t="s">
        <v>98</v>
      </c>
      <c r="H79" s="75" t="s">
        <v>98</v>
      </c>
      <c r="I79" s="12"/>
      <c r="J79" s="22"/>
      <c r="L79" s="18"/>
      <c r="M79" s="19"/>
      <c r="N79" s="20"/>
    </row>
    <row r="80" spans="1:14" ht="17.25" hidden="1" customHeight="1">
      <c r="A80" s="26">
        <v>17</v>
      </c>
      <c r="B80" s="45" t="s">
        <v>97</v>
      </c>
      <c r="C80" s="15" t="s">
        <v>69</v>
      </c>
      <c r="D80" s="13"/>
      <c r="E80" s="17"/>
      <c r="F80" s="12">
        <v>1</v>
      </c>
      <c r="G80" s="12">
        <v>3370.89</v>
      </c>
      <c r="H80" s="75">
        <f t="shared" ref="H80" si="19">SUM(F80*G80/1000)</f>
        <v>3.3708899999999997</v>
      </c>
      <c r="I80" s="12">
        <f>G80*0.03</f>
        <v>101.12669999999999</v>
      </c>
      <c r="J80" s="22"/>
      <c r="L80" s="18"/>
      <c r="M80" s="19"/>
      <c r="N80" s="20"/>
    </row>
    <row r="81" spans="1:14" ht="20.25" hidden="1" customHeight="1">
      <c r="A81" s="26"/>
      <c r="B81" s="55" t="s">
        <v>95</v>
      </c>
      <c r="C81" s="77"/>
      <c r="D81" s="27"/>
      <c r="E81" s="30"/>
      <c r="F81" s="66"/>
      <c r="G81" s="66"/>
      <c r="H81" s="78">
        <f>SUM(H57:H80)</f>
        <v>247.44963091999995</v>
      </c>
      <c r="I81" s="66"/>
      <c r="J81" s="22"/>
      <c r="L81" s="18"/>
      <c r="M81" s="19"/>
      <c r="N81" s="20"/>
    </row>
    <row r="82" spans="1:14" ht="20.25" hidden="1" customHeight="1">
      <c r="A82" s="104">
        <v>16</v>
      </c>
      <c r="B82" s="53" t="s">
        <v>96</v>
      </c>
      <c r="C82" s="109"/>
      <c r="D82" s="110"/>
      <c r="E82" s="110"/>
      <c r="F82" s="111">
        <v>1</v>
      </c>
      <c r="G82" s="111">
        <v>23195</v>
      </c>
      <c r="H82" s="112">
        <f>G82*F82/1000</f>
        <v>23.195</v>
      </c>
      <c r="I82" s="79">
        <f>G82</f>
        <v>23195</v>
      </c>
      <c r="J82" s="22"/>
      <c r="L82" s="18"/>
      <c r="M82" s="19"/>
      <c r="N82" s="20"/>
    </row>
    <row r="83" spans="1:14" ht="19.5" hidden="1" customHeight="1">
      <c r="A83" s="49"/>
      <c r="B83" s="113" t="s">
        <v>147</v>
      </c>
      <c r="C83" s="15"/>
      <c r="D83" s="13"/>
      <c r="E83" s="13"/>
      <c r="F83" s="12">
        <v>69</v>
      </c>
      <c r="G83" s="12">
        <v>700</v>
      </c>
      <c r="H83" s="75">
        <f>G83*F83/1000</f>
        <v>48.3</v>
      </c>
      <c r="I83" s="114">
        <v>0</v>
      </c>
      <c r="J83" s="22"/>
      <c r="L83" s="18"/>
      <c r="M83" s="19"/>
      <c r="N83" s="20"/>
    </row>
    <row r="84" spans="1:14" ht="15.75" customHeight="1">
      <c r="A84" s="192" t="s">
        <v>118</v>
      </c>
      <c r="B84" s="200"/>
      <c r="C84" s="200"/>
      <c r="D84" s="200"/>
      <c r="E84" s="200"/>
      <c r="F84" s="200"/>
      <c r="G84" s="200"/>
      <c r="H84" s="200"/>
      <c r="I84" s="201"/>
      <c r="J84" s="22"/>
      <c r="L84" s="18"/>
      <c r="M84" s="19"/>
      <c r="N84" s="20"/>
    </row>
    <row r="85" spans="1:14" ht="15.75" customHeight="1">
      <c r="A85" s="99">
        <v>17</v>
      </c>
      <c r="B85" s="32" t="s">
        <v>112</v>
      </c>
      <c r="C85" s="37" t="s">
        <v>52</v>
      </c>
      <c r="D85" s="162"/>
      <c r="E85" s="34">
        <v>3181</v>
      </c>
      <c r="F85" s="34">
        <f>SUM(E85*12)</f>
        <v>38172</v>
      </c>
      <c r="G85" s="34">
        <v>3.5</v>
      </c>
      <c r="H85" s="105">
        <f>SUM(F85*G85/1000)</f>
        <v>133.602</v>
      </c>
      <c r="I85" s="100">
        <f>F85/12*G85</f>
        <v>11133.5</v>
      </c>
      <c r="J85" s="22"/>
      <c r="L85" s="18"/>
      <c r="M85" s="19"/>
      <c r="N85" s="20"/>
    </row>
    <row r="86" spans="1:14" ht="31.5" customHeight="1">
      <c r="A86" s="26">
        <v>18</v>
      </c>
      <c r="B86" s="36" t="s">
        <v>181</v>
      </c>
      <c r="C86" s="37" t="s">
        <v>152</v>
      </c>
      <c r="D86" s="163"/>
      <c r="E86" s="106">
        <f>E85</f>
        <v>3181</v>
      </c>
      <c r="F86" s="34">
        <f>E86*12</f>
        <v>38172</v>
      </c>
      <c r="G86" s="34">
        <v>3.2</v>
      </c>
      <c r="H86" s="75">
        <f>F86*G86/1000</f>
        <v>122.1504</v>
      </c>
      <c r="I86" s="12">
        <f>F86/12*G86</f>
        <v>10179.200000000001</v>
      </c>
      <c r="J86" s="22"/>
      <c r="L86" s="18"/>
      <c r="M86" s="19"/>
      <c r="N86" s="20"/>
    </row>
    <row r="87" spans="1:14" ht="15.75" customHeight="1">
      <c r="A87" s="49"/>
      <c r="B87" s="38" t="s">
        <v>71</v>
      </c>
      <c r="C87" s="15"/>
      <c r="D87" s="45"/>
      <c r="E87" s="12"/>
      <c r="F87" s="12"/>
      <c r="G87" s="12"/>
      <c r="H87" s="75">
        <f>H86</f>
        <v>122.1504</v>
      </c>
      <c r="I87" s="66">
        <f>I86+I85+I78+I71+I61+I57+I54+I53+I49+I43+I40+I39+I37+I36+I26+I18+I17+I16</f>
        <v>86904.640494666688</v>
      </c>
      <c r="J87" s="22"/>
      <c r="L87" s="18"/>
      <c r="M87" s="19"/>
      <c r="N87" s="20"/>
    </row>
    <row r="88" spans="1:14" ht="15.75" customHeight="1">
      <c r="A88" s="202" t="s">
        <v>56</v>
      </c>
      <c r="B88" s="203"/>
      <c r="C88" s="203"/>
      <c r="D88" s="203"/>
      <c r="E88" s="203"/>
      <c r="F88" s="203"/>
      <c r="G88" s="203"/>
      <c r="H88" s="203"/>
      <c r="I88" s="204"/>
      <c r="J88" s="22"/>
      <c r="L88" s="18"/>
      <c r="M88" s="19"/>
      <c r="N88" s="20"/>
    </row>
    <row r="89" spans="1:14" ht="15.75" customHeight="1">
      <c r="A89" s="26">
        <v>19</v>
      </c>
      <c r="B89" s="173" t="s">
        <v>198</v>
      </c>
      <c r="C89" s="26" t="s">
        <v>114</v>
      </c>
      <c r="D89" s="163" t="s">
        <v>217</v>
      </c>
      <c r="E89" s="34"/>
      <c r="F89" s="34">
        <v>5.5</v>
      </c>
      <c r="G89" s="34">
        <v>4402.3500000000004</v>
      </c>
      <c r="H89" s="12"/>
      <c r="I89" s="12">
        <f>G89*3.5</f>
        <v>15408.225000000002</v>
      </c>
      <c r="J89" s="22"/>
      <c r="L89" s="18"/>
      <c r="M89" s="19"/>
      <c r="N89" s="20"/>
    </row>
    <row r="90" spans="1:14" ht="19.5" customHeight="1">
      <c r="A90" s="26">
        <v>20</v>
      </c>
      <c r="B90" s="121" t="s">
        <v>208</v>
      </c>
      <c r="C90" s="122" t="s">
        <v>90</v>
      </c>
      <c r="D90" s="163" t="s">
        <v>219</v>
      </c>
      <c r="E90" s="34"/>
      <c r="F90" s="34">
        <v>1</v>
      </c>
      <c r="G90" s="34">
        <v>362.5</v>
      </c>
      <c r="H90" s="105"/>
      <c r="I90" s="12">
        <f>G90*1</f>
        <v>362.5</v>
      </c>
      <c r="J90" s="22"/>
      <c r="L90" s="18"/>
      <c r="M90" s="19"/>
      <c r="N90" s="20"/>
    </row>
    <row r="91" spans="1:14" ht="18" customHeight="1">
      <c r="A91" s="26">
        <v>21</v>
      </c>
      <c r="B91" s="174" t="s">
        <v>209</v>
      </c>
      <c r="C91" s="165" t="s">
        <v>90</v>
      </c>
      <c r="D91" s="163"/>
      <c r="E91" s="34"/>
      <c r="F91" s="34">
        <v>14</v>
      </c>
      <c r="G91" s="34">
        <v>192.52</v>
      </c>
      <c r="H91" s="105"/>
      <c r="I91" s="12">
        <f>G91*14</f>
        <v>2695.28</v>
      </c>
      <c r="J91" s="22"/>
      <c r="L91" s="18"/>
      <c r="M91" s="19"/>
      <c r="N91" s="20"/>
    </row>
    <row r="92" spans="1:14" ht="19.5" customHeight="1">
      <c r="A92" s="26">
        <v>22</v>
      </c>
      <c r="B92" s="174" t="s">
        <v>210</v>
      </c>
      <c r="C92" s="165" t="s">
        <v>90</v>
      </c>
      <c r="D92" s="163" t="s">
        <v>218</v>
      </c>
      <c r="E92" s="34"/>
      <c r="F92" s="34">
        <v>14</v>
      </c>
      <c r="G92" s="34">
        <v>1775.2</v>
      </c>
      <c r="H92" s="105"/>
      <c r="I92" s="12">
        <f>G92*14</f>
        <v>24852.799999999999</v>
      </c>
      <c r="J92" s="22"/>
      <c r="L92" s="18"/>
      <c r="M92" s="19"/>
      <c r="N92" s="20"/>
    </row>
    <row r="93" spans="1:14" ht="18" customHeight="1">
      <c r="A93" s="26">
        <v>23</v>
      </c>
      <c r="B93" s="121" t="s">
        <v>211</v>
      </c>
      <c r="C93" s="122" t="s">
        <v>212</v>
      </c>
      <c r="D93" s="163"/>
      <c r="E93" s="34"/>
      <c r="F93" s="34">
        <v>0.15</v>
      </c>
      <c r="G93" s="34">
        <v>8968.52</v>
      </c>
      <c r="H93" s="105"/>
      <c r="I93" s="12">
        <f>G93*0.15</f>
        <v>1345.278</v>
      </c>
      <c r="J93" s="22"/>
      <c r="L93" s="18"/>
      <c r="M93" s="19"/>
      <c r="N93" s="20"/>
    </row>
    <row r="94" spans="1:14" ht="33.75" customHeight="1">
      <c r="A94" s="26">
        <v>24</v>
      </c>
      <c r="B94" s="121" t="s">
        <v>213</v>
      </c>
      <c r="C94" s="122" t="s">
        <v>214</v>
      </c>
      <c r="D94" s="36" t="s">
        <v>216</v>
      </c>
      <c r="E94" s="34"/>
      <c r="F94" s="34">
        <v>2</v>
      </c>
      <c r="G94" s="34">
        <v>64.040000000000006</v>
      </c>
      <c r="H94" s="105"/>
      <c r="I94" s="12">
        <f>G94*2</f>
        <v>128.08000000000001</v>
      </c>
      <c r="J94" s="22"/>
      <c r="L94" s="18"/>
      <c r="M94" s="19"/>
      <c r="N94" s="20"/>
    </row>
    <row r="95" spans="1:14" ht="15.75" customHeight="1">
      <c r="A95" s="26">
        <v>25</v>
      </c>
      <c r="B95" s="121" t="s">
        <v>72</v>
      </c>
      <c r="C95" s="122" t="s">
        <v>90</v>
      </c>
      <c r="D95" s="163"/>
      <c r="E95" s="34"/>
      <c r="F95" s="34">
        <v>7</v>
      </c>
      <c r="G95" s="34">
        <v>224.48</v>
      </c>
      <c r="H95" s="105"/>
      <c r="I95" s="12">
        <f>G95*5</f>
        <v>1122.3999999999999</v>
      </c>
      <c r="J95" s="22"/>
      <c r="L95" s="18"/>
      <c r="M95" s="19"/>
      <c r="N95" s="20"/>
    </row>
    <row r="96" spans="1:14" ht="15.75" customHeight="1">
      <c r="A96" s="26"/>
      <c r="B96" s="27" t="s">
        <v>49</v>
      </c>
      <c r="C96" s="40"/>
      <c r="D96" s="46"/>
      <c r="E96" s="40">
        <v>1</v>
      </c>
      <c r="F96" s="40"/>
      <c r="G96" s="40"/>
      <c r="H96" s="40"/>
      <c r="I96" s="30">
        <f>SUM(I89:I95)</f>
        <v>45914.563000000002</v>
      </c>
      <c r="J96" s="22"/>
      <c r="L96" s="18"/>
      <c r="M96" s="19"/>
      <c r="N96" s="20"/>
    </row>
    <row r="97" spans="1:22" ht="15.75" customHeight="1">
      <c r="A97" s="26"/>
      <c r="B97" s="45" t="s">
        <v>70</v>
      </c>
      <c r="C97" s="14"/>
      <c r="D97" s="14"/>
      <c r="E97" s="41"/>
      <c r="F97" s="41"/>
      <c r="G97" s="42"/>
      <c r="H97" s="42"/>
      <c r="I97" s="16">
        <v>0</v>
      </c>
      <c r="J97" s="22"/>
      <c r="L97" s="18"/>
      <c r="M97" s="19"/>
      <c r="N97" s="20"/>
    </row>
    <row r="98" spans="1:22" ht="15.75" customHeight="1">
      <c r="A98" s="47"/>
      <c r="B98" s="44" t="s">
        <v>137</v>
      </c>
      <c r="C98" s="33"/>
      <c r="D98" s="33"/>
      <c r="E98" s="33"/>
      <c r="F98" s="33"/>
      <c r="G98" s="33"/>
      <c r="H98" s="33"/>
      <c r="I98" s="43">
        <f>I87+I96</f>
        <v>132819.2034946667</v>
      </c>
      <c r="J98" s="22"/>
      <c r="L98" s="18"/>
      <c r="M98" s="19"/>
      <c r="N98" s="20"/>
    </row>
    <row r="99" spans="1:22" ht="15.75" customHeight="1">
      <c r="A99" s="191" t="s">
        <v>220</v>
      </c>
      <c r="B99" s="191"/>
      <c r="C99" s="191"/>
      <c r="D99" s="191"/>
      <c r="E99" s="191"/>
      <c r="F99" s="191"/>
      <c r="G99" s="191"/>
      <c r="H99" s="191"/>
      <c r="I99" s="191"/>
      <c r="J99" s="22"/>
      <c r="L99" s="18"/>
      <c r="M99" s="19"/>
      <c r="N99" s="20"/>
    </row>
    <row r="100" spans="1:22" ht="15.75" customHeight="1">
      <c r="A100" s="8"/>
      <c r="B100" s="205" t="s">
        <v>221</v>
      </c>
      <c r="C100" s="205"/>
      <c r="D100" s="205"/>
      <c r="E100" s="205"/>
      <c r="F100" s="205"/>
      <c r="G100" s="205"/>
      <c r="H100" s="115"/>
      <c r="I100" s="3"/>
      <c r="J100" s="22"/>
      <c r="L100" s="18"/>
      <c r="M100" s="19"/>
      <c r="N100" s="20"/>
    </row>
    <row r="101" spans="1:22" ht="15.75" customHeight="1">
      <c r="A101" s="117"/>
      <c r="B101" s="206" t="s">
        <v>5</v>
      </c>
      <c r="C101" s="206"/>
      <c r="D101" s="206"/>
      <c r="E101" s="206"/>
      <c r="F101" s="206"/>
      <c r="G101" s="206"/>
      <c r="H101" s="23"/>
      <c r="I101" s="5"/>
      <c r="J101" s="22"/>
      <c r="K101" s="22"/>
      <c r="L101" s="22"/>
      <c r="M101" s="19"/>
      <c r="N101" s="20"/>
    </row>
    <row r="102" spans="1:2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22"/>
      <c r="K102" s="22"/>
      <c r="L102" s="22"/>
      <c r="M102" s="19"/>
      <c r="N102" s="20"/>
    </row>
    <row r="103" spans="1:22" ht="15.75" customHeight="1">
      <c r="A103" s="207" t="s">
        <v>6</v>
      </c>
      <c r="B103" s="207"/>
      <c r="C103" s="207"/>
      <c r="D103" s="207"/>
      <c r="E103" s="207"/>
      <c r="F103" s="207"/>
      <c r="G103" s="207"/>
      <c r="H103" s="207"/>
      <c r="I103" s="207"/>
      <c r="J103" s="22"/>
      <c r="K103" s="22"/>
      <c r="L103" s="22"/>
    </row>
    <row r="104" spans="1:22" ht="15.75" customHeight="1">
      <c r="A104" s="207" t="s">
        <v>7</v>
      </c>
      <c r="B104" s="207"/>
      <c r="C104" s="207"/>
      <c r="D104" s="207"/>
      <c r="E104" s="207"/>
      <c r="F104" s="207"/>
      <c r="G104" s="207"/>
      <c r="H104" s="207"/>
      <c r="I104" s="207"/>
      <c r="J104" s="22"/>
      <c r="K104" s="22"/>
      <c r="L104" s="22"/>
    </row>
    <row r="105" spans="1:22" ht="15.75" customHeight="1">
      <c r="A105" s="191" t="s">
        <v>8</v>
      </c>
      <c r="B105" s="191"/>
      <c r="C105" s="191"/>
      <c r="D105" s="191"/>
      <c r="E105" s="191"/>
      <c r="F105" s="191"/>
      <c r="G105" s="191"/>
      <c r="H105" s="191"/>
      <c r="I105" s="191"/>
    </row>
    <row r="106" spans="1:22" ht="15.75" customHeight="1">
      <c r="A106" s="1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"/>
    </row>
    <row r="107" spans="1:22" ht="15.75" customHeight="1">
      <c r="A107" s="209" t="s">
        <v>9</v>
      </c>
      <c r="B107" s="209"/>
      <c r="C107" s="209"/>
      <c r="D107" s="209"/>
      <c r="E107" s="209"/>
      <c r="F107" s="209"/>
      <c r="G107" s="209"/>
      <c r="H107" s="209"/>
      <c r="I107" s="209"/>
      <c r="J107" s="24"/>
      <c r="K107" s="24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2" ht="15.75" customHeight="1">
      <c r="A108" s="4"/>
      <c r="J108" s="3"/>
      <c r="K108" s="3"/>
      <c r="L108" s="3"/>
      <c r="M108" s="3"/>
      <c r="N108" s="3"/>
      <c r="O108" s="3"/>
      <c r="P108" s="3"/>
      <c r="Q108" s="3"/>
      <c r="S108" s="3"/>
      <c r="T108" s="3"/>
      <c r="U108" s="3"/>
    </row>
    <row r="109" spans="1:22" ht="15.75" customHeight="1">
      <c r="A109" s="191" t="s">
        <v>10</v>
      </c>
      <c r="B109" s="191"/>
      <c r="C109" s="210" t="s">
        <v>187</v>
      </c>
      <c r="D109" s="210"/>
      <c r="E109" s="210"/>
      <c r="F109" s="57"/>
      <c r="I109" s="120"/>
      <c r="J109" s="5"/>
      <c r="K109" s="5"/>
      <c r="L109" s="5"/>
      <c r="M109" s="5"/>
      <c r="N109" s="5"/>
      <c r="O109" s="5"/>
      <c r="P109" s="5"/>
      <c r="Q109" s="5"/>
      <c r="R109" s="211"/>
      <c r="S109" s="211"/>
      <c r="T109" s="211"/>
      <c r="U109" s="211"/>
    </row>
    <row r="110" spans="1:22" ht="15.75" customHeight="1">
      <c r="A110" s="117"/>
      <c r="C110" s="206" t="s">
        <v>11</v>
      </c>
      <c r="D110" s="206"/>
      <c r="E110" s="206"/>
      <c r="F110" s="23"/>
      <c r="I110" s="118" t="s">
        <v>12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2" ht="15.75" customHeight="1">
      <c r="A111" s="24"/>
      <c r="C111" s="11"/>
      <c r="D111" s="11"/>
      <c r="G111" s="11"/>
      <c r="H111" s="11"/>
    </row>
    <row r="112" spans="1:22" ht="15.75" customHeight="1">
      <c r="A112" s="191" t="s">
        <v>13</v>
      </c>
      <c r="B112" s="191"/>
      <c r="C112" s="212"/>
      <c r="D112" s="212"/>
      <c r="E112" s="212"/>
      <c r="F112" s="58"/>
      <c r="I112" s="120"/>
    </row>
    <row r="113" spans="1:9" ht="15.75" customHeight="1">
      <c r="A113" s="117"/>
      <c r="C113" s="211" t="s">
        <v>11</v>
      </c>
      <c r="D113" s="211"/>
      <c r="E113" s="211"/>
      <c r="F113" s="117"/>
      <c r="I113" s="118" t="s">
        <v>12</v>
      </c>
    </row>
    <row r="114" spans="1:9" ht="15.75" customHeight="1">
      <c r="A114" s="4" t="s">
        <v>14</v>
      </c>
    </row>
    <row r="115" spans="1:9" ht="15" customHeight="1">
      <c r="A115" s="213" t="s">
        <v>15</v>
      </c>
      <c r="B115" s="213"/>
      <c r="C115" s="213"/>
      <c r="D115" s="213"/>
      <c r="E115" s="213"/>
      <c r="F115" s="213"/>
      <c r="G115" s="213"/>
      <c r="H115" s="213"/>
      <c r="I115" s="213"/>
    </row>
    <row r="116" spans="1:9" ht="45" customHeight="1">
      <c r="A116" s="208" t="s">
        <v>16</v>
      </c>
      <c r="B116" s="208"/>
      <c r="C116" s="208"/>
      <c r="D116" s="208"/>
      <c r="E116" s="208"/>
      <c r="F116" s="208"/>
      <c r="G116" s="208"/>
      <c r="H116" s="208"/>
      <c r="I116" s="208"/>
    </row>
    <row r="117" spans="1:9" ht="30" customHeight="1">
      <c r="A117" s="208" t="s">
        <v>17</v>
      </c>
      <c r="B117" s="208"/>
      <c r="C117" s="208"/>
      <c r="D117" s="208"/>
      <c r="E117" s="208"/>
      <c r="F117" s="208"/>
      <c r="G117" s="208"/>
      <c r="H117" s="208"/>
      <c r="I117" s="208"/>
    </row>
    <row r="118" spans="1:9" ht="30" customHeight="1">
      <c r="A118" s="208" t="s">
        <v>21</v>
      </c>
      <c r="B118" s="208"/>
      <c r="C118" s="208"/>
      <c r="D118" s="208"/>
      <c r="E118" s="208"/>
      <c r="F118" s="208"/>
      <c r="G118" s="208"/>
      <c r="H118" s="208"/>
      <c r="I118" s="208"/>
    </row>
    <row r="119" spans="1:9" ht="15" customHeight="1">
      <c r="A119" s="208" t="s">
        <v>20</v>
      </c>
      <c r="B119" s="208"/>
      <c r="C119" s="208"/>
      <c r="D119" s="208"/>
      <c r="E119" s="208"/>
      <c r="F119" s="208"/>
      <c r="G119" s="208"/>
      <c r="H119" s="208"/>
      <c r="I119" s="208"/>
    </row>
  </sheetData>
  <autoFilter ref="I12:I105"/>
  <mergeCells count="31">
    <mergeCell ref="A119:I119"/>
    <mergeCell ref="A107:I107"/>
    <mergeCell ref="A109:B109"/>
    <mergeCell ref="C109:E109"/>
    <mergeCell ref="R109:U109"/>
    <mergeCell ref="C110:E110"/>
    <mergeCell ref="A112:B112"/>
    <mergeCell ref="C112:E112"/>
    <mergeCell ref="C113:E113"/>
    <mergeCell ref="A115:I115"/>
    <mergeCell ref="A116:I116"/>
    <mergeCell ref="A117:I117"/>
    <mergeCell ref="A118:I118"/>
    <mergeCell ref="A105:I105"/>
    <mergeCell ref="A15:I15"/>
    <mergeCell ref="A27:I27"/>
    <mergeCell ref="A44:I44"/>
    <mergeCell ref="A55:I55"/>
    <mergeCell ref="A84:I84"/>
    <mergeCell ref="A88:I88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5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153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222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128"/>
      <c r="C6" s="128"/>
      <c r="D6" s="128"/>
      <c r="E6" s="128"/>
      <c r="F6" s="128"/>
      <c r="G6" s="128"/>
      <c r="H6" s="128"/>
      <c r="I6" s="29">
        <v>44286</v>
      </c>
      <c r="J6" s="2"/>
      <c r="K6" s="2"/>
      <c r="L6" s="2"/>
      <c r="M6" s="2"/>
    </row>
    <row r="7" spans="1:15" ht="15.75">
      <c r="B7" s="124"/>
      <c r="C7" s="124"/>
      <c r="D7" s="124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5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hidden="1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6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hidden="1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si="1"/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si="1"/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hidden="1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hidden="1" customHeight="1">
      <c r="A29" s="99">
        <v>6</v>
      </c>
      <c r="B29" s="51" t="s">
        <v>131</v>
      </c>
      <c r="C29" s="59" t="s">
        <v>89</v>
      </c>
      <c r="D29" s="51" t="s">
        <v>134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5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132</v>
      </c>
      <c r="C30" s="59" t="s">
        <v>89</v>
      </c>
      <c r="D30" s="51" t="s">
        <v>135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5"/>
        <v>2.4341709599999999</v>
      </c>
      <c r="I30" s="12">
        <f t="shared" ref="I30:I32" si="6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5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133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5"/>
        <v>3.841416666666666</v>
      </c>
      <c r="I32" s="12">
        <f t="shared" si="6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5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4"/>
      <c r="B34" s="51" t="s">
        <v>100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5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1"/>
      <c r="B35" s="55" t="s">
        <v>4</v>
      </c>
      <c r="C35" s="103"/>
      <c r="D35" s="103"/>
      <c r="E35" s="103"/>
      <c r="F35" s="103"/>
      <c r="G35" s="103"/>
      <c r="H35" s="103"/>
      <c r="I35" s="103"/>
      <c r="J35" s="21"/>
      <c r="K35" s="6"/>
      <c r="L35" s="6"/>
      <c r="M35" s="6"/>
    </row>
    <row r="36" spans="1:14" ht="15.75" customHeight="1">
      <c r="A36" s="99">
        <v>4</v>
      </c>
      <c r="B36" s="51" t="s">
        <v>25</v>
      </c>
      <c r="C36" s="59" t="s">
        <v>29</v>
      </c>
      <c r="D36" s="51" t="s">
        <v>223</v>
      </c>
      <c r="E36" s="60"/>
      <c r="F36" s="61">
        <v>3</v>
      </c>
      <c r="G36" s="171">
        <v>1930</v>
      </c>
      <c r="H36" s="62">
        <f t="shared" ref="H36:H42" si="7">SUM(F36*G36/1000)</f>
        <v>5.79</v>
      </c>
      <c r="I36" s="12">
        <f>G36*3</f>
        <v>5790</v>
      </c>
      <c r="J36" s="21"/>
      <c r="K36" s="6"/>
      <c r="L36" s="6"/>
      <c r="M36" s="6"/>
    </row>
    <row r="37" spans="1:14" ht="15.75" customHeight="1">
      <c r="A37" s="26">
        <v>5</v>
      </c>
      <c r="B37" s="167" t="s">
        <v>138</v>
      </c>
      <c r="C37" s="168" t="s">
        <v>27</v>
      </c>
      <c r="D37" s="32" t="s">
        <v>163</v>
      </c>
      <c r="E37" s="106">
        <v>92</v>
      </c>
      <c r="F37" s="169">
        <f>E37*30/1000</f>
        <v>2.76</v>
      </c>
      <c r="G37" s="31">
        <v>3134.93</v>
      </c>
      <c r="H37" s="62">
        <f>G37*F37/1000</f>
        <v>8.6524067999999996</v>
      </c>
      <c r="I37" s="12">
        <f>F37/6*G37</f>
        <v>1442.0677999999998</v>
      </c>
      <c r="J37" s="21"/>
      <c r="K37" s="6"/>
      <c r="L37" s="6"/>
      <c r="M37" s="6"/>
    </row>
    <row r="38" spans="1:14" ht="15.75" hidden="1" customHeight="1">
      <c r="A38" s="26">
        <v>8</v>
      </c>
      <c r="B38" s="32" t="s">
        <v>102</v>
      </c>
      <c r="C38" s="39" t="s">
        <v>103</v>
      </c>
      <c r="D38" s="32" t="s">
        <v>180</v>
      </c>
      <c r="E38" s="106"/>
      <c r="F38" s="169">
        <v>52</v>
      </c>
      <c r="G38" s="31">
        <v>330</v>
      </c>
      <c r="H38" s="62">
        <f>G38*F38/1000</f>
        <v>17.16</v>
      </c>
      <c r="I38" s="12">
        <f t="shared" ref="I38:I40" si="8">F38/6*G38</f>
        <v>2860</v>
      </c>
      <c r="J38" s="21"/>
      <c r="K38" s="6"/>
    </row>
    <row r="39" spans="1:14" ht="15.75" customHeight="1">
      <c r="A39" s="26">
        <v>6</v>
      </c>
      <c r="B39" s="32" t="s">
        <v>61</v>
      </c>
      <c r="C39" s="39" t="s">
        <v>27</v>
      </c>
      <c r="D39" s="32" t="s">
        <v>164</v>
      </c>
      <c r="E39" s="31">
        <f>E37</f>
        <v>92</v>
      </c>
      <c r="F39" s="169">
        <f>SUM(E39*155/1000)</f>
        <v>14.26</v>
      </c>
      <c r="G39" s="31">
        <v>522.92999999999995</v>
      </c>
      <c r="H39" s="62">
        <f t="shared" si="7"/>
        <v>7.4569817999999994</v>
      </c>
      <c r="I39" s="12">
        <f t="shared" si="8"/>
        <v>1242.8302999999999</v>
      </c>
      <c r="J39" s="22"/>
    </row>
    <row r="40" spans="1:14" ht="48" customHeight="1">
      <c r="A40" s="26">
        <v>7</v>
      </c>
      <c r="B40" s="32" t="s">
        <v>73</v>
      </c>
      <c r="C40" s="39" t="s">
        <v>89</v>
      </c>
      <c r="D40" s="32" t="s">
        <v>163</v>
      </c>
      <c r="E40" s="31">
        <v>92</v>
      </c>
      <c r="F40" s="169">
        <f>SUM(E40*35/1000)</f>
        <v>3.22</v>
      </c>
      <c r="G40" s="31">
        <v>8652.07</v>
      </c>
      <c r="H40" s="62">
        <f t="shared" si="7"/>
        <v>27.859665400000001</v>
      </c>
      <c r="I40" s="12">
        <f t="shared" si="8"/>
        <v>4643.2775666666676</v>
      </c>
      <c r="J40" s="22"/>
    </row>
    <row r="41" spans="1:14" ht="15.75" customHeight="1">
      <c r="A41" s="26">
        <v>8</v>
      </c>
      <c r="B41" s="32" t="s">
        <v>105</v>
      </c>
      <c r="C41" s="39" t="s">
        <v>89</v>
      </c>
      <c r="D41" s="32" t="s">
        <v>224</v>
      </c>
      <c r="E41" s="31">
        <f>E37</f>
        <v>92</v>
      </c>
      <c r="F41" s="169">
        <f>SUM(E41*20/1000)</f>
        <v>1.84</v>
      </c>
      <c r="G41" s="31">
        <v>639.14</v>
      </c>
      <c r="H41" s="62">
        <f t="shared" si="7"/>
        <v>1.1760176000000002</v>
      </c>
      <c r="I41" s="12">
        <f>G41*F41/20*2</f>
        <v>117.60176000000001</v>
      </c>
      <c r="J41" s="22"/>
    </row>
    <row r="42" spans="1:14" ht="15.75" customHeight="1">
      <c r="A42" s="26">
        <v>9</v>
      </c>
      <c r="B42" s="167" t="s">
        <v>62</v>
      </c>
      <c r="C42" s="168" t="s">
        <v>30</v>
      </c>
      <c r="D42" s="167"/>
      <c r="E42" s="149"/>
      <c r="F42" s="169">
        <v>0.8</v>
      </c>
      <c r="G42" s="169">
        <v>900</v>
      </c>
      <c r="H42" s="62">
        <f t="shared" si="7"/>
        <v>0.72</v>
      </c>
      <c r="I42" s="12">
        <f>G42*F42/20*2</f>
        <v>72</v>
      </c>
      <c r="J42" s="22"/>
    </row>
    <row r="43" spans="1:14" ht="30" customHeight="1">
      <c r="A43" s="166">
        <v>10</v>
      </c>
      <c r="B43" s="167" t="s">
        <v>190</v>
      </c>
      <c r="C43" s="168" t="s">
        <v>27</v>
      </c>
      <c r="D43" s="167" t="s">
        <v>161</v>
      </c>
      <c r="E43" s="149">
        <v>3</v>
      </c>
      <c r="F43" s="169">
        <f>E43*12/1000</f>
        <v>3.5999999999999997E-2</v>
      </c>
      <c r="G43" s="169">
        <v>20547.34</v>
      </c>
      <c r="H43" s="56"/>
      <c r="I43" s="12">
        <f>G43*F43/6</f>
        <v>123.28403999999999</v>
      </c>
      <c r="J43" s="22"/>
    </row>
    <row r="44" spans="1:14" ht="15.75" hidden="1" customHeight="1">
      <c r="A44" s="195" t="s">
        <v>116</v>
      </c>
      <c r="B44" s="196"/>
      <c r="C44" s="196"/>
      <c r="D44" s="196"/>
      <c r="E44" s="196"/>
      <c r="F44" s="196"/>
      <c r="G44" s="196"/>
      <c r="H44" s="196"/>
      <c r="I44" s="197"/>
      <c r="J44" s="22"/>
      <c r="L44" s="18"/>
      <c r="M44" s="19"/>
      <c r="N44" s="20"/>
    </row>
    <row r="45" spans="1:14" ht="15.75" hidden="1" customHeight="1">
      <c r="A45" s="26">
        <v>11</v>
      </c>
      <c r="B45" s="32" t="s">
        <v>106</v>
      </c>
      <c r="C45" s="39" t="s">
        <v>89</v>
      </c>
      <c r="D45" s="32" t="s">
        <v>39</v>
      </c>
      <c r="E45" s="106">
        <v>1114.25</v>
      </c>
      <c r="F45" s="31">
        <f>SUM(E45*2/1000)</f>
        <v>2.2284999999999999</v>
      </c>
      <c r="G45" s="34">
        <v>1193.71</v>
      </c>
      <c r="H45" s="107">
        <f t="shared" ref="H45:H54" si="9">SUM(F45*G45/1000)</f>
        <v>2.6601827349999998</v>
      </c>
      <c r="I45" s="12">
        <f t="shared" ref="I45:I47" si="10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2" t="s">
        <v>33</v>
      </c>
      <c r="C46" s="39" t="s">
        <v>89</v>
      </c>
      <c r="D46" s="32" t="s">
        <v>39</v>
      </c>
      <c r="E46" s="106">
        <v>2631</v>
      </c>
      <c r="F46" s="31">
        <f>SUM(E46*2/1000)</f>
        <v>5.2619999999999996</v>
      </c>
      <c r="G46" s="34">
        <v>1803.69</v>
      </c>
      <c r="H46" s="107">
        <f t="shared" si="9"/>
        <v>9.4910167800000007</v>
      </c>
      <c r="I46" s="12">
        <f t="shared" si="10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2" t="s">
        <v>34</v>
      </c>
      <c r="C47" s="39" t="s">
        <v>89</v>
      </c>
      <c r="D47" s="32" t="s">
        <v>39</v>
      </c>
      <c r="E47" s="106">
        <v>1953.8</v>
      </c>
      <c r="F47" s="31">
        <f>SUM(E47*2/1000)</f>
        <v>3.9076</v>
      </c>
      <c r="G47" s="34">
        <v>1243.43</v>
      </c>
      <c r="H47" s="107">
        <f t="shared" si="9"/>
        <v>4.8588270680000001</v>
      </c>
      <c r="I47" s="12">
        <f t="shared" si="10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6">
        <v>91.84</v>
      </c>
      <c r="F48" s="31">
        <f>SUM(E48*2/100)</f>
        <v>1.8368</v>
      </c>
      <c r="G48" s="108">
        <v>1172.4100000000001</v>
      </c>
      <c r="H48" s="107">
        <f t="shared" si="9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12</v>
      </c>
      <c r="B49" s="32" t="s">
        <v>53</v>
      </c>
      <c r="C49" s="39" t="s">
        <v>89</v>
      </c>
      <c r="D49" s="32" t="s">
        <v>136</v>
      </c>
      <c r="E49" s="106">
        <v>3181</v>
      </c>
      <c r="F49" s="31">
        <f>SUM(E49*5/1000)</f>
        <v>15.904999999999999</v>
      </c>
      <c r="G49" s="34">
        <v>1083.69</v>
      </c>
      <c r="H49" s="107">
        <f t="shared" si="9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2" t="s">
        <v>107</v>
      </c>
      <c r="C50" s="39" t="s">
        <v>89</v>
      </c>
      <c r="D50" s="32" t="s">
        <v>39</v>
      </c>
      <c r="E50" s="106">
        <v>3181</v>
      </c>
      <c r="F50" s="31">
        <f>SUM(E50*2/1000)</f>
        <v>6.3620000000000001</v>
      </c>
      <c r="G50" s="34">
        <v>1591.6</v>
      </c>
      <c r="H50" s="107">
        <f t="shared" si="9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2" t="s">
        <v>108</v>
      </c>
      <c r="C51" s="39" t="s">
        <v>35</v>
      </c>
      <c r="D51" s="32" t="s">
        <v>39</v>
      </c>
      <c r="E51" s="106">
        <v>20</v>
      </c>
      <c r="F51" s="31">
        <f>SUM(E51*2/100)</f>
        <v>0.4</v>
      </c>
      <c r="G51" s="34">
        <v>4058.32</v>
      </c>
      <c r="H51" s="107">
        <f t="shared" si="9"/>
        <v>1.6233280000000001</v>
      </c>
      <c r="I51" s="12">
        <f t="shared" ref="I51:I52" si="11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36</v>
      </c>
      <c r="C52" s="39" t="s">
        <v>37</v>
      </c>
      <c r="D52" s="32" t="s">
        <v>39</v>
      </c>
      <c r="E52" s="106">
        <v>1</v>
      </c>
      <c r="F52" s="31">
        <v>0.02</v>
      </c>
      <c r="G52" s="34">
        <v>7412.92</v>
      </c>
      <c r="H52" s="107">
        <f t="shared" si="9"/>
        <v>0.14825839999999998</v>
      </c>
      <c r="I52" s="12">
        <f t="shared" si="11"/>
        <v>74.129199999999997</v>
      </c>
      <c r="J52" s="22"/>
      <c r="L52" s="18"/>
      <c r="M52" s="19"/>
      <c r="N52" s="20"/>
    </row>
    <row r="53" spans="1:14" ht="15.75" hidden="1" customHeight="1">
      <c r="A53" s="26">
        <v>13</v>
      </c>
      <c r="B53" s="32" t="s">
        <v>109</v>
      </c>
      <c r="C53" s="39" t="s">
        <v>90</v>
      </c>
      <c r="D53" s="32" t="s">
        <v>63</v>
      </c>
      <c r="E53" s="106">
        <v>70</v>
      </c>
      <c r="F53" s="31">
        <f>E53*3</f>
        <v>210</v>
      </c>
      <c r="G53" s="34">
        <v>185.08</v>
      </c>
      <c r="H53" s="107">
        <f t="shared" si="9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14</v>
      </c>
      <c r="B54" s="32" t="s">
        <v>38</v>
      </c>
      <c r="C54" s="39" t="s">
        <v>90</v>
      </c>
      <c r="D54" s="32" t="s">
        <v>63</v>
      </c>
      <c r="E54" s="106">
        <v>140</v>
      </c>
      <c r="F54" s="31">
        <f>E54*3</f>
        <v>420</v>
      </c>
      <c r="G54" s="35">
        <v>86.15</v>
      </c>
      <c r="H54" s="107">
        <f t="shared" si="9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95" t="s">
        <v>75</v>
      </c>
      <c r="B55" s="198"/>
      <c r="C55" s="198"/>
      <c r="D55" s="198"/>
      <c r="E55" s="198"/>
      <c r="F55" s="198"/>
      <c r="G55" s="198"/>
      <c r="H55" s="198"/>
      <c r="I55" s="199"/>
      <c r="J55" s="22"/>
      <c r="L55" s="18"/>
      <c r="M55" s="19"/>
      <c r="N55" s="20"/>
    </row>
    <row r="56" spans="1:14" ht="15.75" customHeight="1">
      <c r="A56" s="26"/>
      <c r="B56" s="80" t="s">
        <v>40</v>
      </c>
      <c r="C56" s="59"/>
      <c r="D56" s="51"/>
      <c r="E56" s="60"/>
      <c r="F56" s="61"/>
      <c r="G56" s="61"/>
      <c r="H56" s="62"/>
      <c r="I56" s="12"/>
      <c r="J56" s="22"/>
      <c r="L56" s="18"/>
      <c r="M56" s="19"/>
      <c r="N56" s="20"/>
    </row>
    <row r="57" spans="1:14" ht="31.5" customHeight="1">
      <c r="A57" s="26">
        <v>11</v>
      </c>
      <c r="B57" s="51" t="s">
        <v>110</v>
      </c>
      <c r="C57" s="59" t="s">
        <v>79</v>
      </c>
      <c r="D57" s="51"/>
      <c r="E57" s="60">
        <v>111.2</v>
      </c>
      <c r="F57" s="61">
        <f>SUM(E57*6/100)</f>
        <v>6.6720000000000006</v>
      </c>
      <c r="G57" s="137">
        <v>2306.83</v>
      </c>
      <c r="H57" s="62">
        <f>SUM(F57*G57/1000)</f>
        <v>15.39116976</v>
      </c>
      <c r="I57" s="12">
        <f>G57*1.58</f>
        <v>3644.7914000000001</v>
      </c>
      <c r="J57" s="22"/>
      <c r="L57" s="18"/>
      <c r="M57" s="19"/>
      <c r="N57" s="20"/>
    </row>
    <row r="58" spans="1:14" ht="15.75" customHeight="1">
      <c r="A58" s="26">
        <v>12</v>
      </c>
      <c r="B58" s="70" t="s">
        <v>113</v>
      </c>
      <c r="C58" s="69" t="s">
        <v>114</v>
      </c>
      <c r="D58" s="13" t="s">
        <v>225</v>
      </c>
      <c r="E58" s="71"/>
      <c r="F58" s="72">
        <v>3</v>
      </c>
      <c r="G58" s="137">
        <v>1800</v>
      </c>
      <c r="H58" s="62">
        <f>SUM(F58*G58/1000)</f>
        <v>5.4</v>
      </c>
      <c r="I58" s="12">
        <f>G58*2.5</f>
        <v>4500</v>
      </c>
      <c r="J58" s="22"/>
      <c r="L58" s="18"/>
      <c r="M58" s="19"/>
      <c r="N58" s="20"/>
    </row>
    <row r="59" spans="1:14" ht="15.75" customHeight="1">
      <c r="A59" s="26"/>
      <c r="B59" s="81" t="s">
        <v>41</v>
      </c>
      <c r="C59" s="69"/>
      <c r="D59" s="70"/>
      <c r="E59" s="71"/>
      <c r="F59" s="72"/>
      <c r="G59" s="12"/>
      <c r="H59" s="73"/>
      <c r="I59" s="12"/>
      <c r="J59" s="22"/>
      <c r="L59" s="18"/>
      <c r="M59" s="19"/>
      <c r="N59" s="20"/>
    </row>
    <row r="60" spans="1:14" ht="15.75" customHeight="1">
      <c r="A60" s="26">
        <v>13</v>
      </c>
      <c r="B60" s="53" t="s">
        <v>42</v>
      </c>
      <c r="C60" s="155" t="s">
        <v>50</v>
      </c>
      <c r="D60" s="53" t="s">
        <v>226</v>
      </c>
      <c r="E60" s="156">
        <v>222.85</v>
      </c>
      <c r="F60" s="157">
        <f>E60/100</f>
        <v>2.2284999999999999</v>
      </c>
      <c r="G60" s="34">
        <v>1183.19</v>
      </c>
      <c r="H60" s="73">
        <f>F60*G60/1000</f>
        <v>2.636738915</v>
      </c>
      <c r="I60" s="12">
        <f>G60*F60</f>
        <v>2636.7389149999999</v>
      </c>
      <c r="J60" s="22"/>
      <c r="L60" s="18"/>
      <c r="M60" s="19"/>
      <c r="N60" s="20"/>
    </row>
    <row r="61" spans="1:14" ht="15.75" customHeight="1">
      <c r="A61" s="26">
        <v>14</v>
      </c>
      <c r="B61" s="53" t="s">
        <v>151</v>
      </c>
      <c r="C61" s="155" t="s">
        <v>152</v>
      </c>
      <c r="D61" s="53" t="s">
        <v>166</v>
      </c>
      <c r="E61" s="156">
        <v>48</v>
      </c>
      <c r="F61" s="157">
        <f>E61*12/1</f>
        <v>576</v>
      </c>
      <c r="G61" s="158">
        <v>1.4</v>
      </c>
      <c r="H61" s="73"/>
      <c r="I61" s="12">
        <f>G61*F61/12</f>
        <v>67.2</v>
      </c>
      <c r="J61" s="22"/>
      <c r="L61" s="18"/>
      <c r="M61" s="19"/>
      <c r="N61" s="20"/>
    </row>
    <row r="62" spans="1:14" ht="15.75" customHeight="1">
      <c r="A62" s="26"/>
      <c r="B62" s="81" t="s">
        <v>43</v>
      </c>
      <c r="C62" s="69"/>
      <c r="D62" s="70"/>
      <c r="E62" s="71"/>
      <c r="F62" s="74"/>
      <c r="G62" s="74"/>
      <c r="H62" s="72" t="s">
        <v>98</v>
      </c>
      <c r="I62" s="12"/>
      <c r="J62" s="22"/>
      <c r="L62" s="18"/>
      <c r="M62" s="19"/>
      <c r="N62" s="20"/>
    </row>
    <row r="63" spans="1:14" ht="15.75" hidden="1" customHeight="1">
      <c r="A63" s="26">
        <v>14</v>
      </c>
      <c r="B63" s="13" t="s">
        <v>44</v>
      </c>
      <c r="C63" s="15" t="s">
        <v>90</v>
      </c>
      <c r="D63" s="13" t="s">
        <v>60</v>
      </c>
      <c r="E63" s="17">
        <v>4</v>
      </c>
      <c r="F63" s="61">
        <f>E63</f>
        <v>4</v>
      </c>
      <c r="G63" s="12">
        <v>291.68</v>
      </c>
      <c r="H63" s="75">
        <f t="shared" ref="H63:H71" si="12">SUM(F63*G63/1000)</f>
        <v>1.16672</v>
      </c>
      <c r="I63" s="12">
        <f>G63*9</f>
        <v>2625.12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45</v>
      </c>
      <c r="C64" s="15" t="s">
        <v>90</v>
      </c>
      <c r="D64" s="13" t="s">
        <v>60</v>
      </c>
      <c r="E64" s="17">
        <v>4</v>
      </c>
      <c r="F64" s="61">
        <f>E64</f>
        <v>4</v>
      </c>
      <c r="G64" s="12">
        <v>100.01</v>
      </c>
      <c r="H64" s="75">
        <f t="shared" si="12"/>
        <v>0.40004000000000001</v>
      </c>
      <c r="I64" s="12">
        <f t="shared" ref="I64:I69" si="13">G64*2</f>
        <v>200.02</v>
      </c>
      <c r="J64" s="22"/>
      <c r="L64" s="18"/>
      <c r="M64" s="19"/>
      <c r="N64" s="20"/>
    </row>
    <row r="65" spans="1:14" ht="15.75" hidden="1" customHeight="1">
      <c r="A65" s="26">
        <v>24</v>
      </c>
      <c r="B65" s="13" t="s">
        <v>46</v>
      </c>
      <c r="C65" s="15" t="s">
        <v>91</v>
      </c>
      <c r="D65" s="13" t="s">
        <v>51</v>
      </c>
      <c r="E65" s="60">
        <v>12702</v>
      </c>
      <c r="F65" s="12">
        <f>SUM(E65/100)</f>
        <v>127.02</v>
      </c>
      <c r="G65" s="12">
        <v>278.24</v>
      </c>
      <c r="H65" s="75">
        <f t="shared" si="12"/>
        <v>35.342044800000004</v>
      </c>
      <c r="I65" s="12">
        <f t="shared" si="13"/>
        <v>556.48</v>
      </c>
      <c r="J65" s="22"/>
      <c r="L65" s="18"/>
      <c r="M65" s="19"/>
      <c r="N65" s="20"/>
    </row>
    <row r="66" spans="1:14" ht="15.75" hidden="1" customHeight="1">
      <c r="A66" s="26">
        <v>25</v>
      </c>
      <c r="B66" s="13" t="s">
        <v>47</v>
      </c>
      <c r="C66" s="15" t="s">
        <v>92</v>
      </c>
      <c r="D66" s="13"/>
      <c r="E66" s="60">
        <v>12702</v>
      </c>
      <c r="F66" s="12">
        <f>SUM(E66/1000)</f>
        <v>12.702</v>
      </c>
      <c r="G66" s="12">
        <v>216.68</v>
      </c>
      <c r="H66" s="75">
        <f t="shared" si="12"/>
        <v>2.7522693600000001</v>
      </c>
      <c r="I66" s="12">
        <f t="shared" si="13"/>
        <v>433.36</v>
      </c>
      <c r="J66" s="22"/>
      <c r="L66" s="18"/>
      <c r="M66" s="19"/>
      <c r="N66" s="20"/>
    </row>
    <row r="67" spans="1:14" ht="15.75" hidden="1" customHeight="1">
      <c r="A67" s="26">
        <v>26</v>
      </c>
      <c r="B67" s="13" t="s">
        <v>48</v>
      </c>
      <c r="C67" s="15" t="s">
        <v>69</v>
      </c>
      <c r="D67" s="13" t="s">
        <v>51</v>
      </c>
      <c r="E67" s="60">
        <v>2200</v>
      </c>
      <c r="F67" s="12">
        <f>SUM(E67/100)</f>
        <v>22</v>
      </c>
      <c r="G67" s="12">
        <v>2720.94</v>
      </c>
      <c r="H67" s="75">
        <f t="shared" si="12"/>
        <v>59.860680000000002</v>
      </c>
      <c r="I67" s="12">
        <f t="shared" si="13"/>
        <v>5441.88</v>
      </c>
      <c r="J67" s="22"/>
      <c r="L67" s="18"/>
      <c r="M67" s="19"/>
      <c r="N67" s="20"/>
    </row>
    <row r="68" spans="1:14" ht="15.75" hidden="1" customHeight="1">
      <c r="A68" s="26">
        <v>27</v>
      </c>
      <c r="B68" s="76" t="s">
        <v>93</v>
      </c>
      <c r="C68" s="15" t="s">
        <v>30</v>
      </c>
      <c r="D68" s="13"/>
      <c r="E68" s="60">
        <v>9.6</v>
      </c>
      <c r="F68" s="12">
        <f>SUM(E68)</f>
        <v>9.6</v>
      </c>
      <c r="G68" s="12">
        <v>42.61</v>
      </c>
      <c r="H68" s="75">
        <f t="shared" si="12"/>
        <v>0.40905599999999998</v>
      </c>
      <c r="I68" s="12">
        <f t="shared" si="13"/>
        <v>85.22</v>
      </c>
      <c r="J68" s="22"/>
      <c r="L68" s="18"/>
      <c r="M68" s="19"/>
      <c r="N68" s="20"/>
    </row>
    <row r="69" spans="1:14" ht="15.75" hidden="1" customHeight="1">
      <c r="A69" s="26">
        <v>28</v>
      </c>
      <c r="B69" s="76" t="s">
        <v>94</v>
      </c>
      <c r="C69" s="15" t="s">
        <v>30</v>
      </c>
      <c r="D69" s="13"/>
      <c r="E69" s="60">
        <v>9.6</v>
      </c>
      <c r="F69" s="12">
        <f>SUM(E69)</f>
        <v>9.6</v>
      </c>
      <c r="G69" s="12">
        <v>46.04</v>
      </c>
      <c r="H69" s="75">
        <f t="shared" si="12"/>
        <v>0.44198399999999999</v>
      </c>
      <c r="I69" s="12">
        <f t="shared" si="13"/>
        <v>92.08</v>
      </c>
      <c r="J69" s="22"/>
      <c r="L69" s="18"/>
      <c r="M69" s="19"/>
      <c r="N69" s="20"/>
    </row>
    <row r="70" spans="1:14" ht="15.75" hidden="1" customHeight="1">
      <c r="A70" s="26">
        <v>22</v>
      </c>
      <c r="B70" s="13" t="s">
        <v>54</v>
      </c>
      <c r="C70" s="15" t="s">
        <v>55</v>
      </c>
      <c r="D70" s="13" t="s">
        <v>51</v>
      </c>
      <c r="E70" s="17">
        <v>4</v>
      </c>
      <c r="F70" s="12">
        <f>SUM(E70)</f>
        <v>4</v>
      </c>
      <c r="G70" s="12">
        <v>65.42</v>
      </c>
      <c r="H70" s="75">
        <f t="shared" si="12"/>
        <v>0.26168000000000002</v>
      </c>
      <c r="I70" s="12">
        <f>G70*4</f>
        <v>261.68</v>
      </c>
      <c r="J70" s="22"/>
      <c r="L70" s="18"/>
      <c r="M70" s="19"/>
      <c r="N70" s="20"/>
    </row>
    <row r="71" spans="1:14" ht="15.75" customHeight="1">
      <c r="A71" s="26">
        <v>15</v>
      </c>
      <c r="B71" s="36" t="s">
        <v>141</v>
      </c>
      <c r="C71" s="135" t="s">
        <v>142</v>
      </c>
      <c r="D71" s="36"/>
      <c r="E71" s="16">
        <v>3181</v>
      </c>
      <c r="F71" s="31">
        <f>SUM(E71)*12</f>
        <v>38172</v>
      </c>
      <c r="G71" s="34">
        <v>2.6</v>
      </c>
      <c r="H71" s="75">
        <f t="shared" si="12"/>
        <v>99.247199999999992</v>
      </c>
      <c r="I71" s="12">
        <f>F71/12*G71</f>
        <v>8270.6</v>
      </c>
      <c r="J71" s="22"/>
      <c r="L71" s="18"/>
      <c r="M71" s="19"/>
      <c r="N71" s="20"/>
    </row>
    <row r="72" spans="1:14" ht="15.75" customHeight="1">
      <c r="A72" s="26"/>
      <c r="B72" s="55" t="s">
        <v>64</v>
      </c>
      <c r="C72" s="15"/>
      <c r="D72" s="13"/>
      <c r="E72" s="17"/>
      <c r="F72" s="12"/>
      <c r="G72" s="12"/>
      <c r="H72" s="75" t="s">
        <v>98</v>
      </c>
      <c r="I72" s="12"/>
      <c r="J72" s="22"/>
      <c r="L72" s="18"/>
      <c r="M72" s="19"/>
      <c r="N72" s="20"/>
    </row>
    <row r="73" spans="1:14" ht="31.5" hidden="1" customHeight="1">
      <c r="A73" s="26">
        <v>18</v>
      </c>
      <c r="B73" s="13" t="s">
        <v>143</v>
      </c>
      <c r="C73" s="15" t="s">
        <v>28</v>
      </c>
      <c r="D73" s="13" t="s">
        <v>60</v>
      </c>
      <c r="E73" s="17">
        <v>1</v>
      </c>
      <c r="F73" s="61">
        <f t="shared" ref="F73" si="14">E73</f>
        <v>1</v>
      </c>
      <c r="G73" s="12">
        <v>1543.4</v>
      </c>
      <c r="H73" s="75">
        <f>G73*F73/1000</f>
        <v>1.5434000000000001</v>
      </c>
      <c r="I73" s="12">
        <v>0</v>
      </c>
      <c r="J73" s="22"/>
      <c r="L73" s="18"/>
      <c r="M73" s="19"/>
      <c r="N73" s="20"/>
    </row>
    <row r="74" spans="1:14" ht="15.75" hidden="1" customHeight="1">
      <c r="A74" s="26">
        <v>16</v>
      </c>
      <c r="B74" s="50" t="s">
        <v>144</v>
      </c>
      <c r="C74" s="54" t="s">
        <v>90</v>
      </c>
      <c r="D74" s="13" t="s">
        <v>60</v>
      </c>
      <c r="E74" s="17">
        <v>1</v>
      </c>
      <c r="F74" s="61">
        <f>E74</f>
        <v>1</v>
      </c>
      <c r="G74" s="12">
        <v>130.96</v>
      </c>
      <c r="H74" s="75">
        <f>G74*F74/1000</f>
        <v>0.13096000000000002</v>
      </c>
      <c r="I74" s="12">
        <f>G74</f>
        <v>130.96</v>
      </c>
      <c r="J74" s="22"/>
      <c r="L74" s="18"/>
      <c r="M74" s="19"/>
      <c r="N74" s="20"/>
    </row>
    <row r="75" spans="1:14" ht="15.75" hidden="1" customHeight="1">
      <c r="A75" s="26">
        <v>16</v>
      </c>
      <c r="B75" s="13" t="s">
        <v>65</v>
      </c>
      <c r="C75" s="15" t="s">
        <v>67</v>
      </c>
      <c r="D75" s="13" t="s">
        <v>60</v>
      </c>
      <c r="E75" s="17">
        <v>3</v>
      </c>
      <c r="F75" s="61">
        <f>E75/10</f>
        <v>0.3</v>
      </c>
      <c r="G75" s="12">
        <v>657.87</v>
      </c>
      <c r="H75" s="75">
        <f t="shared" ref="H75:H78" si="15">SUM(F75*G75/1000)</f>
        <v>0.19736099999999998</v>
      </c>
      <c r="I75" s="12">
        <f>G75*0.1</f>
        <v>65.787000000000006</v>
      </c>
      <c r="J75" s="22"/>
      <c r="L75" s="18"/>
      <c r="M75" s="19"/>
      <c r="N75" s="20"/>
    </row>
    <row r="76" spans="1:14" ht="18.75" hidden="1" customHeight="1">
      <c r="A76" s="26">
        <v>14</v>
      </c>
      <c r="B76" s="13" t="s">
        <v>66</v>
      </c>
      <c r="C76" s="15" t="s">
        <v>28</v>
      </c>
      <c r="D76" s="13" t="s">
        <v>169</v>
      </c>
      <c r="E76" s="17">
        <v>1</v>
      </c>
      <c r="F76" s="61">
        <f>E76</f>
        <v>1</v>
      </c>
      <c r="G76" s="12">
        <v>1118.72</v>
      </c>
      <c r="H76" s="75">
        <f t="shared" si="15"/>
        <v>1.1187199999999999</v>
      </c>
      <c r="I76" s="12">
        <f>G76*2</f>
        <v>2237.44</v>
      </c>
      <c r="J76" s="22"/>
      <c r="L76" s="18"/>
      <c r="M76" s="19"/>
      <c r="N76" s="20"/>
    </row>
    <row r="77" spans="1:14" ht="14.25" hidden="1" customHeight="1">
      <c r="A77" s="26"/>
      <c r="B77" s="50" t="s">
        <v>145</v>
      </c>
      <c r="C77" s="54" t="s">
        <v>90</v>
      </c>
      <c r="D77" s="13" t="s">
        <v>60</v>
      </c>
      <c r="E77" s="17">
        <v>1</v>
      </c>
      <c r="F77" s="61">
        <f>E77</f>
        <v>1</v>
      </c>
      <c r="G77" s="12">
        <v>1605.83</v>
      </c>
      <c r="H77" s="75">
        <f t="shared" si="15"/>
        <v>1.6058299999999999</v>
      </c>
      <c r="I77" s="12">
        <v>0</v>
      </c>
      <c r="J77" s="22"/>
      <c r="L77" s="18"/>
      <c r="M77" s="19"/>
      <c r="N77" s="20"/>
    </row>
    <row r="78" spans="1:14" ht="33" customHeight="1">
      <c r="A78" s="26">
        <v>16</v>
      </c>
      <c r="B78" s="121" t="s">
        <v>146</v>
      </c>
      <c r="C78" s="122" t="s">
        <v>90</v>
      </c>
      <c r="D78" s="36" t="s">
        <v>166</v>
      </c>
      <c r="E78" s="16">
        <v>2</v>
      </c>
      <c r="F78" s="31">
        <f>E78*12</f>
        <v>24</v>
      </c>
      <c r="G78" s="34">
        <v>425</v>
      </c>
      <c r="H78" s="75">
        <f t="shared" si="15"/>
        <v>10.199999999999999</v>
      </c>
      <c r="I78" s="12">
        <f>G78*2</f>
        <v>850</v>
      </c>
      <c r="J78" s="22"/>
      <c r="L78" s="18"/>
      <c r="M78" s="19"/>
      <c r="N78" s="20"/>
    </row>
    <row r="79" spans="1:14" ht="15.75" hidden="1" customHeight="1">
      <c r="A79" s="26"/>
      <c r="B79" s="77" t="s">
        <v>68</v>
      </c>
      <c r="C79" s="15"/>
      <c r="D79" s="13"/>
      <c r="E79" s="17"/>
      <c r="F79" s="12"/>
      <c r="G79" s="12" t="s">
        <v>98</v>
      </c>
      <c r="H79" s="75" t="s">
        <v>98</v>
      </c>
      <c r="I79" s="12"/>
      <c r="J79" s="22"/>
      <c r="L79" s="18"/>
      <c r="M79" s="19"/>
      <c r="N79" s="20"/>
    </row>
    <row r="80" spans="1:14" ht="15.75" hidden="1" customHeight="1">
      <c r="A80" s="26"/>
      <c r="B80" s="45" t="s">
        <v>97</v>
      </c>
      <c r="C80" s="15" t="s">
        <v>69</v>
      </c>
      <c r="D80" s="13"/>
      <c r="E80" s="17"/>
      <c r="F80" s="12">
        <v>1</v>
      </c>
      <c r="G80" s="12">
        <v>3370.89</v>
      </c>
      <c r="H80" s="75">
        <f t="shared" ref="H80" si="16">SUM(F80*G80/1000)</f>
        <v>3.3708899999999997</v>
      </c>
      <c r="I80" s="12">
        <v>0</v>
      </c>
      <c r="J80" s="22"/>
      <c r="L80" s="18"/>
      <c r="M80" s="19"/>
      <c r="N80" s="20"/>
    </row>
    <row r="81" spans="1:14" ht="16.5" hidden="1" customHeight="1">
      <c r="A81" s="26"/>
      <c r="B81" s="55" t="s">
        <v>95</v>
      </c>
      <c r="C81" s="77"/>
      <c r="D81" s="27"/>
      <c r="E81" s="30"/>
      <c r="F81" s="66"/>
      <c r="G81" s="66"/>
      <c r="H81" s="78">
        <f>SUM(H57:H80)</f>
        <v>241.47674383499998</v>
      </c>
      <c r="I81" s="66"/>
      <c r="J81" s="22"/>
      <c r="L81" s="18"/>
      <c r="M81" s="19"/>
      <c r="N81" s="20"/>
    </row>
    <row r="82" spans="1:14" ht="18.75" hidden="1" customHeight="1">
      <c r="A82" s="104">
        <v>16</v>
      </c>
      <c r="B82" s="53" t="s">
        <v>96</v>
      </c>
      <c r="C82" s="109"/>
      <c r="D82" s="110"/>
      <c r="E82" s="110"/>
      <c r="F82" s="111">
        <v>1</v>
      </c>
      <c r="G82" s="111">
        <v>1122</v>
      </c>
      <c r="H82" s="112">
        <f>G82*F82/1000</f>
        <v>1.1220000000000001</v>
      </c>
      <c r="I82" s="79">
        <f>G82</f>
        <v>1122</v>
      </c>
      <c r="J82" s="22"/>
      <c r="L82" s="18"/>
      <c r="M82" s="19"/>
      <c r="N82" s="20"/>
    </row>
    <row r="83" spans="1:14" ht="18" hidden="1" customHeight="1">
      <c r="A83" s="49"/>
      <c r="B83" s="113" t="s">
        <v>147</v>
      </c>
      <c r="C83" s="15"/>
      <c r="D83" s="13"/>
      <c r="E83" s="13"/>
      <c r="F83" s="12">
        <v>69</v>
      </c>
      <c r="G83" s="12">
        <v>700</v>
      </c>
      <c r="H83" s="75">
        <f>G83*F83/1000</f>
        <v>48.3</v>
      </c>
      <c r="I83" s="114">
        <v>0</v>
      </c>
      <c r="J83" s="22"/>
      <c r="L83" s="18"/>
      <c r="M83" s="19"/>
      <c r="N83" s="20"/>
    </row>
    <row r="84" spans="1:14" ht="15.75" customHeight="1">
      <c r="A84" s="192" t="s">
        <v>124</v>
      </c>
      <c r="B84" s="200"/>
      <c r="C84" s="200"/>
      <c r="D84" s="200"/>
      <c r="E84" s="200"/>
      <c r="F84" s="200"/>
      <c r="G84" s="200"/>
      <c r="H84" s="200"/>
      <c r="I84" s="201"/>
      <c r="J84" s="22"/>
      <c r="L84" s="18"/>
      <c r="M84" s="19"/>
      <c r="N84" s="20"/>
    </row>
    <row r="85" spans="1:14" ht="15.75" customHeight="1">
      <c r="A85" s="99">
        <v>17</v>
      </c>
      <c r="B85" s="32" t="s">
        <v>112</v>
      </c>
      <c r="C85" s="37" t="s">
        <v>52</v>
      </c>
      <c r="D85" s="162"/>
      <c r="E85" s="34">
        <v>3181</v>
      </c>
      <c r="F85" s="34">
        <f>SUM(E85*12)</f>
        <v>38172</v>
      </c>
      <c r="G85" s="34">
        <v>3.5</v>
      </c>
      <c r="H85" s="105">
        <f>SUM(F85*G85/1000)</f>
        <v>133.602</v>
      </c>
      <c r="I85" s="100">
        <f>F85/12*G85</f>
        <v>11133.5</v>
      </c>
      <c r="J85" s="22"/>
      <c r="L85" s="18"/>
      <c r="M85" s="19"/>
      <c r="N85" s="20"/>
    </row>
    <row r="86" spans="1:14" ht="31.5" customHeight="1">
      <c r="A86" s="26">
        <v>18</v>
      </c>
      <c r="B86" s="36" t="s">
        <v>181</v>
      </c>
      <c r="C86" s="37" t="s">
        <v>152</v>
      </c>
      <c r="D86" s="163"/>
      <c r="E86" s="106">
        <f>E85</f>
        <v>3181</v>
      </c>
      <c r="F86" s="34">
        <f>E86*12</f>
        <v>38172</v>
      </c>
      <c r="G86" s="34">
        <v>3.2</v>
      </c>
      <c r="H86" s="75">
        <f>F86*G86/1000</f>
        <v>122.1504</v>
      </c>
      <c r="I86" s="12">
        <f>F86/12*G86</f>
        <v>10179.200000000001</v>
      </c>
      <c r="J86" s="22"/>
      <c r="L86" s="18"/>
      <c r="M86" s="19"/>
      <c r="N86" s="20"/>
    </row>
    <row r="87" spans="1:14" ht="15.75" customHeight="1">
      <c r="A87" s="49"/>
      <c r="B87" s="38" t="s">
        <v>71</v>
      </c>
      <c r="C87" s="15"/>
      <c r="D87" s="45"/>
      <c r="E87" s="12"/>
      <c r="F87" s="12"/>
      <c r="G87" s="12"/>
      <c r="H87" s="75">
        <f>H86</f>
        <v>122.1504</v>
      </c>
      <c r="I87" s="66">
        <f>I86+I85+I78+I71+I60+I58+I57+I43+I42+I41+I40+I39+I37+I36+I18+I17+I16+I61</f>
        <v>66675.997291666674</v>
      </c>
      <c r="J87" s="22"/>
      <c r="L87" s="18"/>
      <c r="M87" s="19"/>
      <c r="N87" s="20"/>
    </row>
    <row r="88" spans="1:14" ht="15.75" customHeight="1">
      <c r="A88" s="202" t="s">
        <v>56</v>
      </c>
      <c r="B88" s="203"/>
      <c r="C88" s="203"/>
      <c r="D88" s="203"/>
      <c r="E88" s="203"/>
      <c r="F88" s="203"/>
      <c r="G88" s="203"/>
      <c r="H88" s="203"/>
      <c r="I88" s="204"/>
      <c r="J88" s="22"/>
      <c r="L88" s="18"/>
      <c r="M88" s="19"/>
      <c r="N88" s="20"/>
    </row>
    <row r="89" spans="1:14" ht="15.75" customHeight="1">
      <c r="A89" s="26">
        <v>19</v>
      </c>
      <c r="B89" s="175" t="s">
        <v>227</v>
      </c>
      <c r="C89" s="176" t="s">
        <v>228</v>
      </c>
      <c r="D89" s="163" t="s">
        <v>230</v>
      </c>
      <c r="E89" s="34"/>
      <c r="F89" s="34">
        <f>0.5/3</f>
        <v>0.16666666666666666</v>
      </c>
      <c r="G89" s="34">
        <v>1325.15</v>
      </c>
      <c r="H89" s="72"/>
      <c r="I89" s="12">
        <f>G89*0.5/3</f>
        <v>220.85833333333335</v>
      </c>
      <c r="J89" s="22"/>
      <c r="L89" s="18"/>
      <c r="M89" s="19"/>
      <c r="N89" s="20"/>
    </row>
    <row r="90" spans="1:14" ht="19.5" customHeight="1">
      <c r="A90" s="26">
        <v>20</v>
      </c>
      <c r="B90" s="121" t="s">
        <v>229</v>
      </c>
      <c r="C90" s="122" t="s">
        <v>90</v>
      </c>
      <c r="D90" s="163"/>
      <c r="E90" s="34"/>
      <c r="F90" s="34">
        <v>1</v>
      </c>
      <c r="G90" s="34">
        <v>725.12</v>
      </c>
      <c r="H90" s="105"/>
      <c r="I90" s="12">
        <f>G90*1</f>
        <v>725.12</v>
      </c>
      <c r="J90" s="22"/>
      <c r="L90" s="18"/>
      <c r="M90" s="19"/>
      <c r="N90" s="20"/>
    </row>
    <row r="91" spans="1:14" ht="17.25" customHeight="1">
      <c r="A91" s="26">
        <v>21</v>
      </c>
      <c r="B91" s="121" t="s">
        <v>183</v>
      </c>
      <c r="C91" s="122" t="s">
        <v>37</v>
      </c>
      <c r="D91" s="163" t="s">
        <v>161</v>
      </c>
      <c r="E91" s="34"/>
      <c r="F91" s="34">
        <v>0.02</v>
      </c>
      <c r="G91" s="34">
        <v>28224.75</v>
      </c>
      <c r="H91" s="105"/>
      <c r="I91" s="12">
        <v>0</v>
      </c>
      <c r="J91" s="22"/>
      <c r="L91" s="18"/>
      <c r="M91" s="19"/>
      <c r="N91" s="20"/>
    </row>
    <row r="92" spans="1:14" ht="31.5" customHeight="1">
      <c r="A92" s="26">
        <v>22</v>
      </c>
      <c r="B92" s="121" t="s">
        <v>174</v>
      </c>
      <c r="C92" s="122" t="s">
        <v>35</v>
      </c>
      <c r="D92" s="163" t="s">
        <v>166</v>
      </c>
      <c r="E92" s="34"/>
      <c r="F92" s="34">
        <v>0.01</v>
      </c>
      <c r="G92" s="34">
        <v>4233.72</v>
      </c>
      <c r="H92" s="105"/>
      <c r="I92" s="12">
        <v>0</v>
      </c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0"/>
      <c r="D93" s="46"/>
      <c r="E93" s="40">
        <v>1</v>
      </c>
      <c r="F93" s="40"/>
      <c r="G93" s="40"/>
      <c r="H93" s="40"/>
      <c r="I93" s="30">
        <f>SUM(I89:I92)</f>
        <v>945.97833333333335</v>
      </c>
      <c r="J93" s="22"/>
      <c r="L93" s="18"/>
      <c r="M93" s="19"/>
      <c r="N93" s="20"/>
    </row>
    <row r="94" spans="1:14" ht="15.75" customHeight="1">
      <c r="A94" s="26"/>
      <c r="B94" s="45" t="s">
        <v>70</v>
      </c>
      <c r="C94" s="14"/>
      <c r="D94" s="14"/>
      <c r="E94" s="41"/>
      <c r="F94" s="41"/>
      <c r="G94" s="42"/>
      <c r="H94" s="42"/>
      <c r="I94" s="16">
        <v>0</v>
      </c>
      <c r="J94" s="22"/>
      <c r="L94" s="18"/>
      <c r="M94" s="19"/>
      <c r="N94" s="20"/>
    </row>
    <row r="95" spans="1:14" ht="15.75" customHeight="1">
      <c r="A95" s="47"/>
      <c r="B95" s="44" t="s">
        <v>137</v>
      </c>
      <c r="C95" s="33"/>
      <c r="D95" s="33"/>
      <c r="E95" s="33"/>
      <c r="F95" s="33"/>
      <c r="G95" s="33"/>
      <c r="H95" s="33"/>
      <c r="I95" s="43">
        <f>I87+I93</f>
        <v>67621.975625000006</v>
      </c>
      <c r="J95" s="22"/>
      <c r="L95" s="18"/>
      <c r="M95" s="19"/>
      <c r="N95" s="20"/>
    </row>
    <row r="96" spans="1:14" ht="15.75" customHeight="1">
      <c r="A96" s="191" t="s">
        <v>231</v>
      </c>
      <c r="B96" s="191"/>
      <c r="C96" s="191"/>
      <c r="D96" s="191"/>
      <c r="E96" s="191"/>
      <c r="F96" s="191"/>
      <c r="G96" s="191"/>
      <c r="H96" s="191"/>
      <c r="I96" s="191"/>
      <c r="J96" s="22"/>
      <c r="L96" s="18"/>
      <c r="M96" s="19"/>
      <c r="N96" s="20"/>
    </row>
    <row r="97" spans="1:22" ht="15.75" customHeight="1">
      <c r="A97" s="8"/>
      <c r="B97" s="205" t="s">
        <v>232</v>
      </c>
      <c r="C97" s="205"/>
      <c r="D97" s="205"/>
      <c r="E97" s="205"/>
      <c r="F97" s="205"/>
      <c r="G97" s="205"/>
      <c r="H97" s="127"/>
      <c r="I97" s="3"/>
      <c r="J97" s="22"/>
      <c r="L97" s="18"/>
      <c r="M97" s="19"/>
      <c r="N97" s="20"/>
    </row>
    <row r="98" spans="1:22" ht="15.75" customHeight="1">
      <c r="A98" s="123"/>
      <c r="B98" s="206" t="s">
        <v>5</v>
      </c>
      <c r="C98" s="206"/>
      <c r="D98" s="206"/>
      <c r="E98" s="206"/>
      <c r="F98" s="206"/>
      <c r="G98" s="206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207" t="s">
        <v>6</v>
      </c>
      <c r="B100" s="207"/>
      <c r="C100" s="207"/>
      <c r="D100" s="207"/>
      <c r="E100" s="207"/>
      <c r="F100" s="207"/>
      <c r="G100" s="207"/>
      <c r="H100" s="207"/>
      <c r="I100" s="207"/>
      <c r="J100" s="22"/>
      <c r="K100" s="22"/>
      <c r="L100" s="22"/>
    </row>
    <row r="101" spans="1:22" ht="15.75" customHeight="1">
      <c r="A101" s="207" t="s">
        <v>7</v>
      </c>
      <c r="B101" s="207"/>
      <c r="C101" s="207"/>
      <c r="D101" s="207"/>
      <c r="E101" s="207"/>
      <c r="F101" s="207"/>
      <c r="G101" s="207"/>
      <c r="H101" s="207"/>
      <c r="I101" s="207"/>
      <c r="J101" s="22"/>
      <c r="K101" s="22"/>
      <c r="L101" s="22"/>
    </row>
    <row r="102" spans="1:22" ht="15.75" customHeight="1">
      <c r="A102" s="191" t="s">
        <v>8</v>
      </c>
      <c r="B102" s="191"/>
      <c r="C102" s="191"/>
      <c r="D102" s="191"/>
      <c r="E102" s="191"/>
      <c r="F102" s="191"/>
      <c r="G102" s="191"/>
      <c r="H102" s="191"/>
      <c r="I102" s="191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209" t="s">
        <v>9</v>
      </c>
      <c r="B104" s="209"/>
      <c r="C104" s="209"/>
      <c r="D104" s="209"/>
      <c r="E104" s="209"/>
      <c r="F104" s="209"/>
      <c r="G104" s="209"/>
      <c r="H104" s="209"/>
      <c r="I104" s="209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91" t="s">
        <v>10</v>
      </c>
      <c r="B106" s="191"/>
      <c r="C106" s="210" t="s">
        <v>187</v>
      </c>
      <c r="D106" s="210"/>
      <c r="E106" s="210"/>
      <c r="F106" s="57"/>
      <c r="I106" s="126"/>
      <c r="J106" s="5"/>
      <c r="K106" s="5"/>
      <c r="L106" s="5"/>
      <c r="M106" s="5"/>
      <c r="N106" s="5"/>
      <c r="O106" s="5"/>
      <c r="P106" s="5"/>
      <c r="Q106" s="5"/>
      <c r="R106" s="211"/>
      <c r="S106" s="211"/>
      <c r="T106" s="211"/>
      <c r="U106" s="211"/>
    </row>
    <row r="107" spans="1:22" ht="15.75" customHeight="1">
      <c r="A107" s="123"/>
      <c r="C107" s="206" t="s">
        <v>11</v>
      </c>
      <c r="D107" s="206"/>
      <c r="E107" s="206"/>
      <c r="F107" s="23"/>
      <c r="I107" s="125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91" t="s">
        <v>13</v>
      </c>
      <c r="B109" s="191"/>
      <c r="C109" s="212"/>
      <c r="D109" s="212"/>
      <c r="E109" s="212"/>
      <c r="F109" s="58"/>
      <c r="I109" s="126"/>
    </row>
    <row r="110" spans="1:22" ht="15.75" customHeight="1">
      <c r="A110" s="123"/>
      <c r="C110" s="211" t="s">
        <v>11</v>
      </c>
      <c r="D110" s="211"/>
      <c r="E110" s="211"/>
      <c r="F110" s="123"/>
      <c r="I110" s="125" t="s">
        <v>12</v>
      </c>
    </row>
    <row r="111" spans="1:22" ht="15.75" customHeight="1">
      <c r="A111" s="4" t="s">
        <v>14</v>
      </c>
    </row>
    <row r="112" spans="1:22" ht="15" customHeight="1">
      <c r="A112" s="213" t="s">
        <v>15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45" customHeight="1">
      <c r="A113" s="208" t="s">
        <v>16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30" customHeight="1">
      <c r="A114" s="208" t="s">
        <v>17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30" customHeight="1">
      <c r="A115" s="208" t="s">
        <v>21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15" customHeight="1">
      <c r="A116" s="208" t="s">
        <v>20</v>
      </c>
      <c r="B116" s="208"/>
      <c r="C116" s="208"/>
      <c r="D116" s="208"/>
      <c r="E116" s="208"/>
      <c r="F116" s="208"/>
      <c r="G116" s="208"/>
      <c r="H116" s="208"/>
      <c r="I116" s="208"/>
    </row>
  </sheetData>
  <autoFilter ref="I12:I102"/>
  <mergeCells count="31"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  <mergeCell ref="A102:I102"/>
    <mergeCell ref="A15:I15"/>
    <mergeCell ref="A27:I27"/>
    <mergeCell ref="A44:I44"/>
    <mergeCell ref="A55:I55"/>
    <mergeCell ref="A84:I84"/>
    <mergeCell ref="A88:I88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5"/>
  <sheetViews>
    <sheetView workbookViewId="0">
      <selection activeCell="B86" sqref="B86:I87"/>
    </sheetView>
  </sheetViews>
  <sheetFormatPr defaultRowHeight="15"/>
  <cols>
    <col min="2" max="2" width="50.5703125" customWidth="1"/>
    <col min="3" max="3" width="18.28515625" customWidth="1"/>
    <col min="4" max="4" width="17.8554687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146" t="s">
        <v>154</v>
      </c>
      <c r="B1" s="25"/>
      <c r="C1" s="25"/>
      <c r="D1" s="25"/>
      <c r="E1" s="25"/>
      <c r="F1" s="25"/>
      <c r="G1" s="25"/>
      <c r="H1" s="25"/>
      <c r="I1" s="28"/>
    </row>
    <row r="2" spans="1:9" ht="15.75">
      <c r="A2" s="25" t="s">
        <v>57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186" t="s">
        <v>155</v>
      </c>
      <c r="B3" s="186"/>
      <c r="C3" s="186"/>
      <c r="D3" s="186"/>
      <c r="E3" s="186"/>
      <c r="F3" s="186"/>
      <c r="G3" s="186"/>
      <c r="H3" s="186"/>
      <c r="I3" s="186"/>
    </row>
    <row r="4" spans="1:9" ht="32.2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</row>
    <row r="5" spans="1:9" ht="15.75">
      <c r="A5" s="186" t="s">
        <v>233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2"/>
      <c r="B6" s="134"/>
      <c r="C6" s="134"/>
      <c r="D6" s="134"/>
      <c r="E6" s="134"/>
      <c r="F6" s="134"/>
      <c r="G6" s="134"/>
      <c r="H6" s="134"/>
      <c r="I6" s="29">
        <v>44316</v>
      </c>
    </row>
    <row r="7" spans="1:9" ht="15.75">
      <c r="B7" s="129"/>
      <c r="C7" s="129"/>
      <c r="D7" s="129"/>
      <c r="E7" s="3"/>
      <c r="F7" s="3"/>
      <c r="G7" s="3"/>
      <c r="H7" s="3"/>
    </row>
    <row r="8" spans="1:9" ht="101.2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</row>
    <row r="9" spans="1:9" ht="15.75">
      <c r="A9" s="4"/>
    </row>
    <row r="10" spans="1:9" ht="72.7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</row>
    <row r="11" spans="1:9" ht="15.75">
      <c r="A11" s="4"/>
    </row>
    <row r="12" spans="1:9" ht="39.7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9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</row>
    <row r="14" spans="1:9">
      <c r="A14" s="183" t="s">
        <v>128</v>
      </c>
      <c r="B14" s="184"/>
      <c r="C14" s="184"/>
      <c r="D14" s="184"/>
      <c r="E14" s="184"/>
      <c r="F14" s="184"/>
      <c r="G14" s="184"/>
      <c r="H14" s="184"/>
      <c r="I14" s="185"/>
    </row>
    <row r="15" spans="1:9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</row>
    <row r="16" spans="1:9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</row>
    <row r="17" spans="1:9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</row>
    <row r="18" spans="1:9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</row>
    <row r="19" spans="1:9" hidden="1">
      <c r="A19" s="26">
        <v>4</v>
      </c>
      <c r="B19" s="51" t="s">
        <v>80</v>
      </c>
      <c r="C19" s="59" t="s">
        <v>81</v>
      </c>
      <c r="D19" s="51" t="s">
        <v>82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</row>
    <row r="20" spans="1:9" hidden="1">
      <c r="A20" s="26">
        <v>4</v>
      </c>
      <c r="B20" s="51" t="s">
        <v>83</v>
      </c>
      <c r="C20" s="59" t="s">
        <v>79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</row>
    <row r="21" spans="1:9" hidden="1">
      <c r="A21" s="26">
        <v>5</v>
      </c>
      <c r="B21" s="51" t="s">
        <v>84</v>
      </c>
      <c r="C21" s="59" t="s">
        <v>79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</row>
    <row r="22" spans="1:9" hidden="1">
      <c r="A22" s="26">
        <v>7</v>
      </c>
      <c r="B22" s="51" t="s">
        <v>85</v>
      </c>
      <c r="C22" s="59" t="s">
        <v>50</v>
      </c>
      <c r="D22" s="51" t="s">
        <v>82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</row>
    <row r="23" spans="1:9" hidden="1">
      <c r="A23" s="26">
        <v>8</v>
      </c>
      <c r="B23" s="51" t="s">
        <v>86</v>
      </c>
      <c r="C23" s="59" t="s">
        <v>50</v>
      </c>
      <c r="D23" s="51" t="s">
        <v>82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</row>
    <row r="24" spans="1:9" hidden="1">
      <c r="A24" s="26">
        <v>9</v>
      </c>
      <c r="B24" s="51" t="s">
        <v>87</v>
      </c>
      <c r="C24" s="59" t="s">
        <v>50</v>
      </c>
      <c r="D24" s="52" t="s">
        <v>82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</row>
    <row r="25" spans="1:9" hidden="1">
      <c r="A25" s="26">
        <v>10</v>
      </c>
      <c r="B25" s="51" t="s">
        <v>88</v>
      </c>
      <c r="C25" s="59" t="s">
        <v>50</v>
      </c>
      <c r="D25" s="51" t="s">
        <v>82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</row>
    <row r="26" spans="1:9" hidden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</row>
    <row r="27" spans="1:9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</row>
    <row r="28" spans="1:9" hidden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</row>
    <row r="29" spans="1:9" hidden="1">
      <c r="A29" s="99">
        <v>6</v>
      </c>
      <c r="B29" s="51" t="s">
        <v>131</v>
      </c>
      <c r="C29" s="59" t="s">
        <v>89</v>
      </c>
      <c r="D29" s="51" t="s">
        <v>134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7">SUM(F29*G29/1000)</f>
        <v>2.2346109759999999</v>
      </c>
      <c r="I29" s="12">
        <f>F29/6*G29</f>
        <v>372.43516266666666</v>
      </c>
    </row>
    <row r="30" spans="1:9" ht="45" hidden="1">
      <c r="A30" s="26">
        <v>7</v>
      </c>
      <c r="B30" s="51" t="s">
        <v>132</v>
      </c>
      <c r="C30" s="59" t="s">
        <v>89</v>
      </c>
      <c r="D30" s="51" t="s">
        <v>135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7"/>
        <v>2.4341709599999999</v>
      </c>
      <c r="I30" s="12">
        <f t="shared" ref="I30:I32" si="8">F30/6*G30</f>
        <v>405.69515999999999</v>
      </c>
    </row>
    <row r="31" spans="1:9" hidden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7"/>
        <v>0.83265054599999999</v>
      </c>
      <c r="I31" s="12">
        <f>F31*G31</f>
        <v>832.65054599999996</v>
      </c>
    </row>
    <row r="32" spans="1:9" hidden="1">
      <c r="A32" s="26">
        <v>8</v>
      </c>
      <c r="B32" s="51" t="s">
        <v>133</v>
      </c>
      <c r="C32" s="59" t="s">
        <v>28</v>
      </c>
      <c r="D32" s="51" t="s">
        <v>58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7"/>
        <v>3.841416666666666</v>
      </c>
      <c r="I32" s="12">
        <f t="shared" si="8"/>
        <v>640.23611111111109</v>
      </c>
    </row>
    <row r="33" spans="1:9" hidden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7"/>
        <v>0.25091999999999998</v>
      </c>
      <c r="I33" s="12">
        <v>0</v>
      </c>
    </row>
    <row r="34" spans="1:9" hidden="1">
      <c r="A34" s="104"/>
      <c r="B34" s="51" t="s">
        <v>100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7"/>
        <v>1.49031</v>
      </c>
      <c r="I34" s="12">
        <v>0</v>
      </c>
    </row>
    <row r="35" spans="1:9">
      <c r="A35" s="101"/>
      <c r="B35" s="55" t="s">
        <v>4</v>
      </c>
      <c r="C35" s="103"/>
      <c r="D35" s="103"/>
      <c r="E35" s="103"/>
      <c r="F35" s="103"/>
      <c r="G35" s="103"/>
      <c r="H35" s="103"/>
      <c r="I35" s="103"/>
    </row>
    <row r="36" spans="1:9" hidden="1">
      <c r="A36" s="99">
        <v>6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" si="9">SUM(F36*G36/1000)</f>
        <v>6.0090000000000003</v>
      </c>
      <c r="I36" s="12">
        <f>F36/6*G36</f>
        <v>1001.5</v>
      </c>
    </row>
    <row r="37" spans="1:9">
      <c r="A37" s="26">
        <v>4</v>
      </c>
      <c r="B37" s="167" t="s">
        <v>138</v>
      </c>
      <c r="C37" s="168" t="s">
        <v>27</v>
      </c>
      <c r="D37" s="32" t="s">
        <v>163</v>
      </c>
      <c r="E37" s="106">
        <v>92</v>
      </c>
      <c r="F37" s="169">
        <f>E37*30/1000</f>
        <v>2.76</v>
      </c>
      <c r="G37" s="31">
        <v>3134.93</v>
      </c>
      <c r="H37" s="62">
        <f>G37*F37/1000</f>
        <v>8.6524067999999996</v>
      </c>
      <c r="I37" s="12">
        <f>F37/6*G37</f>
        <v>1442.0677999999998</v>
      </c>
    </row>
    <row r="38" spans="1:9" ht="15" hidden="1" customHeight="1">
      <c r="A38" s="26">
        <v>6</v>
      </c>
      <c r="B38" s="32" t="s">
        <v>102</v>
      </c>
      <c r="C38" s="39" t="s">
        <v>103</v>
      </c>
      <c r="D38" s="32" t="s">
        <v>180</v>
      </c>
      <c r="E38" s="106"/>
      <c r="F38" s="169">
        <v>52</v>
      </c>
      <c r="G38" s="31">
        <v>330</v>
      </c>
      <c r="H38" s="62">
        <f>G38*F38/1000</f>
        <v>17.16</v>
      </c>
      <c r="I38" s="12">
        <f t="shared" ref="I38:I40" si="10">F38/6*G38</f>
        <v>2860</v>
      </c>
    </row>
    <row r="39" spans="1:9" ht="19.5" customHeight="1">
      <c r="A39" s="26">
        <v>5</v>
      </c>
      <c r="B39" s="32" t="s">
        <v>61</v>
      </c>
      <c r="C39" s="39" t="s">
        <v>27</v>
      </c>
      <c r="D39" s="32" t="s">
        <v>164</v>
      </c>
      <c r="E39" s="31">
        <f>E37</f>
        <v>92</v>
      </c>
      <c r="F39" s="169">
        <f>SUM(E39*155/1000)</f>
        <v>14.26</v>
      </c>
      <c r="G39" s="31">
        <v>522.92999999999995</v>
      </c>
      <c r="H39" s="62">
        <f t="shared" ref="H39:H42" si="11">SUM(F39*G39/1000)</f>
        <v>7.4569817999999994</v>
      </c>
      <c r="I39" s="12">
        <f t="shared" si="10"/>
        <v>1242.8302999999999</v>
      </c>
    </row>
    <row r="40" spans="1:9" ht="48" customHeight="1">
      <c r="A40" s="26">
        <v>6</v>
      </c>
      <c r="B40" s="32" t="s">
        <v>73</v>
      </c>
      <c r="C40" s="39" t="s">
        <v>89</v>
      </c>
      <c r="D40" s="32" t="s">
        <v>163</v>
      </c>
      <c r="E40" s="31">
        <v>92</v>
      </c>
      <c r="F40" s="169">
        <f>SUM(E40*35/1000)</f>
        <v>3.22</v>
      </c>
      <c r="G40" s="31">
        <v>8652.07</v>
      </c>
      <c r="H40" s="62">
        <f t="shared" si="11"/>
        <v>27.859665400000001</v>
      </c>
      <c r="I40" s="12">
        <f t="shared" si="10"/>
        <v>4643.2775666666676</v>
      </c>
    </row>
    <row r="41" spans="1:9" hidden="1">
      <c r="A41" s="26">
        <v>9</v>
      </c>
      <c r="B41" s="32" t="s">
        <v>105</v>
      </c>
      <c r="C41" s="39" t="s">
        <v>89</v>
      </c>
      <c r="D41" s="32" t="s">
        <v>224</v>
      </c>
      <c r="E41" s="31">
        <f>E37</f>
        <v>92</v>
      </c>
      <c r="F41" s="169">
        <f>SUM(E41*20/1000)</f>
        <v>1.84</v>
      </c>
      <c r="G41" s="31">
        <v>639.14</v>
      </c>
      <c r="H41" s="62">
        <f t="shared" si="11"/>
        <v>1.1760176000000002</v>
      </c>
      <c r="I41" s="12">
        <f>G41*F41/20*2</f>
        <v>117.60176000000001</v>
      </c>
    </row>
    <row r="42" spans="1:9" hidden="1">
      <c r="A42" s="26">
        <v>10</v>
      </c>
      <c r="B42" s="167" t="s">
        <v>62</v>
      </c>
      <c r="C42" s="168" t="s">
        <v>30</v>
      </c>
      <c r="D42" s="167"/>
      <c r="E42" s="149"/>
      <c r="F42" s="169">
        <v>0.8</v>
      </c>
      <c r="G42" s="169">
        <v>900</v>
      </c>
      <c r="H42" s="62">
        <f t="shared" si="11"/>
        <v>0.72</v>
      </c>
      <c r="I42" s="12">
        <f>G42*F42/20*2</f>
        <v>72</v>
      </c>
    </row>
    <row r="43" spans="1:9" ht="30">
      <c r="A43" s="166">
        <v>7</v>
      </c>
      <c r="B43" s="167" t="s">
        <v>190</v>
      </c>
      <c r="C43" s="168" t="s">
        <v>27</v>
      </c>
      <c r="D43" s="167" t="s">
        <v>161</v>
      </c>
      <c r="E43" s="149">
        <v>3</v>
      </c>
      <c r="F43" s="169">
        <f>E43*12/1000</f>
        <v>3.5999999999999997E-2</v>
      </c>
      <c r="G43" s="169">
        <v>20547.34</v>
      </c>
      <c r="H43" s="56"/>
      <c r="I43" s="12">
        <f>G43*F43/6</f>
        <v>123.28403999999999</v>
      </c>
    </row>
    <row r="44" spans="1:9" ht="24" hidden="1" customHeight="1">
      <c r="A44" s="195" t="s">
        <v>116</v>
      </c>
      <c r="B44" s="196"/>
      <c r="C44" s="196"/>
      <c r="D44" s="196"/>
      <c r="E44" s="196"/>
      <c r="F44" s="196"/>
      <c r="G44" s="196"/>
      <c r="H44" s="196"/>
      <c r="I44" s="197"/>
    </row>
    <row r="45" spans="1:9" ht="22.5" hidden="1" customHeight="1">
      <c r="A45" s="26">
        <v>11</v>
      </c>
      <c r="B45" s="32" t="s">
        <v>106</v>
      </c>
      <c r="C45" s="39" t="s">
        <v>89</v>
      </c>
      <c r="D45" s="32" t="s">
        <v>39</v>
      </c>
      <c r="E45" s="106">
        <v>1114.25</v>
      </c>
      <c r="F45" s="31">
        <f>SUM(E45*2/1000)</f>
        <v>2.2284999999999999</v>
      </c>
      <c r="G45" s="34">
        <v>1193.71</v>
      </c>
      <c r="H45" s="107">
        <f t="shared" ref="H45:H54" si="12">SUM(F45*G45/1000)</f>
        <v>2.6601827349999998</v>
      </c>
      <c r="I45" s="12">
        <f t="shared" ref="I45:I47" si="13">F45/2*G45</f>
        <v>1330.0913674999999</v>
      </c>
    </row>
    <row r="46" spans="1:9" ht="24" hidden="1" customHeight="1">
      <c r="A46" s="26">
        <v>12</v>
      </c>
      <c r="B46" s="32" t="s">
        <v>33</v>
      </c>
      <c r="C46" s="39" t="s">
        <v>89</v>
      </c>
      <c r="D46" s="32" t="s">
        <v>39</v>
      </c>
      <c r="E46" s="106">
        <v>2631</v>
      </c>
      <c r="F46" s="31">
        <f>SUM(E46*2/1000)</f>
        <v>5.2619999999999996</v>
      </c>
      <c r="G46" s="34">
        <v>1803.69</v>
      </c>
      <c r="H46" s="107">
        <f t="shared" si="12"/>
        <v>9.4910167800000007</v>
      </c>
      <c r="I46" s="12">
        <f t="shared" si="13"/>
        <v>4745.50839</v>
      </c>
    </row>
    <row r="47" spans="1:9" ht="31.5" hidden="1" customHeight="1">
      <c r="A47" s="26">
        <v>13</v>
      </c>
      <c r="B47" s="32" t="s">
        <v>34</v>
      </c>
      <c r="C47" s="39" t="s">
        <v>89</v>
      </c>
      <c r="D47" s="32" t="s">
        <v>39</v>
      </c>
      <c r="E47" s="106">
        <v>1953.8</v>
      </c>
      <c r="F47" s="31">
        <f>SUM(E47*2/1000)</f>
        <v>3.9076</v>
      </c>
      <c r="G47" s="34">
        <v>1243.43</v>
      </c>
      <c r="H47" s="107">
        <f t="shared" si="12"/>
        <v>4.8588270680000001</v>
      </c>
      <c r="I47" s="12">
        <f t="shared" si="13"/>
        <v>2429.4135340000003</v>
      </c>
    </row>
    <row r="48" spans="1:9" ht="33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6">
        <v>91.84</v>
      </c>
      <c r="F48" s="31">
        <f>SUM(E48*2/100)</f>
        <v>1.8368</v>
      </c>
      <c r="G48" s="108">
        <v>1172.4100000000001</v>
      </c>
      <c r="H48" s="107">
        <f t="shared" si="12"/>
        <v>2.153482688</v>
      </c>
      <c r="I48" s="12">
        <f>F48/2*G48</f>
        <v>1076.741344</v>
      </c>
    </row>
    <row r="49" spans="1:9" ht="41.25" hidden="1" customHeight="1">
      <c r="A49" s="26">
        <v>12</v>
      </c>
      <c r="B49" s="32" t="s">
        <v>53</v>
      </c>
      <c r="C49" s="39" t="s">
        <v>89</v>
      </c>
      <c r="D49" s="32" t="s">
        <v>136</v>
      </c>
      <c r="E49" s="106">
        <v>3181</v>
      </c>
      <c r="F49" s="31">
        <f>SUM(E49*5/1000)</f>
        <v>15.904999999999999</v>
      </c>
      <c r="G49" s="34">
        <v>1083.69</v>
      </c>
      <c r="H49" s="107">
        <f t="shared" si="12"/>
        <v>17.236089449999998</v>
      </c>
      <c r="I49" s="12">
        <f>F49/5*G49</f>
        <v>3447.2178900000004</v>
      </c>
    </row>
    <row r="50" spans="1:9" ht="35.25" hidden="1" customHeight="1">
      <c r="A50" s="26">
        <v>12</v>
      </c>
      <c r="B50" s="32" t="s">
        <v>107</v>
      </c>
      <c r="C50" s="39" t="s">
        <v>89</v>
      </c>
      <c r="D50" s="32" t="s">
        <v>39</v>
      </c>
      <c r="E50" s="106">
        <v>3181</v>
      </c>
      <c r="F50" s="31">
        <f>SUM(E50*2/1000)</f>
        <v>6.3620000000000001</v>
      </c>
      <c r="G50" s="34">
        <v>1591.6</v>
      </c>
      <c r="H50" s="107">
        <f t="shared" si="12"/>
        <v>10.125759200000001</v>
      </c>
      <c r="I50" s="12">
        <f>F50/2*G50</f>
        <v>5062.8796000000002</v>
      </c>
    </row>
    <row r="51" spans="1:9" ht="30.75" hidden="1" customHeight="1">
      <c r="A51" s="26">
        <v>13</v>
      </c>
      <c r="B51" s="32" t="s">
        <v>108</v>
      </c>
      <c r="C51" s="39" t="s">
        <v>35</v>
      </c>
      <c r="D51" s="32" t="s">
        <v>39</v>
      </c>
      <c r="E51" s="106">
        <v>20</v>
      </c>
      <c r="F51" s="31">
        <f>SUM(E51*2/100)</f>
        <v>0.4</v>
      </c>
      <c r="G51" s="34">
        <v>4058.32</v>
      </c>
      <c r="H51" s="107">
        <f t="shared" si="12"/>
        <v>1.6233280000000001</v>
      </c>
      <c r="I51" s="12">
        <f t="shared" ref="I51:I52" si="14">F51/2*G51</f>
        <v>811.6640000000001</v>
      </c>
    </row>
    <row r="52" spans="1:9" ht="15.75" hidden="1" customHeight="1">
      <c r="A52" s="26">
        <v>14</v>
      </c>
      <c r="B52" s="32" t="s">
        <v>36</v>
      </c>
      <c r="C52" s="39" t="s">
        <v>37</v>
      </c>
      <c r="D52" s="32" t="s">
        <v>39</v>
      </c>
      <c r="E52" s="106">
        <v>1</v>
      </c>
      <c r="F52" s="31">
        <v>0.02</v>
      </c>
      <c r="G52" s="34">
        <v>7412.92</v>
      </c>
      <c r="H52" s="107">
        <f t="shared" si="12"/>
        <v>0.14825839999999998</v>
      </c>
      <c r="I52" s="12">
        <f t="shared" si="14"/>
        <v>74.129199999999997</v>
      </c>
    </row>
    <row r="53" spans="1:9" ht="29.25" hidden="1" customHeight="1">
      <c r="A53" s="26">
        <v>13</v>
      </c>
      <c r="B53" s="32" t="s">
        <v>109</v>
      </c>
      <c r="C53" s="39" t="s">
        <v>90</v>
      </c>
      <c r="D53" s="32" t="s">
        <v>63</v>
      </c>
      <c r="E53" s="106">
        <v>70</v>
      </c>
      <c r="F53" s="31">
        <f>E53*3</f>
        <v>210</v>
      </c>
      <c r="G53" s="34">
        <v>185.08</v>
      </c>
      <c r="H53" s="107">
        <f t="shared" si="12"/>
        <v>38.866800000000005</v>
      </c>
      <c r="I53" s="12">
        <f>E53*G53</f>
        <v>12955.6</v>
      </c>
    </row>
    <row r="54" spans="1:9" ht="28.5" hidden="1" customHeight="1">
      <c r="A54" s="26">
        <v>14</v>
      </c>
      <c r="B54" s="32" t="s">
        <v>38</v>
      </c>
      <c r="C54" s="39" t="s">
        <v>90</v>
      </c>
      <c r="D54" s="32" t="s">
        <v>63</v>
      </c>
      <c r="E54" s="106">
        <v>140</v>
      </c>
      <c r="F54" s="31">
        <f>E54*3</f>
        <v>420</v>
      </c>
      <c r="G54" s="35">
        <v>86.15</v>
      </c>
      <c r="H54" s="107">
        <f t="shared" si="12"/>
        <v>36.183</v>
      </c>
      <c r="I54" s="12">
        <f>E54*G54</f>
        <v>12061</v>
      </c>
    </row>
    <row r="55" spans="1:9">
      <c r="A55" s="195" t="s">
        <v>75</v>
      </c>
      <c r="B55" s="198"/>
      <c r="C55" s="198"/>
      <c r="D55" s="198"/>
      <c r="E55" s="198"/>
      <c r="F55" s="198"/>
      <c r="G55" s="198"/>
      <c r="H55" s="198"/>
      <c r="I55" s="199"/>
    </row>
    <row r="56" spans="1:9" hidden="1">
      <c r="A56" s="26"/>
      <c r="B56" s="80" t="s">
        <v>40</v>
      </c>
      <c r="C56" s="59"/>
      <c r="D56" s="51"/>
      <c r="E56" s="60"/>
      <c r="F56" s="61"/>
      <c r="G56" s="61"/>
      <c r="H56" s="62"/>
      <c r="I56" s="12"/>
    </row>
    <row r="57" spans="1:9" ht="30" hidden="1">
      <c r="A57" s="26">
        <v>16</v>
      </c>
      <c r="B57" s="51" t="s">
        <v>110</v>
      </c>
      <c r="C57" s="59" t="s">
        <v>79</v>
      </c>
      <c r="D57" s="51" t="s">
        <v>111</v>
      </c>
      <c r="E57" s="60">
        <v>111.2</v>
      </c>
      <c r="F57" s="61">
        <f>SUM(E57*6/100)</f>
        <v>6.6720000000000006</v>
      </c>
      <c r="G57" s="12">
        <v>2431.1799999999998</v>
      </c>
      <c r="H57" s="62">
        <f>SUM(F57*G57/1000)</f>
        <v>16.220832959999999</v>
      </c>
      <c r="I57" s="12">
        <f>F57/6*G57</f>
        <v>2703.4721600000003</v>
      </c>
    </row>
    <row r="58" spans="1:9" hidden="1">
      <c r="A58" s="26">
        <v>13</v>
      </c>
      <c r="B58" s="70" t="s">
        <v>113</v>
      </c>
      <c r="C58" s="69" t="s">
        <v>114</v>
      </c>
      <c r="D58" s="13" t="s">
        <v>60</v>
      </c>
      <c r="E58" s="71"/>
      <c r="F58" s="72">
        <v>3</v>
      </c>
      <c r="G58" s="12">
        <v>1582.05</v>
      </c>
      <c r="H58" s="62">
        <f>SUM(F58*G58/1000)</f>
        <v>4.7461499999999992</v>
      </c>
      <c r="I58" s="12">
        <f>G58*1.5</f>
        <v>2373.0749999999998</v>
      </c>
    </row>
    <row r="59" spans="1:9">
      <c r="A59" s="26"/>
      <c r="B59" s="81" t="s">
        <v>41</v>
      </c>
      <c r="C59" s="69"/>
      <c r="D59" s="70"/>
      <c r="E59" s="71"/>
      <c r="F59" s="72"/>
      <c r="G59" s="12"/>
      <c r="H59" s="73"/>
      <c r="I59" s="12"/>
    </row>
    <row r="60" spans="1:9" hidden="1">
      <c r="A60" s="26"/>
      <c r="B60" s="70" t="s">
        <v>42</v>
      </c>
      <c r="C60" s="69" t="s">
        <v>50</v>
      </c>
      <c r="D60" s="70" t="s">
        <v>51</v>
      </c>
      <c r="E60" s="71">
        <v>222.85</v>
      </c>
      <c r="F60" s="72">
        <v>8.9</v>
      </c>
      <c r="G60" s="12">
        <v>1040.8399999999999</v>
      </c>
      <c r="H60" s="73">
        <f>F60*G60/1000</f>
        <v>9.2634759999999989</v>
      </c>
      <c r="I60" s="12">
        <v>0</v>
      </c>
    </row>
    <row r="61" spans="1:9">
      <c r="A61" s="26">
        <v>8</v>
      </c>
      <c r="B61" s="53" t="s">
        <v>151</v>
      </c>
      <c r="C61" s="155" t="s">
        <v>152</v>
      </c>
      <c r="D61" s="53" t="s">
        <v>166</v>
      </c>
      <c r="E61" s="156">
        <v>48</v>
      </c>
      <c r="F61" s="157">
        <f>E61*12/1</f>
        <v>576</v>
      </c>
      <c r="G61" s="158">
        <v>1.4</v>
      </c>
      <c r="H61" s="73"/>
      <c r="I61" s="12">
        <f>G61*F61/12</f>
        <v>67.2</v>
      </c>
    </row>
    <row r="62" spans="1:9" hidden="1">
      <c r="A62" s="26"/>
      <c r="B62" s="81" t="s">
        <v>43</v>
      </c>
      <c r="C62" s="69"/>
      <c r="D62" s="70"/>
      <c r="E62" s="71"/>
      <c r="F62" s="74"/>
      <c r="G62" s="74"/>
      <c r="H62" s="72" t="s">
        <v>98</v>
      </c>
      <c r="I62" s="12"/>
    </row>
    <row r="63" spans="1:9" ht="14.25" hidden="1" customHeight="1">
      <c r="A63" s="26">
        <v>11</v>
      </c>
      <c r="B63" s="13" t="s">
        <v>44</v>
      </c>
      <c r="C63" s="15" t="s">
        <v>90</v>
      </c>
      <c r="D63" s="13" t="s">
        <v>169</v>
      </c>
      <c r="E63" s="17">
        <v>4</v>
      </c>
      <c r="F63" s="61">
        <f>E63</f>
        <v>4</v>
      </c>
      <c r="G63" s="12">
        <v>291.68</v>
      </c>
      <c r="H63" s="75">
        <f t="shared" ref="H63:H70" si="15">SUM(F63*G63/1000)</f>
        <v>1.16672</v>
      </c>
      <c r="I63" s="12">
        <f>G63*2</f>
        <v>583.36</v>
      </c>
    </row>
    <row r="64" spans="1:9" ht="15.75" hidden="1" customHeight="1">
      <c r="A64" s="26">
        <v>17</v>
      </c>
      <c r="B64" s="13" t="s">
        <v>45</v>
      </c>
      <c r="C64" s="15" t="s">
        <v>90</v>
      </c>
      <c r="D64" s="13" t="s">
        <v>60</v>
      </c>
      <c r="E64" s="17">
        <v>4</v>
      </c>
      <c r="F64" s="61">
        <f>E64</f>
        <v>4</v>
      </c>
      <c r="G64" s="12">
        <v>100.01</v>
      </c>
      <c r="H64" s="75">
        <f t="shared" si="15"/>
        <v>0.40004000000000001</v>
      </c>
      <c r="I64" s="12">
        <f t="shared" ref="I64:I69" si="16">G64*2</f>
        <v>200.02</v>
      </c>
    </row>
    <row r="65" spans="1:9" ht="18" hidden="1" customHeight="1">
      <c r="A65" s="26">
        <v>24</v>
      </c>
      <c r="B65" s="13" t="s">
        <v>46</v>
      </c>
      <c r="C65" s="15" t="s">
        <v>91</v>
      </c>
      <c r="D65" s="13" t="s">
        <v>51</v>
      </c>
      <c r="E65" s="60">
        <v>12702</v>
      </c>
      <c r="F65" s="12">
        <f>SUM(E65/100)</f>
        <v>127.02</v>
      </c>
      <c r="G65" s="12">
        <v>278.24</v>
      </c>
      <c r="H65" s="75">
        <f t="shared" si="15"/>
        <v>35.342044800000004</v>
      </c>
      <c r="I65" s="12">
        <f t="shared" si="16"/>
        <v>556.48</v>
      </c>
    </row>
    <row r="66" spans="1:9" ht="18" hidden="1" customHeight="1">
      <c r="A66" s="26">
        <v>25</v>
      </c>
      <c r="B66" s="13" t="s">
        <v>47</v>
      </c>
      <c r="C66" s="15" t="s">
        <v>92</v>
      </c>
      <c r="D66" s="13"/>
      <c r="E66" s="60">
        <v>12702</v>
      </c>
      <c r="F66" s="12">
        <f>SUM(E66/1000)</f>
        <v>12.702</v>
      </c>
      <c r="G66" s="12">
        <v>216.68</v>
      </c>
      <c r="H66" s="75">
        <f t="shared" si="15"/>
        <v>2.7522693600000001</v>
      </c>
      <c r="I66" s="12">
        <f t="shared" si="16"/>
        <v>433.36</v>
      </c>
    </row>
    <row r="67" spans="1:9" ht="22.5" hidden="1" customHeight="1">
      <c r="A67" s="26">
        <v>26</v>
      </c>
      <c r="B67" s="13" t="s">
        <v>48</v>
      </c>
      <c r="C67" s="15" t="s">
        <v>69</v>
      </c>
      <c r="D67" s="13" t="s">
        <v>51</v>
      </c>
      <c r="E67" s="60">
        <v>2200</v>
      </c>
      <c r="F67" s="12">
        <f>SUM(E67/100)</f>
        <v>22</v>
      </c>
      <c r="G67" s="12">
        <v>2720.94</v>
      </c>
      <c r="H67" s="75">
        <f t="shared" si="15"/>
        <v>59.860680000000002</v>
      </c>
      <c r="I67" s="12">
        <f t="shared" si="16"/>
        <v>5441.88</v>
      </c>
    </row>
    <row r="68" spans="1:9" ht="17.25" hidden="1" customHeight="1">
      <c r="A68" s="26">
        <v>27</v>
      </c>
      <c r="B68" s="76" t="s">
        <v>93</v>
      </c>
      <c r="C68" s="15" t="s">
        <v>30</v>
      </c>
      <c r="D68" s="13"/>
      <c r="E68" s="60">
        <v>9.6</v>
      </c>
      <c r="F68" s="12">
        <f>SUM(E68)</f>
        <v>9.6</v>
      </c>
      <c r="G68" s="12">
        <v>42.61</v>
      </c>
      <c r="H68" s="75">
        <f t="shared" si="15"/>
        <v>0.40905599999999998</v>
      </c>
      <c r="I68" s="12">
        <f t="shared" si="16"/>
        <v>85.22</v>
      </c>
    </row>
    <row r="69" spans="1:9" ht="17.25" hidden="1" customHeight="1">
      <c r="A69" s="26">
        <v>28</v>
      </c>
      <c r="B69" s="76" t="s">
        <v>94</v>
      </c>
      <c r="C69" s="15" t="s">
        <v>30</v>
      </c>
      <c r="D69" s="13"/>
      <c r="E69" s="60">
        <v>9.6</v>
      </c>
      <c r="F69" s="12">
        <f>SUM(E69)</f>
        <v>9.6</v>
      </c>
      <c r="G69" s="12">
        <v>46.04</v>
      </c>
      <c r="H69" s="75">
        <f t="shared" si="15"/>
        <v>0.44198399999999999</v>
      </c>
      <c r="I69" s="12">
        <f t="shared" si="16"/>
        <v>92.08</v>
      </c>
    </row>
    <row r="70" spans="1:9" ht="18.75" hidden="1" customHeight="1">
      <c r="A70" s="26">
        <v>22</v>
      </c>
      <c r="B70" s="13" t="s">
        <v>54</v>
      </c>
      <c r="C70" s="15" t="s">
        <v>55</v>
      </c>
      <c r="D70" s="13" t="s">
        <v>51</v>
      </c>
      <c r="E70" s="17">
        <v>4</v>
      </c>
      <c r="F70" s="12">
        <f>SUM(E70)</f>
        <v>4</v>
      </c>
      <c r="G70" s="12">
        <v>65.42</v>
      </c>
      <c r="H70" s="75">
        <f t="shared" si="15"/>
        <v>0.26168000000000002</v>
      </c>
      <c r="I70" s="12">
        <f>G70*4</f>
        <v>261.68</v>
      </c>
    </row>
    <row r="71" spans="1:9" ht="18.75" customHeight="1">
      <c r="A71" s="26"/>
      <c r="B71" s="55" t="s">
        <v>177</v>
      </c>
      <c r="C71" s="15"/>
      <c r="D71" s="13"/>
      <c r="E71" s="17"/>
      <c r="F71" s="56"/>
      <c r="G71" s="12"/>
      <c r="H71" s="75"/>
      <c r="I71" s="12"/>
    </row>
    <row r="72" spans="1:9" ht="30">
      <c r="A72" s="26">
        <v>9</v>
      </c>
      <c r="B72" s="36" t="s">
        <v>141</v>
      </c>
      <c r="C72" s="135" t="s">
        <v>142</v>
      </c>
      <c r="D72" s="36"/>
      <c r="E72" s="16">
        <v>3181</v>
      </c>
      <c r="F72" s="31">
        <f>SUM(E72)*12</f>
        <v>38172</v>
      </c>
      <c r="G72" s="34">
        <v>2.6</v>
      </c>
      <c r="H72" s="75">
        <f t="shared" ref="H72" si="17">SUM(F72*G72/1000)</f>
        <v>99.247199999999992</v>
      </c>
      <c r="I72" s="12">
        <f>F72/12*G72</f>
        <v>8270.6</v>
      </c>
    </row>
    <row r="73" spans="1:9">
      <c r="A73" s="26"/>
      <c r="B73" s="55" t="s">
        <v>64</v>
      </c>
      <c r="C73" s="15"/>
      <c r="D73" s="13"/>
      <c r="E73" s="17"/>
      <c r="F73" s="12"/>
      <c r="G73" s="12"/>
      <c r="H73" s="75" t="s">
        <v>98</v>
      </c>
      <c r="I73" s="12"/>
    </row>
    <row r="74" spans="1:9" ht="30" hidden="1">
      <c r="A74" s="26">
        <v>18</v>
      </c>
      <c r="B74" s="13" t="s">
        <v>143</v>
      </c>
      <c r="C74" s="15" t="s">
        <v>28</v>
      </c>
      <c r="D74" s="13" t="s">
        <v>60</v>
      </c>
      <c r="E74" s="17">
        <v>1</v>
      </c>
      <c r="F74" s="61">
        <f t="shared" ref="F74" si="18">E74</f>
        <v>1</v>
      </c>
      <c r="G74" s="12">
        <v>1543.4</v>
      </c>
      <c r="H74" s="75">
        <f>G74*F74/1000</f>
        <v>1.5434000000000001</v>
      </c>
      <c r="I74" s="12">
        <v>0</v>
      </c>
    </row>
    <row r="75" spans="1:9" hidden="1">
      <c r="A75" s="26">
        <v>16</v>
      </c>
      <c r="B75" s="50" t="s">
        <v>144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130.96</v>
      </c>
      <c r="H75" s="75">
        <f>G75*F75/1000</f>
        <v>0.13096000000000002</v>
      </c>
      <c r="I75" s="12">
        <f>G75</f>
        <v>130.96</v>
      </c>
    </row>
    <row r="76" spans="1:9" hidden="1">
      <c r="A76" s="26">
        <v>16</v>
      </c>
      <c r="B76" s="13" t="s">
        <v>65</v>
      </c>
      <c r="C76" s="15" t="s">
        <v>67</v>
      </c>
      <c r="D76" s="13" t="s">
        <v>60</v>
      </c>
      <c r="E76" s="17">
        <v>3</v>
      </c>
      <c r="F76" s="61">
        <f>E76/10</f>
        <v>0.3</v>
      </c>
      <c r="G76" s="12">
        <v>657.87</v>
      </c>
      <c r="H76" s="75">
        <f t="shared" ref="H76:H78" si="19">SUM(F76*G76/1000)</f>
        <v>0.19736099999999998</v>
      </c>
      <c r="I76" s="12">
        <f>G76*0.1</f>
        <v>65.787000000000006</v>
      </c>
    </row>
    <row r="77" spans="1:9" hidden="1">
      <c r="A77" s="26"/>
      <c r="B77" s="13" t="s">
        <v>66</v>
      </c>
      <c r="C77" s="15" t="s">
        <v>28</v>
      </c>
      <c r="D77" s="13" t="s">
        <v>60</v>
      </c>
      <c r="E77" s="17">
        <v>1</v>
      </c>
      <c r="F77" s="61">
        <f>E77</f>
        <v>1</v>
      </c>
      <c r="G77" s="12">
        <v>1118.72</v>
      </c>
      <c r="H77" s="75">
        <f t="shared" si="19"/>
        <v>1.1187199999999999</v>
      </c>
      <c r="I77" s="12">
        <v>0</v>
      </c>
    </row>
    <row r="78" spans="1:9" hidden="1">
      <c r="A78" s="26"/>
      <c r="B78" s="50" t="s">
        <v>145</v>
      </c>
      <c r="C78" s="54" t="s">
        <v>90</v>
      </c>
      <c r="D78" s="13" t="s">
        <v>60</v>
      </c>
      <c r="E78" s="17">
        <v>1</v>
      </c>
      <c r="F78" s="61">
        <f>E78</f>
        <v>1</v>
      </c>
      <c r="G78" s="12">
        <v>1605.83</v>
      </c>
      <c r="H78" s="75">
        <f t="shared" si="19"/>
        <v>1.6058299999999999</v>
      </c>
      <c r="I78" s="12">
        <v>0</v>
      </c>
    </row>
    <row r="79" spans="1:9" ht="30">
      <c r="A79" s="26">
        <v>10</v>
      </c>
      <c r="B79" s="121" t="s">
        <v>146</v>
      </c>
      <c r="C79" s="122" t="s">
        <v>90</v>
      </c>
      <c r="D79" s="36" t="s">
        <v>166</v>
      </c>
      <c r="E79" s="16">
        <v>2</v>
      </c>
      <c r="F79" s="31">
        <f>E79*12</f>
        <v>24</v>
      </c>
      <c r="G79" s="34">
        <v>425</v>
      </c>
      <c r="H79" s="75">
        <f t="shared" ref="H79" si="20">SUM(F79*G79/1000)</f>
        <v>10.199999999999999</v>
      </c>
      <c r="I79" s="12">
        <f>G79*2</f>
        <v>850</v>
      </c>
    </row>
    <row r="80" spans="1:9" hidden="1">
      <c r="A80" s="26"/>
      <c r="B80" s="77" t="s">
        <v>68</v>
      </c>
      <c r="C80" s="15"/>
      <c r="D80" s="13"/>
      <c r="E80" s="17"/>
      <c r="F80" s="12"/>
      <c r="G80" s="12" t="s">
        <v>98</v>
      </c>
      <c r="H80" s="75" t="s">
        <v>98</v>
      </c>
      <c r="I80" s="12"/>
    </row>
    <row r="81" spans="1:9" hidden="1">
      <c r="A81" s="26"/>
      <c r="B81" s="45" t="s">
        <v>97</v>
      </c>
      <c r="C81" s="15" t="s">
        <v>69</v>
      </c>
      <c r="D81" s="13"/>
      <c r="E81" s="17"/>
      <c r="F81" s="12">
        <v>1</v>
      </c>
      <c r="G81" s="178">
        <v>33619</v>
      </c>
      <c r="H81" s="75">
        <f t="shared" ref="H81" si="21">SUM(F81*G81/1000)</f>
        <v>33.619</v>
      </c>
      <c r="I81" s="12">
        <f>G81*0.06</f>
        <v>2017.1399999999999</v>
      </c>
    </row>
    <row r="82" spans="1:9" ht="28.5">
      <c r="A82" s="26"/>
      <c r="B82" s="55" t="s">
        <v>95</v>
      </c>
      <c r="C82" s="77"/>
      <c r="D82" s="27"/>
      <c r="E82" s="30"/>
      <c r="F82" s="66"/>
      <c r="G82" s="66"/>
      <c r="H82" s="78">
        <f>SUM(H57:H81)</f>
        <v>278.52740411999997</v>
      </c>
      <c r="I82" s="66"/>
    </row>
    <row r="83" spans="1:9">
      <c r="A83" s="104">
        <v>11</v>
      </c>
      <c r="B83" s="53" t="s">
        <v>96</v>
      </c>
      <c r="C83" s="109"/>
      <c r="D83" s="110"/>
      <c r="E83" s="110"/>
      <c r="F83" s="111">
        <v>1</v>
      </c>
      <c r="G83" s="111">
        <v>361.6</v>
      </c>
      <c r="H83" s="112">
        <f>G83*F83/1000</f>
        <v>0.36160000000000003</v>
      </c>
      <c r="I83" s="79">
        <f>G83</f>
        <v>361.6</v>
      </c>
    </row>
    <row r="84" spans="1:9" hidden="1">
      <c r="A84" s="49"/>
      <c r="B84" s="113" t="s">
        <v>147</v>
      </c>
      <c r="C84" s="15"/>
      <c r="D84" s="13"/>
      <c r="E84" s="13"/>
      <c r="F84" s="12">
        <v>69</v>
      </c>
      <c r="G84" s="12">
        <v>700</v>
      </c>
      <c r="H84" s="75">
        <f>G84*F84/1000</f>
        <v>48.3</v>
      </c>
      <c r="I84" s="114">
        <v>0</v>
      </c>
    </row>
    <row r="85" spans="1:9">
      <c r="A85" s="192" t="s">
        <v>124</v>
      </c>
      <c r="B85" s="200"/>
      <c r="C85" s="200"/>
      <c r="D85" s="200"/>
      <c r="E85" s="200"/>
      <c r="F85" s="200"/>
      <c r="G85" s="200"/>
      <c r="H85" s="200"/>
      <c r="I85" s="201"/>
    </row>
    <row r="86" spans="1:9">
      <c r="A86" s="99">
        <v>12</v>
      </c>
      <c r="B86" s="32" t="s">
        <v>112</v>
      </c>
      <c r="C86" s="37" t="s">
        <v>52</v>
      </c>
      <c r="D86" s="162"/>
      <c r="E86" s="34">
        <v>3181</v>
      </c>
      <c r="F86" s="34">
        <f>SUM(E86*12)</f>
        <v>38172</v>
      </c>
      <c r="G86" s="34">
        <v>3.5</v>
      </c>
      <c r="H86" s="105">
        <f>SUM(F86*G86/1000)</f>
        <v>133.602</v>
      </c>
      <c r="I86" s="100">
        <f>F86/12*G86</f>
        <v>11133.5</v>
      </c>
    </row>
    <row r="87" spans="1:9" ht="30">
      <c r="A87" s="26">
        <v>13</v>
      </c>
      <c r="B87" s="36" t="s">
        <v>181</v>
      </c>
      <c r="C87" s="37" t="s">
        <v>152</v>
      </c>
      <c r="D87" s="163"/>
      <c r="E87" s="106">
        <f>E86</f>
        <v>3181</v>
      </c>
      <c r="F87" s="34">
        <f>E87*12</f>
        <v>38172</v>
      </c>
      <c r="G87" s="34">
        <v>3.2</v>
      </c>
      <c r="H87" s="75">
        <f>F87*G87/1000</f>
        <v>122.1504</v>
      </c>
      <c r="I87" s="12">
        <f>F87/12*G87</f>
        <v>10179.200000000001</v>
      </c>
    </row>
    <row r="88" spans="1:9">
      <c r="A88" s="49"/>
      <c r="B88" s="38" t="s">
        <v>71</v>
      </c>
      <c r="C88" s="15"/>
      <c r="D88" s="45"/>
      <c r="E88" s="12"/>
      <c r="F88" s="12"/>
      <c r="G88" s="12"/>
      <c r="H88" s="75">
        <f>H87</f>
        <v>122.1504</v>
      </c>
      <c r="I88" s="66">
        <f>I87+I86+I79+I72+I61+I43+I40+I39+I37+I18+I17+I16+I83</f>
        <v>50276.465216666664</v>
      </c>
    </row>
    <row r="89" spans="1:9">
      <c r="A89" s="202" t="s">
        <v>56</v>
      </c>
      <c r="B89" s="203"/>
      <c r="C89" s="203"/>
      <c r="D89" s="203"/>
      <c r="E89" s="203"/>
      <c r="F89" s="203"/>
      <c r="G89" s="203"/>
      <c r="H89" s="203"/>
      <c r="I89" s="204"/>
    </row>
    <row r="90" spans="1:9">
      <c r="A90" s="26">
        <v>14</v>
      </c>
      <c r="B90" s="121" t="s">
        <v>229</v>
      </c>
      <c r="C90" s="122" t="s">
        <v>90</v>
      </c>
      <c r="D90" s="163"/>
      <c r="E90" s="34"/>
      <c r="F90" s="34">
        <v>2</v>
      </c>
      <c r="G90" s="34">
        <v>725.12</v>
      </c>
      <c r="H90" s="72"/>
      <c r="I90" s="12">
        <f>G90*1</f>
        <v>725.12</v>
      </c>
    </row>
    <row r="91" spans="1:9">
      <c r="A91" s="26">
        <v>15</v>
      </c>
      <c r="B91" s="121" t="s">
        <v>184</v>
      </c>
      <c r="C91" s="122" t="s">
        <v>50</v>
      </c>
      <c r="D91" s="163" t="s">
        <v>243</v>
      </c>
      <c r="E91" s="34"/>
      <c r="F91" s="34">
        <v>2E-3</v>
      </c>
      <c r="G91" s="34">
        <v>85495.8</v>
      </c>
      <c r="H91" s="56"/>
      <c r="I91" s="12">
        <f>G91*0.002</f>
        <v>170.99160000000001</v>
      </c>
    </row>
    <row r="92" spans="1:9">
      <c r="A92" s="26">
        <v>16</v>
      </c>
      <c r="B92" s="177" t="s">
        <v>234</v>
      </c>
      <c r="C92" s="135" t="s">
        <v>81</v>
      </c>
      <c r="D92" s="163" t="s">
        <v>243</v>
      </c>
      <c r="E92" s="34"/>
      <c r="F92" s="34">
        <v>0.02</v>
      </c>
      <c r="G92" s="34">
        <v>36554.97</v>
      </c>
      <c r="H92" s="56"/>
      <c r="I92" s="12">
        <f>G92*0.02</f>
        <v>731.09940000000006</v>
      </c>
    </row>
    <row r="93" spans="1:9" ht="30">
      <c r="A93" s="26">
        <v>17</v>
      </c>
      <c r="B93" s="121" t="s">
        <v>235</v>
      </c>
      <c r="C93" s="122" t="s">
        <v>90</v>
      </c>
      <c r="D93" s="163" t="s">
        <v>242</v>
      </c>
      <c r="E93" s="34"/>
      <c r="F93" s="34">
        <v>1</v>
      </c>
      <c r="G93" s="34">
        <v>1226.45</v>
      </c>
      <c r="H93" s="56"/>
      <c r="I93" s="12">
        <f t="shared" ref="I93:I98" si="22">G93*1</f>
        <v>1226.45</v>
      </c>
    </row>
    <row r="94" spans="1:9">
      <c r="A94" s="26">
        <v>18</v>
      </c>
      <c r="B94" s="121" t="s">
        <v>236</v>
      </c>
      <c r="C94" s="122" t="s">
        <v>90</v>
      </c>
      <c r="D94" s="163"/>
      <c r="E94" s="34"/>
      <c r="F94" s="34">
        <v>1</v>
      </c>
      <c r="G94" s="34">
        <v>91.8</v>
      </c>
      <c r="H94" s="56"/>
      <c r="I94" s="12">
        <f t="shared" si="22"/>
        <v>91.8</v>
      </c>
    </row>
    <row r="95" spans="1:9">
      <c r="A95" s="26">
        <v>19</v>
      </c>
      <c r="B95" s="121" t="s">
        <v>237</v>
      </c>
      <c r="C95" s="122" t="s">
        <v>90</v>
      </c>
      <c r="D95" s="163"/>
      <c r="E95" s="34"/>
      <c r="F95" s="34">
        <v>1</v>
      </c>
      <c r="G95" s="34">
        <v>120</v>
      </c>
      <c r="H95" s="56"/>
      <c r="I95" s="12">
        <f t="shared" si="22"/>
        <v>120</v>
      </c>
    </row>
    <row r="96" spans="1:9">
      <c r="A96" s="26">
        <v>20</v>
      </c>
      <c r="B96" s="121" t="s">
        <v>238</v>
      </c>
      <c r="C96" s="122" t="s">
        <v>90</v>
      </c>
      <c r="D96" s="163"/>
      <c r="E96" s="34"/>
      <c r="F96" s="34">
        <v>1</v>
      </c>
      <c r="G96" s="34">
        <v>139</v>
      </c>
      <c r="H96" s="56"/>
      <c r="I96" s="12">
        <f t="shared" si="22"/>
        <v>139</v>
      </c>
    </row>
    <row r="97" spans="1:9">
      <c r="A97" s="26">
        <v>21</v>
      </c>
      <c r="B97" s="121" t="s">
        <v>239</v>
      </c>
      <c r="C97" s="122" t="s">
        <v>90</v>
      </c>
      <c r="D97" s="163"/>
      <c r="E97" s="34"/>
      <c r="F97" s="34">
        <v>1</v>
      </c>
      <c r="G97" s="34">
        <v>98</v>
      </c>
      <c r="H97" s="56"/>
      <c r="I97" s="12">
        <f t="shared" si="22"/>
        <v>98</v>
      </c>
    </row>
    <row r="98" spans="1:9">
      <c r="A98" s="26">
        <v>22</v>
      </c>
      <c r="B98" s="121" t="s">
        <v>240</v>
      </c>
      <c r="C98" s="122" t="s">
        <v>90</v>
      </c>
      <c r="D98" s="163"/>
      <c r="E98" s="34"/>
      <c r="F98" s="34">
        <v>1</v>
      </c>
      <c r="G98" s="34">
        <v>74</v>
      </c>
      <c r="H98" s="56"/>
      <c r="I98" s="12">
        <f t="shared" si="22"/>
        <v>74</v>
      </c>
    </row>
    <row r="99" spans="1:9">
      <c r="A99" s="26">
        <v>23</v>
      </c>
      <c r="B99" s="121" t="s">
        <v>241</v>
      </c>
      <c r="C99" s="122" t="s">
        <v>90</v>
      </c>
      <c r="D99" s="163"/>
      <c r="E99" s="34"/>
      <c r="F99" s="34">
        <v>2</v>
      </c>
      <c r="G99" s="34">
        <v>65</v>
      </c>
      <c r="H99" s="56"/>
      <c r="I99" s="12">
        <f>G99*2</f>
        <v>130</v>
      </c>
    </row>
    <row r="100" spans="1:9">
      <c r="A100" s="26">
        <v>24</v>
      </c>
      <c r="B100" s="121" t="s">
        <v>244</v>
      </c>
      <c r="C100" s="122" t="s">
        <v>90</v>
      </c>
      <c r="D100" s="163" t="s">
        <v>246</v>
      </c>
      <c r="E100" s="34"/>
      <c r="F100" s="34">
        <v>1</v>
      </c>
      <c r="G100" s="34">
        <v>218.18</v>
      </c>
      <c r="H100" s="56"/>
      <c r="I100" s="12">
        <v>0</v>
      </c>
    </row>
    <row r="101" spans="1:9">
      <c r="A101" s="26">
        <v>25</v>
      </c>
      <c r="B101" s="121" t="s">
        <v>178</v>
      </c>
      <c r="C101" s="122" t="s">
        <v>245</v>
      </c>
      <c r="D101" s="163" t="s">
        <v>246</v>
      </c>
      <c r="E101" s="34"/>
      <c r="F101" s="34">
        <v>1</v>
      </c>
      <c r="G101" s="34">
        <v>101.85</v>
      </c>
      <c r="H101" s="56"/>
      <c r="I101" s="12">
        <v>0</v>
      </c>
    </row>
    <row r="102" spans="1:9">
      <c r="A102" s="26"/>
      <c r="B102" s="27" t="s">
        <v>49</v>
      </c>
      <c r="C102" s="40"/>
      <c r="D102" s="46"/>
      <c r="E102" s="40">
        <v>1</v>
      </c>
      <c r="F102" s="40"/>
      <c r="G102" s="40"/>
      <c r="H102" s="40"/>
      <c r="I102" s="30">
        <f>SUM(I90:I101)</f>
        <v>3506.4610000000002</v>
      </c>
    </row>
    <row r="103" spans="1:9">
      <c r="A103" s="26"/>
      <c r="B103" s="45" t="s">
        <v>70</v>
      </c>
      <c r="C103" s="14"/>
      <c r="D103" s="14"/>
      <c r="E103" s="41"/>
      <c r="F103" s="41"/>
      <c r="G103" s="42"/>
      <c r="H103" s="42"/>
      <c r="I103" s="16">
        <v>0</v>
      </c>
    </row>
    <row r="104" spans="1:9">
      <c r="A104" s="47"/>
      <c r="B104" s="44" t="s">
        <v>137</v>
      </c>
      <c r="C104" s="33"/>
      <c r="D104" s="33"/>
      <c r="E104" s="33"/>
      <c r="F104" s="33"/>
      <c r="G104" s="33"/>
      <c r="H104" s="33"/>
      <c r="I104" s="43">
        <f>I88+I102</f>
        <v>53782.926216666667</v>
      </c>
    </row>
    <row r="105" spans="1:9" ht="15.75">
      <c r="A105" s="191" t="s">
        <v>247</v>
      </c>
      <c r="B105" s="191"/>
      <c r="C105" s="191"/>
      <c r="D105" s="191"/>
      <c r="E105" s="191"/>
      <c r="F105" s="191"/>
      <c r="G105" s="191"/>
      <c r="H105" s="191"/>
      <c r="I105" s="191"/>
    </row>
    <row r="106" spans="1:9" ht="15.75">
      <c r="A106" s="8"/>
      <c r="B106" s="205" t="s">
        <v>248</v>
      </c>
      <c r="C106" s="205"/>
      <c r="D106" s="205"/>
      <c r="E106" s="205"/>
      <c r="F106" s="205"/>
      <c r="G106" s="205"/>
      <c r="H106" s="133"/>
      <c r="I106" s="3"/>
    </row>
    <row r="107" spans="1:9">
      <c r="A107" s="130"/>
      <c r="B107" s="206" t="s">
        <v>5</v>
      </c>
      <c r="C107" s="206"/>
      <c r="D107" s="206"/>
      <c r="E107" s="206"/>
      <c r="F107" s="206"/>
      <c r="G107" s="206"/>
      <c r="H107" s="23"/>
      <c r="I107" s="5"/>
    </row>
    <row r="108" spans="1:9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>
      <c r="A109" s="207" t="s">
        <v>6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15.75">
      <c r="A110" s="207" t="s">
        <v>7</v>
      </c>
      <c r="B110" s="207"/>
      <c r="C110" s="207"/>
      <c r="D110" s="207"/>
      <c r="E110" s="207"/>
      <c r="F110" s="207"/>
      <c r="G110" s="207"/>
      <c r="H110" s="207"/>
      <c r="I110" s="207"/>
    </row>
    <row r="111" spans="1:9" ht="15.75">
      <c r="A111" s="191" t="s">
        <v>8</v>
      </c>
      <c r="B111" s="191"/>
      <c r="C111" s="191"/>
      <c r="D111" s="191"/>
      <c r="E111" s="191"/>
      <c r="F111" s="191"/>
      <c r="G111" s="191"/>
      <c r="H111" s="191"/>
      <c r="I111" s="191"/>
    </row>
    <row r="112" spans="1:9" ht="15.75">
      <c r="A112" s="10"/>
    </row>
    <row r="113" spans="1:9" ht="15.75">
      <c r="A113" s="209" t="s">
        <v>9</v>
      </c>
      <c r="B113" s="209"/>
      <c r="C113" s="209"/>
      <c r="D113" s="209"/>
      <c r="E113" s="209"/>
      <c r="F113" s="209"/>
      <c r="G113" s="209"/>
      <c r="H113" s="209"/>
      <c r="I113" s="209"/>
    </row>
    <row r="114" spans="1:9" ht="15.75">
      <c r="A114" s="4"/>
    </row>
    <row r="115" spans="1:9" ht="15.75">
      <c r="A115" s="191" t="s">
        <v>10</v>
      </c>
      <c r="B115" s="191"/>
      <c r="C115" s="210" t="s">
        <v>187</v>
      </c>
      <c r="D115" s="210"/>
      <c r="E115" s="210"/>
      <c r="F115" s="57"/>
      <c r="I115" s="132"/>
    </row>
    <row r="116" spans="1:9">
      <c r="A116" s="130"/>
      <c r="C116" s="206" t="s">
        <v>11</v>
      </c>
      <c r="D116" s="206"/>
      <c r="E116" s="206"/>
      <c r="F116" s="23"/>
      <c r="I116" s="131" t="s">
        <v>12</v>
      </c>
    </row>
    <row r="117" spans="1:9" ht="15.75">
      <c r="A117" s="24"/>
      <c r="C117" s="11"/>
      <c r="D117" s="11"/>
      <c r="G117" s="11"/>
      <c r="H117" s="11"/>
    </row>
    <row r="118" spans="1:9" ht="15.75">
      <c r="A118" s="191" t="s">
        <v>13</v>
      </c>
      <c r="B118" s="191"/>
      <c r="C118" s="212"/>
      <c r="D118" s="212"/>
      <c r="E118" s="212"/>
      <c r="F118" s="58"/>
      <c r="I118" s="132"/>
    </row>
    <row r="119" spans="1:9">
      <c r="A119" s="130"/>
      <c r="C119" s="211" t="s">
        <v>11</v>
      </c>
      <c r="D119" s="211"/>
      <c r="E119" s="211"/>
      <c r="F119" s="130"/>
      <c r="I119" s="131" t="s">
        <v>12</v>
      </c>
    </row>
    <row r="120" spans="1:9" ht="15.75">
      <c r="A120" s="4" t="s">
        <v>14</v>
      </c>
    </row>
    <row r="121" spans="1:9">
      <c r="A121" s="213" t="s">
        <v>15</v>
      </c>
      <c r="B121" s="213"/>
      <c r="C121" s="213"/>
      <c r="D121" s="213"/>
      <c r="E121" s="213"/>
      <c r="F121" s="213"/>
      <c r="G121" s="213"/>
      <c r="H121" s="213"/>
      <c r="I121" s="213"/>
    </row>
    <row r="122" spans="1:9" ht="43.5" customHeight="1">
      <c r="A122" s="208" t="s">
        <v>16</v>
      </c>
      <c r="B122" s="208"/>
      <c r="C122" s="208"/>
      <c r="D122" s="208"/>
      <c r="E122" s="208"/>
      <c r="F122" s="208"/>
      <c r="G122" s="208"/>
      <c r="H122" s="208"/>
      <c r="I122" s="208"/>
    </row>
    <row r="123" spans="1:9" ht="38.25" customHeight="1">
      <c r="A123" s="208" t="s">
        <v>17</v>
      </c>
      <c r="B123" s="208"/>
      <c r="C123" s="208"/>
      <c r="D123" s="208"/>
      <c r="E123" s="208"/>
      <c r="F123" s="208"/>
      <c r="G123" s="208"/>
      <c r="H123" s="208"/>
      <c r="I123" s="208"/>
    </row>
    <row r="124" spans="1:9" ht="33" customHeight="1">
      <c r="A124" s="208" t="s">
        <v>21</v>
      </c>
      <c r="B124" s="208"/>
      <c r="C124" s="208"/>
      <c r="D124" s="208"/>
      <c r="E124" s="208"/>
      <c r="F124" s="208"/>
      <c r="G124" s="208"/>
      <c r="H124" s="208"/>
      <c r="I124" s="208"/>
    </row>
    <row r="125" spans="1:9" ht="15.75">
      <c r="A125" s="208" t="s">
        <v>20</v>
      </c>
      <c r="B125" s="208"/>
      <c r="C125" s="208"/>
      <c r="D125" s="208"/>
      <c r="E125" s="208"/>
      <c r="F125" s="208"/>
      <c r="G125" s="208"/>
      <c r="H125" s="208"/>
      <c r="I125" s="208"/>
    </row>
  </sheetData>
  <mergeCells count="30">
    <mergeCell ref="A125:I125"/>
    <mergeCell ref="A113:I113"/>
    <mergeCell ref="A115:B115"/>
    <mergeCell ref="C115:E115"/>
    <mergeCell ref="C116:E116"/>
    <mergeCell ref="A118:B118"/>
    <mergeCell ref="C118:E118"/>
    <mergeCell ref="C119:E119"/>
    <mergeCell ref="A121:I121"/>
    <mergeCell ref="A122:I122"/>
    <mergeCell ref="A123:I123"/>
    <mergeCell ref="A124:I124"/>
    <mergeCell ref="A111:I111"/>
    <mergeCell ref="A15:I15"/>
    <mergeCell ref="A27:I27"/>
    <mergeCell ref="A44:I44"/>
    <mergeCell ref="A55:I55"/>
    <mergeCell ref="A85:I85"/>
    <mergeCell ref="A89:I89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  <rowBreaks count="1" manualBreakCount="1"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topLeftCell="A31" workbookViewId="0">
      <selection activeCell="B43" sqref="B43:I5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7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120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249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44347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80</v>
      </c>
      <c r="C19" s="59" t="s">
        <v>81</v>
      </c>
      <c r="D19" s="51" t="s">
        <v>170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F19*G19</f>
        <v>571.3152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83</v>
      </c>
      <c r="C20" s="59" t="s">
        <v>79</v>
      </c>
      <c r="D20" s="51" t="s">
        <v>166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84</v>
      </c>
      <c r="C21" s="59" t="s">
        <v>79</v>
      </c>
      <c r="D21" s="51" t="s">
        <v>166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85</v>
      </c>
      <c r="C22" s="59" t="s">
        <v>50</v>
      </c>
      <c r="D22" s="51" t="s">
        <v>171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86</v>
      </c>
      <c r="C23" s="59" t="s">
        <v>50</v>
      </c>
      <c r="D23" s="51" t="s">
        <v>172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87</v>
      </c>
      <c r="C24" s="59" t="s">
        <v>50</v>
      </c>
      <c r="D24" s="52" t="s">
        <v>172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88</v>
      </c>
      <c r="C25" s="59" t="s">
        <v>50</v>
      </c>
      <c r="D25" s="51" t="s">
        <v>173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customHeight="1">
      <c r="A29" s="99">
        <v>4</v>
      </c>
      <c r="B29" s="32" t="s">
        <v>131</v>
      </c>
      <c r="C29" s="39" t="s">
        <v>89</v>
      </c>
      <c r="D29" s="32" t="s">
        <v>250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3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5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customHeight="1">
      <c r="A31" s="26">
        <v>6</v>
      </c>
      <c r="B31" s="32" t="s">
        <v>26</v>
      </c>
      <c r="C31" s="39" t="s">
        <v>89</v>
      </c>
      <c r="D31" s="32" t="s">
        <v>170</v>
      </c>
      <c r="E31" s="31">
        <f>E29</f>
        <v>210.2</v>
      </c>
      <c r="F31" s="31">
        <f>SUM(E31/1000)</f>
        <v>0.2102</v>
      </c>
      <c r="G31" s="31">
        <v>4502.97</v>
      </c>
      <c r="H31" s="62">
        <f t="shared" si="7"/>
        <v>0.94652429400000004</v>
      </c>
      <c r="I31" s="12">
        <f>F31*G31</f>
        <v>946.52429400000005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7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4"/>
      <c r="B33" s="51" t="s">
        <v>100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7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1"/>
      <c r="B34" s="55" t="s">
        <v>4</v>
      </c>
      <c r="C34" s="103"/>
      <c r="D34" s="103"/>
      <c r="E34" s="103"/>
      <c r="F34" s="103"/>
      <c r="G34" s="103"/>
      <c r="H34" s="103"/>
      <c r="I34" s="103"/>
      <c r="J34" s="21"/>
      <c r="K34" s="6"/>
      <c r="L34" s="6"/>
      <c r="M34" s="6"/>
    </row>
    <row r="35" spans="1:14" ht="15.75" hidden="1" customHeight="1">
      <c r="A35" s="99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9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138</v>
      </c>
      <c r="C36" s="59" t="s">
        <v>27</v>
      </c>
      <c r="D36" s="51" t="s">
        <v>101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102</v>
      </c>
      <c r="C37" s="59" t="s">
        <v>103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0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104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9"/>
        <v>6.5598852000000001</v>
      </c>
      <c r="I38" s="12">
        <f t="shared" si="10"/>
        <v>1093.3141999999998</v>
      </c>
      <c r="J38" s="22"/>
    </row>
    <row r="39" spans="1:14" ht="48" hidden="1" customHeight="1">
      <c r="A39" s="26">
        <v>9</v>
      </c>
      <c r="B39" s="51" t="s">
        <v>73</v>
      </c>
      <c r="C39" s="59" t="s">
        <v>89</v>
      </c>
      <c r="D39" s="51" t="s">
        <v>139</v>
      </c>
      <c r="E39" s="61">
        <v>92</v>
      </c>
      <c r="F39" s="61">
        <f>SUM(E39*35/1000)</f>
        <v>3.22</v>
      </c>
      <c r="G39" s="61">
        <v>7611.16</v>
      </c>
      <c r="H39" s="62">
        <f t="shared" si="9"/>
        <v>24.507935199999999</v>
      </c>
      <c r="I39" s="12">
        <f t="shared" si="10"/>
        <v>4084.655866666667</v>
      </c>
      <c r="J39" s="22"/>
    </row>
    <row r="40" spans="1:14" ht="15.75" hidden="1" customHeight="1">
      <c r="A40" s="26">
        <v>10</v>
      </c>
      <c r="B40" s="51" t="s">
        <v>105</v>
      </c>
      <c r="C40" s="59" t="s">
        <v>89</v>
      </c>
      <c r="D40" s="51" t="s">
        <v>140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9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9"/>
        <v>0.79437600000000008</v>
      </c>
      <c r="I41" s="12">
        <f>F41/6*G41</f>
        <v>132.39600000000002</v>
      </c>
      <c r="J41" s="22"/>
    </row>
    <row r="42" spans="1:14" ht="15.75" customHeight="1">
      <c r="A42" s="195" t="s">
        <v>116</v>
      </c>
      <c r="B42" s="196"/>
      <c r="C42" s="196"/>
      <c r="D42" s="196"/>
      <c r="E42" s="196"/>
      <c r="F42" s="196"/>
      <c r="G42" s="196"/>
      <c r="H42" s="196"/>
      <c r="I42" s="197"/>
      <c r="J42" s="22"/>
      <c r="L42" s="18"/>
      <c r="M42" s="19"/>
      <c r="N42" s="20"/>
    </row>
    <row r="43" spans="1:14" ht="15.75" customHeight="1">
      <c r="A43" s="26">
        <v>7</v>
      </c>
      <c r="B43" s="32" t="s">
        <v>106</v>
      </c>
      <c r="C43" s="39" t="s">
        <v>89</v>
      </c>
      <c r="D43" s="32" t="s">
        <v>166</v>
      </c>
      <c r="E43" s="106">
        <v>1114.25</v>
      </c>
      <c r="F43" s="31">
        <f>SUM(E43*2/1000)</f>
        <v>2.2284999999999999</v>
      </c>
      <c r="G43" s="34">
        <v>1356.96</v>
      </c>
      <c r="H43" s="107">
        <f t="shared" ref="H43:H52" si="11">SUM(F43*G43/1000)</f>
        <v>3.0239853600000002</v>
      </c>
      <c r="I43" s="12">
        <f t="shared" ref="I43:I45" si="12">F43/2*G43</f>
        <v>1511.9926800000001</v>
      </c>
      <c r="J43" s="22"/>
      <c r="L43" s="18"/>
      <c r="M43" s="19"/>
      <c r="N43" s="20"/>
    </row>
    <row r="44" spans="1:14" ht="15.75" customHeight="1">
      <c r="A44" s="26">
        <v>8</v>
      </c>
      <c r="B44" s="32" t="s">
        <v>33</v>
      </c>
      <c r="C44" s="39" t="s">
        <v>89</v>
      </c>
      <c r="D44" s="32" t="s">
        <v>166</v>
      </c>
      <c r="E44" s="106">
        <v>2631</v>
      </c>
      <c r="F44" s="31">
        <f>SUM(E44*2/1000)</f>
        <v>5.2619999999999996</v>
      </c>
      <c r="G44" s="34">
        <v>863.92</v>
      </c>
      <c r="H44" s="107">
        <f t="shared" si="11"/>
        <v>4.5459470399999988</v>
      </c>
      <c r="I44" s="12">
        <f t="shared" si="12"/>
        <v>2272.9735199999996</v>
      </c>
      <c r="J44" s="22"/>
      <c r="L44" s="18"/>
      <c r="M44" s="19"/>
      <c r="N44" s="20"/>
    </row>
    <row r="45" spans="1:14" ht="15.75" customHeight="1">
      <c r="A45" s="26">
        <v>9</v>
      </c>
      <c r="B45" s="32" t="s">
        <v>34</v>
      </c>
      <c r="C45" s="39" t="s">
        <v>89</v>
      </c>
      <c r="D45" s="32" t="s">
        <v>166</v>
      </c>
      <c r="E45" s="106">
        <v>1953.8</v>
      </c>
      <c r="F45" s="31">
        <f>SUM(E45*2/1000)</f>
        <v>3.9076</v>
      </c>
      <c r="G45" s="34">
        <v>904.65</v>
      </c>
      <c r="H45" s="107">
        <f t="shared" si="11"/>
        <v>3.5350103399999999</v>
      </c>
      <c r="I45" s="12">
        <f t="shared" si="12"/>
        <v>1767.5051699999999</v>
      </c>
      <c r="J45" s="22"/>
      <c r="L45" s="18"/>
      <c r="M45" s="19"/>
      <c r="N45" s="20"/>
    </row>
    <row r="46" spans="1:14" ht="15.75" customHeight="1">
      <c r="A46" s="26">
        <v>10</v>
      </c>
      <c r="B46" s="32" t="s">
        <v>31</v>
      </c>
      <c r="C46" s="39" t="s">
        <v>32</v>
      </c>
      <c r="D46" s="32" t="s">
        <v>166</v>
      </c>
      <c r="E46" s="106">
        <v>91.84</v>
      </c>
      <c r="F46" s="31">
        <f>SUM(E46*2/100)</f>
        <v>1.8368</v>
      </c>
      <c r="G46" s="108">
        <v>108.55</v>
      </c>
      <c r="H46" s="107">
        <f t="shared" si="11"/>
        <v>0.19938464</v>
      </c>
      <c r="I46" s="12">
        <f>F46/2*G46</f>
        <v>99.692319999999995</v>
      </c>
      <c r="J46" s="22"/>
      <c r="L46" s="18"/>
      <c r="M46" s="19"/>
      <c r="N46" s="20"/>
    </row>
    <row r="47" spans="1:14" ht="15.75" customHeight="1">
      <c r="A47" s="26">
        <v>11</v>
      </c>
      <c r="B47" s="32" t="s">
        <v>53</v>
      </c>
      <c r="C47" s="39" t="s">
        <v>89</v>
      </c>
      <c r="D47" s="32" t="s">
        <v>170</v>
      </c>
      <c r="E47" s="106">
        <v>891.4</v>
      </c>
      <c r="F47" s="31">
        <f>SUM(E47*5/1000)</f>
        <v>4.4569999999999999</v>
      </c>
      <c r="G47" s="34">
        <v>1809.27</v>
      </c>
      <c r="H47" s="107">
        <f t="shared" si="11"/>
        <v>8.0639163899999993</v>
      </c>
      <c r="I47" s="12">
        <f>F47/5*G47</f>
        <v>1612.7832779999999</v>
      </c>
      <c r="J47" s="22"/>
      <c r="L47" s="18"/>
      <c r="M47" s="19"/>
      <c r="N47" s="20"/>
    </row>
    <row r="48" spans="1:14" ht="33.75" customHeight="1">
      <c r="A48" s="26">
        <v>12</v>
      </c>
      <c r="B48" s="32" t="s">
        <v>107</v>
      </c>
      <c r="C48" s="39" t="s">
        <v>89</v>
      </c>
      <c r="D48" s="32" t="s">
        <v>166</v>
      </c>
      <c r="E48" s="106">
        <v>891.4</v>
      </c>
      <c r="F48" s="31">
        <f>SUM(E48*2/1000)</f>
        <v>1.7827999999999999</v>
      </c>
      <c r="G48" s="34">
        <v>1809.57</v>
      </c>
      <c r="H48" s="107">
        <f t="shared" si="11"/>
        <v>3.2261013959999998</v>
      </c>
      <c r="I48" s="12">
        <f>F48/2*G48</f>
        <v>1613.0506979999998</v>
      </c>
      <c r="J48" s="22"/>
      <c r="L48" s="18"/>
      <c r="M48" s="19"/>
      <c r="N48" s="20"/>
    </row>
    <row r="49" spans="1:14" ht="30" customHeight="1">
      <c r="A49" s="26">
        <v>13</v>
      </c>
      <c r="B49" s="32" t="s">
        <v>108</v>
      </c>
      <c r="C49" s="39" t="s">
        <v>35</v>
      </c>
      <c r="D49" s="32" t="s">
        <v>166</v>
      </c>
      <c r="E49" s="106">
        <v>20</v>
      </c>
      <c r="F49" s="31">
        <f>SUM(E49*2/100)</f>
        <v>0.4</v>
      </c>
      <c r="G49" s="34">
        <v>4070.89</v>
      </c>
      <c r="H49" s="107">
        <f t="shared" si="11"/>
        <v>1.6283559999999999</v>
      </c>
      <c r="I49" s="12">
        <f t="shared" ref="I49:I50" si="13">F49/2*G49</f>
        <v>814.178</v>
      </c>
      <c r="J49" s="22"/>
      <c r="L49" s="18"/>
      <c r="M49" s="19"/>
      <c r="N49" s="20"/>
    </row>
    <row r="50" spans="1:14" ht="19.5" customHeight="1">
      <c r="A50" s="26">
        <v>14</v>
      </c>
      <c r="B50" s="32" t="s">
        <v>36</v>
      </c>
      <c r="C50" s="39" t="s">
        <v>37</v>
      </c>
      <c r="D50" s="32" t="s">
        <v>166</v>
      </c>
      <c r="E50" s="106">
        <v>1</v>
      </c>
      <c r="F50" s="31">
        <v>0.02</v>
      </c>
      <c r="G50" s="34">
        <v>8426.7199999999993</v>
      </c>
      <c r="H50" s="107">
        <f t="shared" si="11"/>
        <v>0.16853439999999997</v>
      </c>
      <c r="I50" s="12">
        <f t="shared" si="13"/>
        <v>84.267199999999988</v>
      </c>
      <c r="J50" s="22"/>
      <c r="L50" s="18"/>
      <c r="M50" s="19"/>
      <c r="N50" s="20"/>
    </row>
    <row r="51" spans="1:14" ht="15.75" customHeight="1">
      <c r="A51" s="26">
        <v>15</v>
      </c>
      <c r="B51" s="32" t="s">
        <v>109</v>
      </c>
      <c r="C51" s="39" t="s">
        <v>90</v>
      </c>
      <c r="D51" s="150">
        <v>44342</v>
      </c>
      <c r="E51" s="106">
        <v>70</v>
      </c>
      <c r="F51" s="31">
        <f>E51*3</f>
        <v>210</v>
      </c>
      <c r="G51" s="34">
        <v>290.39999999999998</v>
      </c>
      <c r="H51" s="107">
        <f t="shared" si="11"/>
        <v>60.983999999999995</v>
      </c>
      <c r="I51" s="12">
        <f>E51*G51</f>
        <v>20328</v>
      </c>
      <c r="J51" s="22"/>
      <c r="L51" s="18"/>
      <c r="M51" s="19"/>
      <c r="N51" s="20"/>
    </row>
    <row r="52" spans="1:14" ht="15.75" customHeight="1">
      <c r="A52" s="26">
        <v>16</v>
      </c>
      <c r="B52" s="32" t="s">
        <v>38</v>
      </c>
      <c r="C52" s="39" t="s">
        <v>90</v>
      </c>
      <c r="D52" s="150">
        <v>44222</v>
      </c>
      <c r="E52" s="106">
        <v>140</v>
      </c>
      <c r="F52" s="31">
        <f>E52*3</f>
        <v>420</v>
      </c>
      <c r="G52" s="35">
        <v>90</v>
      </c>
      <c r="H52" s="107">
        <f t="shared" si="11"/>
        <v>37.799999999999997</v>
      </c>
      <c r="I52" s="12">
        <f>E52*G52</f>
        <v>12600</v>
      </c>
      <c r="J52" s="22"/>
      <c r="L52" s="18"/>
      <c r="M52" s="19"/>
      <c r="N52" s="20"/>
    </row>
    <row r="53" spans="1:14" ht="15.75" customHeight="1">
      <c r="A53" s="195" t="s">
        <v>117</v>
      </c>
      <c r="B53" s="198"/>
      <c r="C53" s="198"/>
      <c r="D53" s="198"/>
      <c r="E53" s="198"/>
      <c r="F53" s="198"/>
      <c r="G53" s="198"/>
      <c r="H53" s="198"/>
      <c r="I53" s="199"/>
      <c r="J53" s="22"/>
      <c r="L53" s="18"/>
      <c r="M53" s="19"/>
      <c r="N53" s="20"/>
    </row>
    <row r="54" spans="1:14" ht="15.75" hidden="1" customHeight="1">
      <c r="A54" s="26"/>
      <c r="B54" s="80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110</v>
      </c>
      <c r="C55" s="59" t="s">
        <v>79</v>
      </c>
      <c r="D55" s="51" t="s">
        <v>111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113</v>
      </c>
      <c r="C56" s="69" t="s">
        <v>114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1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17</v>
      </c>
      <c r="B59" s="53" t="s">
        <v>151</v>
      </c>
      <c r="C59" s="155" t="s">
        <v>152</v>
      </c>
      <c r="D59" s="53" t="s">
        <v>166</v>
      </c>
      <c r="E59" s="156">
        <v>48</v>
      </c>
      <c r="F59" s="157">
        <f>E59*12/1</f>
        <v>576</v>
      </c>
      <c r="G59" s="158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1" t="s">
        <v>43</v>
      </c>
      <c r="C60" s="69"/>
      <c r="D60" s="70"/>
      <c r="E60" s="71"/>
      <c r="F60" s="74"/>
      <c r="G60" s="74"/>
      <c r="H60" s="72" t="s">
        <v>98</v>
      </c>
      <c r="I60" s="12"/>
      <c r="J60" s="22"/>
      <c r="L60" s="18"/>
      <c r="M60" s="19"/>
      <c r="N60" s="20"/>
    </row>
    <row r="61" spans="1:14" ht="18" hidden="1" customHeight="1">
      <c r="A61" s="26">
        <v>24</v>
      </c>
      <c r="B61" s="13" t="s">
        <v>44</v>
      </c>
      <c r="C61" s="15" t="s">
        <v>90</v>
      </c>
      <c r="D61" s="13" t="s">
        <v>60</v>
      </c>
      <c r="E61" s="17">
        <v>4</v>
      </c>
      <c r="F61" s="61">
        <f>E61</f>
        <v>4</v>
      </c>
      <c r="G61" s="12">
        <v>291.68</v>
      </c>
      <c r="H61" s="75">
        <f t="shared" ref="H61:H69" si="14">SUM(F61*G61/1000)</f>
        <v>1.16672</v>
      </c>
      <c r="I61" s="12">
        <f>G61</f>
        <v>291.68</v>
      </c>
      <c r="J61" s="22"/>
      <c r="L61" s="18"/>
      <c r="M61" s="19"/>
      <c r="N61" s="20"/>
    </row>
    <row r="62" spans="1:14" ht="14.25" hidden="1" customHeight="1">
      <c r="A62" s="26">
        <v>17</v>
      </c>
      <c r="B62" s="13" t="s">
        <v>45</v>
      </c>
      <c r="C62" s="15" t="s">
        <v>90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si="14"/>
        <v>0.40004000000000001</v>
      </c>
      <c r="I62" s="12">
        <v>0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91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4"/>
        <v>35.342044800000004</v>
      </c>
      <c r="I63" s="12">
        <f>F63*G63</f>
        <v>35342.044800000003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92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4"/>
        <v>2.7522693600000001</v>
      </c>
      <c r="I64" s="12">
        <f t="shared" ref="I64:I67" si="15">F64*G64</f>
        <v>2752.2693600000002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4"/>
        <v>59.860680000000002</v>
      </c>
      <c r="I65" s="12">
        <f t="shared" si="15"/>
        <v>59860.68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93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4"/>
        <v>0.40905599999999998</v>
      </c>
      <c r="I66" s="12">
        <f t="shared" si="15"/>
        <v>409.05599999999998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94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4"/>
        <v>0.44198399999999999</v>
      </c>
      <c r="I67" s="12">
        <f t="shared" si="15"/>
        <v>441.98399999999998</v>
      </c>
      <c r="J67" s="22"/>
      <c r="L67" s="18"/>
      <c r="M67" s="19"/>
      <c r="N67" s="20"/>
    </row>
    <row r="68" spans="1:14" ht="15.75" hidden="1" customHeight="1">
      <c r="A68" s="26"/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4"/>
        <v>0.26168000000000002</v>
      </c>
      <c r="I68" s="12">
        <v>0</v>
      </c>
      <c r="J68" s="22"/>
      <c r="L68" s="18"/>
      <c r="M68" s="19"/>
      <c r="N68" s="20"/>
    </row>
    <row r="69" spans="1:14" ht="30" customHeight="1">
      <c r="A69" s="26">
        <v>18</v>
      </c>
      <c r="B69" s="36" t="s">
        <v>141</v>
      </c>
      <c r="C69" s="135" t="s">
        <v>142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4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5.75" customHeight="1">
      <c r="A70" s="26"/>
      <c r="B70" s="55" t="s">
        <v>64</v>
      </c>
      <c r="C70" s="15"/>
      <c r="D70" s="13"/>
      <c r="E70" s="17"/>
      <c r="F70" s="12"/>
      <c r="G70" s="12"/>
      <c r="H70" s="75" t="s">
        <v>98</v>
      </c>
      <c r="I70" s="12"/>
      <c r="J70" s="22"/>
      <c r="L70" s="18"/>
      <c r="M70" s="19"/>
      <c r="N70" s="20"/>
    </row>
    <row r="71" spans="1:14" ht="27.75" hidden="1" customHeight="1">
      <c r="A71" s="26">
        <v>18</v>
      </c>
      <c r="B71" s="13" t="s">
        <v>143</v>
      </c>
      <c r="C71" s="15" t="s">
        <v>28</v>
      </c>
      <c r="D71" s="13" t="s">
        <v>60</v>
      </c>
      <c r="E71" s="17">
        <v>1</v>
      </c>
      <c r="F71" s="61">
        <f t="shared" ref="F71" si="16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22.5" hidden="1" customHeight="1">
      <c r="A72" s="26"/>
      <c r="B72" s="50" t="s">
        <v>144</v>
      </c>
      <c r="C72" s="54" t="s">
        <v>90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6.25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7">SUM(F73*G73/1000)</f>
        <v>0.19736099999999998</v>
      </c>
      <c r="I73" s="12">
        <v>0</v>
      </c>
      <c r="J73" s="22"/>
      <c r="L73" s="18"/>
      <c r="M73" s="19"/>
      <c r="N73" s="20"/>
    </row>
    <row r="74" spans="1:14" ht="26.25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7"/>
        <v>1.1187199999999999</v>
      </c>
      <c r="I74" s="12">
        <v>0</v>
      </c>
      <c r="J74" s="22"/>
      <c r="L74" s="18"/>
      <c r="M74" s="19"/>
      <c r="N74" s="20"/>
    </row>
    <row r="75" spans="1:14" ht="30" hidden="1" customHeight="1">
      <c r="A75" s="26"/>
      <c r="B75" s="50" t="s">
        <v>145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7"/>
        <v>1.6058299999999999</v>
      </c>
      <c r="I75" s="12">
        <v>0</v>
      </c>
      <c r="J75" s="22"/>
      <c r="L75" s="18"/>
      <c r="M75" s="19"/>
      <c r="N75" s="20"/>
    </row>
    <row r="76" spans="1:14" ht="30.75" customHeight="1">
      <c r="A76" s="26">
        <v>19</v>
      </c>
      <c r="B76" s="121" t="s">
        <v>146</v>
      </c>
      <c r="C76" s="122" t="s">
        <v>90</v>
      </c>
      <c r="D76" s="36" t="s">
        <v>166</v>
      </c>
      <c r="E76" s="16">
        <v>2</v>
      </c>
      <c r="F76" s="31">
        <f>E76*12</f>
        <v>24</v>
      </c>
      <c r="G76" s="34">
        <v>425</v>
      </c>
      <c r="H76" s="75">
        <f t="shared" si="17"/>
        <v>10.199999999999999</v>
      </c>
      <c r="I76" s="12">
        <f>G76*2</f>
        <v>850</v>
      </c>
      <c r="J76" s="22"/>
      <c r="L76" s="18"/>
      <c r="M76" s="19"/>
      <c r="N76" s="20"/>
    </row>
    <row r="77" spans="1:14" ht="23.25" hidden="1" customHeight="1">
      <c r="A77" s="26"/>
      <c r="B77" s="77" t="s">
        <v>68</v>
      </c>
      <c r="C77" s="15"/>
      <c r="D77" s="13"/>
      <c r="E77" s="17"/>
      <c r="F77" s="12"/>
      <c r="G77" s="12" t="s">
        <v>98</v>
      </c>
      <c r="H77" s="75" t="s">
        <v>98</v>
      </c>
      <c r="I77" s="12"/>
      <c r="J77" s="22"/>
      <c r="L77" s="18"/>
      <c r="M77" s="19"/>
      <c r="N77" s="20"/>
    </row>
    <row r="78" spans="1:14" ht="21.75" hidden="1" customHeight="1">
      <c r="A78" s="26"/>
      <c r="B78" s="45" t="s">
        <v>97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8">SUM(F78*G78/1000)</f>
        <v>3.3708899999999997</v>
      </c>
      <c r="I78" s="12">
        <v>0</v>
      </c>
      <c r="J78" s="22"/>
      <c r="L78" s="18"/>
      <c r="M78" s="19"/>
      <c r="N78" s="20"/>
    </row>
    <row r="79" spans="1:14" ht="22.5" hidden="1" customHeight="1">
      <c r="A79" s="26"/>
      <c r="B79" s="55" t="s">
        <v>95</v>
      </c>
      <c r="C79" s="77"/>
      <c r="D79" s="27"/>
      <c r="E79" s="30"/>
      <c r="F79" s="66"/>
      <c r="G79" s="66"/>
      <c r="H79" s="78">
        <f>SUM(H55:H78)</f>
        <v>248.27929411999997</v>
      </c>
      <c r="I79" s="66"/>
      <c r="J79" s="22"/>
      <c r="L79" s="18"/>
      <c r="M79" s="19"/>
      <c r="N79" s="20"/>
    </row>
    <row r="80" spans="1:14" ht="21.75" hidden="1" customHeight="1">
      <c r="A80" s="104">
        <v>15</v>
      </c>
      <c r="B80" s="53" t="s">
        <v>96</v>
      </c>
      <c r="C80" s="109"/>
      <c r="D80" s="110"/>
      <c r="E80" s="110"/>
      <c r="F80" s="111">
        <v>1</v>
      </c>
      <c r="G80" s="111">
        <v>23195</v>
      </c>
      <c r="H80" s="112">
        <f>G80*F80/1000</f>
        <v>23.195</v>
      </c>
      <c r="I80" s="79">
        <f>G80</f>
        <v>23195</v>
      </c>
      <c r="J80" s="22"/>
      <c r="L80" s="18"/>
      <c r="M80" s="19"/>
      <c r="N80" s="20"/>
    </row>
    <row r="81" spans="1:14" ht="18" hidden="1" customHeight="1">
      <c r="A81" s="49"/>
      <c r="B81" s="113" t="s">
        <v>147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4">
        <v>0</v>
      </c>
      <c r="J81" s="22"/>
      <c r="L81" s="18"/>
      <c r="M81" s="19"/>
      <c r="N81" s="20"/>
    </row>
    <row r="82" spans="1:14" ht="15.75" customHeight="1">
      <c r="A82" s="192" t="s">
        <v>118</v>
      </c>
      <c r="B82" s="200"/>
      <c r="C82" s="200"/>
      <c r="D82" s="200"/>
      <c r="E82" s="200"/>
      <c r="F82" s="200"/>
      <c r="G82" s="200"/>
      <c r="H82" s="200"/>
      <c r="I82" s="201"/>
      <c r="J82" s="22"/>
      <c r="L82" s="18"/>
      <c r="M82" s="19"/>
      <c r="N82" s="20"/>
    </row>
    <row r="83" spans="1:14" ht="15.75" customHeight="1">
      <c r="A83" s="99">
        <v>20</v>
      </c>
      <c r="B83" s="32" t="s">
        <v>112</v>
      </c>
      <c r="C83" s="37" t="s">
        <v>52</v>
      </c>
      <c r="D83" s="162"/>
      <c r="E83" s="34">
        <v>3181</v>
      </c>
      <c r="F83" s="34">
        <f>SUM(E83*12)</f>
        <v>38172</v>
      </c>
      <c r="G83" s="34">
        <v>3.5</v>
      </c>
      <c r="H83" s="105">
        <f>SUM(F83*G83/1000)</f>
        <v>133.602</v>
      </c>
      <c r="I83" s="100">
        <f>F83/12*G83</f>
        <v>11133.5</v>
      </c>
      <c r="J83" s="22"/>
      <c r="L83" s="18"/>
      <c r="M83" s="19"/>
      <c r="N83" s="20"/>
    </row>
    <row r="84" spans="1:14" ht="31.5" customHeight="1">
      <c r="A84" s="26">
        <v>21</v>
      </c>
      <c r="B84" s="36" t="s">
        <v>181</v>
      </c>
      <c r="C84" s="37" t="s">
        <v>152</v>
      </c>
      <c r="D84" s="163"/>
      <c r="E84" s="106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15.75" customHeight="1">
      <c r="A85" s="49"/>
      <c r="B85" s="38" t="s">
        <v>71</v>
      </c>
      <c r="C85" s="15"/>
      <c r="D85" s="45"/>
      <c r="E85" s="12"/>
      <c r="F85" s="12"/>
      <c r="G85" s="12"/>
      <c r="H85" s="75">
        <f>H84</f>
        <v>122.1504</v>
      </c>
      <c r="I85" s="66">
        <f>I84+I83+I76+I69+I59+I52+I51+I50+I49+I48++I47+I46+I45+I44+I43+I31+I30+I29+I18+I17+I16</f>
        <v>86735.47699000001</v>
      </c>
      <c r="J85" s="22"/>
      <c r="L85" s="18"/>
      <c r="M85" s="19"/>
      <c r="N85" s="20"/>
    </row>
    <row r="86" spans="1:14" ht="15.75" customHeight="1">
      <c r="A86" s="202" t="s">
        <v>56</v>
      </c>
      <c r="B86" s="203"/>
      <c r="C86" s="203"/>
      <c r="D86" s="203"/>
      <c r="E86" s="203"/>
      <c r="F86" s="203"/>
      <c r="G86" s="203"/>
      <c r="H86" s="203"/>
      <c r="I86" s="204"/>
      <c r="J86" s="22"/>
      <c r="L86" s="18"/>
      <c r="M86" s="19"/>
      <c r="N86" s="20"/>
    </row>
    <row r="87" spans="1:14" ht="15.75" customHeight="1">
      <c r="A87" s="49">
        <v>22</v>
      </c>
      <c r="B87" s="121" t="s">
        <v>251</v>
      </c>
      <c r="C87" s="122" t="s">
        <v>27</v>
      </c>
      <c r="D87" s="163"/>
      <c r="E87" s="34"/>
      <c r="F87" s="34">
        <v>0.57599999999999996</v>
      </c>
      <c r="G87" s="34">
        <v>241.69</v>
      </c>
      <c r="H87" s="73"/>
      <c r="I87" s="12">
        <f>G87*0.576</f>
        <v>139.21343999999999</v>
      </c>
      <c r="J87" s="22"/>
      <c r="L87" s="18"/>
      <c r="M87" s="19"/>
      <c r="N87" s="20"/>
    </row>
    <row r="88" spans="1:14" ht="15.75" customHeight="1">
      <c r="A88" s="49">
        <v>23</v>
      </c>
      <c r="B88" s="121" t="s">
        <v>252</v>
      </c>
      <c r="C88" s="122" t="s">
        <v>253</v>
      </c>
      <c r="D88" s="163" t="s">
        <v>259</v>
      </c>
      <c r="E88" s="34"/>
      <c r="F88" s="34">
        <v>2</v>
      </c>
      <c r="G88" s="34">
        <v>229.86</v>
      </c>
      <c r="H88" s="56"/>
      <c r="I88" s="12">
        <f>G88*2</f>
        <v>459.72</v>
      </c>
      <c r="J88" s="22"/>
      <c r="L88" s="18"/>
      <c r="M88" s="19"/>
      <c r="N88" s="20"/>
    </row>
    <row r="89" spans="1:14" ht="39" customHeight="1">
      <c r="A89" s="49">
        <v>24</v>
      </c>
      <c r="B89" s="177" t="s">
        <v>234</v>
      </c>
      <c r="C89" s="135" t="s">
        <v>81</v>
      </c>
      <c r="D89" s="36" t="s">
        <v>256</v>
      </c>
      <c r="E89" s="34"/>
      <c r="F89" s="34">
        <v>0.06</v>
      </c>
      <c r="G89" s="34">
        <v>36554.97</v>
      </c>
      <c r="H89" s="56"/>
      <c r="I89" s="12">
        <f>G89*0.04</f>
        <v>1462.1988000000001</v>
      </c>
      <c r="J89" s="22"/>
      <c r="L89" s="18"/>
      <c r="M89" s="19"/>
      <c r="N89" s="20"/>
    </row>
    <row r="90" spans="1:14" ht="15.75" customHeight="1">
      <c r="A90" s="49">
        <v>25</v>
      </c>
      <c r="B90" s="121" t="s">
        <v>244</v>
      </c>
      <c r="C90" s="122" t="s">
        <v>90</v>
      </c>
      <c r="D90" s="163" t="s">
        <v>260</v>
      </c>
      <c r="E90" s="34"/>
      <c r="F90" s="34">
        <v>2</v>
      </c>
      <c r="G90" s="34">
        <v>218.18</v>
      </c>
      <c r="H90" s="56"/>
      <c r="I90" s="12">
        <v>0</v>
      </c>
      <c r="J90" s="22"/>
      <c r="L90" s="18"/>
      <c r="M90" s="19"/>
      <c r="N90" s="20"/>
    </row>
    <row r="91" spans="1:14" ht="15.75" customHeight="1">
      <c r="A91" s="49">
        <v>26</v>
      </c>
      <c r="B91" s="121" t="s">
        <v>178</v>
      </c>
      <c r="C91" s="122" t="s">
        <v>245</v>
      </c>
      <c r="D91" s="163" t="s">
        <v>260</v>
      </c>
      <c r="E91" s="34"/>
      <c r="F91" s="34">
        <v>2</v>
      </c>
      <c r="G91" s="34">
        <v>101.85</v>
      </c>
      <c r="H91" s="56"/>
      <c r="I91" s="12">
        <v>0</v>
      </c>
      <c r="J91" s="22"/>
      <c r="L91" s="18"/>
      <c r="M91" s="19"/>
      <c r="N91" s="20"/>
    </row>
    <row r="92" spans="1:14" ht="30.75" customHeight="1">
      <c r="A92" s="49">
        <v>27</v>
      </c>
      <c r="B92" s="121" t="s">
        <v>254</v>
      </c>
      <c r="C92" s="122" t="s">
        <v>194</v>
      </c>
      <c r="D92" s="36" t="s">
        <v>257</v>
      </c>
      <c r="E92" s="34"/>
      <c r="F92" s="34">
        <v>1</v>
      </c>
      <c r="G92" s="34">
        <v>974.11</v>
      </c>
      <c r="H92" s="56"/>
      <c r="I92" s="12">
        <f>G92*1</f>
        <v>974.11</v>
      </c>
      <c r="J92" s="22"/>
      <c r="L92" s="18"/>
      <c r="M92" s="19"/>
      <c r="N92" s="20"/>
    </row>
    <row r="93" spans="1:14" ht="30" customHeight="1">
      <c r="A93" s="49">
        <v>28</v>
      </c>
      <c r="B93" s="121" t="s">
        <v>255</v>
      </c>
      <c r="C93" s="122" t="s">
        <v>194</v>
      </c>
      <c r="D93" s="36" t="s">
        <v>257</v>
      </c>
      <c r="E93" s="34"/>
      <c r="F93" s="34">
        <v>1</v>
      </c>
      <c r="G93" s="34">
        <v>1061.57</v>
      </c>
      <c r="H93" s="56"/>
      <c r="I93" s="12">
        <f>G93*1</f>
        <v>1061.57</v>
      </c>
      <c r="J93" s="22"/>
      <c r="L93" s="18"/>
      <c r="M93" s="19"/>
      <c r="N93" s="20"/>
    </row>
    <row r="94" spans="1:14" ht="31.5" customHeight="1">
      <c r="A94" s="49">
        <v>29</v>
      </c>
      <c r="B94" s="121" t="s">
        <v>193</v>
      </c>
      <c r="C94" s="122" t="s">
        <v>115</v>
      </c>
      <c r="D94" s="36" t="s">
        <v>258</v>
      </c>
      <c r="E94" s="34"/>
      <c r="F94" s="34">
        <v>1</v>
      </c>
      <c r="G94" s="34">
        <v>949.97</v>
      </c>
      <c r="H94" s="56"/>
      <c r="I94" s="12">
        <f>G94*1</f>
        <v>949.97</v>
      </c>
      <c r="J94" s="22"/>
      <c r="L94" s="18"/>
      <c r="M94" s="19"/>
      <c r="N94" s="20"/>
    </row>
    <row r="95" spans="1:14" ht="15.75" customHeight="1">
      <c r="A95" s="26"/>
      <c r="B95" s="27" t="s">
        <v>49</v>
      </c>
      <c r="C95" s="40"/>
      <c r="D95" s="46"/>
      <c r="E95" s="40">
        <v>1</v>
      </c>
      <c r="F95" s="40"/>
      <c r="G95" s="40"/>
      <c r="H95" s="40"/>
      <c r="I95" s="30">
        <f>SUM(I87:I94)</f>
        <v>5046.7822400000005</v>
      </c>
      <c r="J95" s="22"/>
      <c r="L95" s="18"/>
      <c r="M95" s="19"/>
      <c r="N95" s="20"/>
    </row>
    <row r="96" spans="1:14" ht="15.75" customHeight="1">
      <c r="A96" s="26"/>
      <c r="B96" s="45" t="s">
        <v>70</v>
      </c>
      <c r="C96" s="14"/>
      <c r="D96" s="14"/>
      <c r="E96" s="41"/>
      <c r="F96" s="41"/>
      <c r="G96" s="42"/>
      <c r="H96" s="42"/>
      <c r="I96" s="16">
        <v>0</v>
      </c>
      <c r="J96" s="22"/>
      <c r="L96" s="18"/>
      <c r="M96" s="19"/>
      <c r="N96" s="20"/>
    </row>
    <row r="97" spans="1:22" ht="15.75" customHeight="1">
      <c r="A97" s="47"/>
      <c r="B97" s="44" t="s">
        <v>137</v>
      </c>
      <c r="C97" s="33"/>
      <c r="D97" s="33"/>
      <c r="E97" s="33"/>
      <c r="F97" s="33"/>
      <c r="G97" s="33"/>
      <c r="H97" s="33"/>
      <c r="I97" s="43">
        <f>I85+I95</f>
        <v>91782.259230000011</v>
      </c>
      <c r="J97" s="22"/>
      <c r="L97" s="18"/>
      <c r="M97" s="19"/>
      <c r="N97" s="20"/>
    </row>
    <row r="98" spans="1:22" ht="15.75" customHeight="1">
      <c r="A98" s="191" t="s">
        <v>261</v>
      </c>
      <c r="B98" s="191"/>
      <c r="C98" s="191"/>
      <c r="D98" s="191"/>
      <c r="E98" s="191"/>
      <c r="F98" s="191"/>
      <c r="G98" s="191"/>
      <c r="H98" s="191"/>
      <c r="I98" s="191"/>
      <c r="J98" s="22"/>
      <c r="L98" s="18"/>
      <c r="M98" s="19"/>
      <c r="N98" s="20"/>
    </row>
    <row r="99" spans="1:22" ht="15.75" customHeight="1">
      <c r="A99" s="8"/>
      <c r="B99" s="205" t="s">
        <v>262</v>
      </c>
      <c r="C99" s="205"/>
      <c r="D99" s="205"/>
      <c r="E99" s="205"/>
      <c r="F99" s="205"/>
      <c r="G99" s="205"/>
      <c r="H99" s="82"/>
      <c r="I99" s="3"/>
      <c r="J99" s="22"/>
      <c r="L99" s="18"/>
      <c r="M99" s="19"/>
      <c r="N99" s="20"/>
    </row>
    <row r="100" spans="1:22" ht="15.75" customHeight="1">
      <c r="A100" s="84"/>
      <c r="B100" s="206" t="s">
        <v>5</v>
      </c>
      <c r="C100" s="206"/>
      <c r="D100" s="206"/>
      <c r="E100" s="206"/>
      <c r="F100" s="206"/>
      <c r="G100" s="206"/>
      <c r="H100" s="23"/>
      <c r="I100" s="5"/>
      <c r="J100" s="22"/>
      <c r="K100" s="22"/>
      <c r="L100" s="22"/>
      <c r="M100" s="19"/>
      <c r="N100" s="20"/>
    </row>
    <row r="101" spans="1:22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22"/>
      <c r="K101" s="22"/>
      <c r="L101" s="22"/>
      <c r="M101" s="19"/>
      <c r="N101" s="20"/>
    </row>
    <row r="102" spans="1:22" ht="15.75" customHeight="1">
      <c r="A102" s="207" t="s">
        <v>6</v>
      </c>
      <c r="B102" s="207"/>
      <c r="C102" s="207"/>
      <c r="D102" s="207"/>
      <c r="E102" s="207"/>
      <c r="F102" s="207"/>
      <c r="G102" s="207"/>
      <c r="H102" s="207"/>
      <c r="I102" s="207"/>
      <c r="J102" s="22"/>
      <c r="K102" s="22"/>
      <c r="L102" s="22"/>
    </row>
    <row r="103" spans="1:22" ht="15.75" customHeight="1">
      <c r="A103" s="207" t="s">
        <v>7</v>
      </c>
      <c r="B103" s="207"/>
      <c r="C103" s="207"/>
      <c r="D103" s="207"/>
      <c r="E103" s="207"/>
      <c r="F103" s="207"/>
      <c r="G103" s="207"/>
      <c r="H103" s="207"/>
      <c r="I103" s="207"/>
      <c r="J103" s="22"/>
      <c r="K103" s="22"/>
      <c r="L103" s="22"/>
    </row>
    <row r="104" spans="1:22" ht="15.75" customHeight="1">
      <c r="A104" s="191" t="s">
        <v>8</v>
      </c>
      <c r="B104" s="191"/>
      <c r="C104" s="191"/>
      <c r="D104" s="191"/>
      <c r="E104" s="191"/>
      <c r="F104" s="191"/>
      <c r="G104" s="191"/>
      <c r="H104" s="191"/>
      <c r="I104" s="191"/>
    </row>
    <row r="105" spans="1:22" ht="15.75" customHeight="1">
      <c r="A105" s="1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7"/>
    </row>
    <row r="106" spans="1:22" ht="15.75" customHeight="1">
      <c r="A106" s="209" t="s">
        <v>9</v>
      </c>
      <c r="B106" s="209"/>
      <c r="C106" s="209"/>
      <c r="D106" s="209"/>
      <c r="E106" s="209"/>
      <c r="F106" s="209"/>
      <c r="G106" s="209"/>
      <c r="H106" s="209"/>
      <c r="I106" s="209"/>
      <c r="J106" s="24"/>
      <c r="K106" s="24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2" ht="15.75" customHeight="1">
      <c r="A107" s="4"/>
      <c r="J107" s="3"/>
      <c r="K107" s="3"/>
      <c r="L107" s="3"/>
      <c r="M107" s="3"/>
      <c r="N107" s="3"/>
      <c r="O107" s="3"/>
      <c r="P107" s="3"/>
      <c r="Q107" s="3"/>
      <c r="S107" s="3"/>
      <c r="T107" s="3"/>
      <c r="U107" s="3"/>
    </row>
    <row r="108" spans="1:22" ht="15.75" customHeight="1">
      <c r="A108" s="191" t="s">
        <v>10</v>
      </c>
      <c r="B108" s="191"/>
      <c r="C108" s="210" t="s">
        <v>187</v>
      </c>
      <c r="D108" s="210"/>
      <c r="E108" s="210"/>
      <c r="F108" s="57"/>
      <c r="I108" s="87"/>
      <c r="J108" s="5"/>
      <c r="K108" s="5"/>
      <c r="L108" s="5"/>
      <c r="M108" s="5"/>
      <c r="N108" s="5"/>
      <c r="O108" s="5"/>
      <c r="P108" s="5"/>
      <c r="Q108" s="5"/>
      <c r="R108" s="211"/>
      <c r="S108" s="211"/>
      <c r="T108" s="211"/>
      <c r="U108" s="211"/>
    </row>
    <row r="109" spans="1:22" ht="15.75" customHeight="1">
      <c r="A109" s="84"/>
      <c r="C109" s="206" t="s">
        <v>11</v>
      </c>
      <c r="D109" s="206"/>
      <c r="E109" s="206"/>
      <c r="F109" s="23"/>
      <c r="I109" s="85" t="s">
        <v>12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2" ht="15.75" customHeight="1">
      <c r="A110" s="24"/>
      <c r="C110" s="11"/>
      <c r="D110" s="11"/>
      <c r="G110" s="11"/>
      <c r="H110" s="11"/>
    </row>
    <row r="111" spans="1:22" ht="15.75" customHeight="1">
      <c r="A111" s="191" t="s">
        <v>13</v>
      </c>
      <c r="B111" s="191"/>
      <c r="C111" s="212"/>
      <c r="D111" s="212"/>
      <c r="E111" s="212"/>
      <c r="F111" s="58"/>
      <c r="I111" s="87"/>
    </row>
    <row r="112" spans="1:22" ht="15.75" customHeight="1">
      <c r="A112" s="84"/>
      <c r="C112" s="211" t="s">
        <v>11</v>
      </c>
      <c r="D112" s="211"/>
      <c r="E112" s="211"/>
      <c r="F112" s="84"/>
      <c r="I112" s="85" t="s">
        <v>12</v>
      </c>
    </row>
    <row r="113" spans="1:9" ht="15.75" customHeight="1">
      <c r="A113" s="4" t="s">
        <v>14</v>
      </c>
    </row>
    <row r="114" spans="1:9" ht="15" customHeight="1">
      <c r="A114" s="213" t="s">
        <v>15</v>
      </c>
      <c r="B114" s="213"/>
      <c r="C114" s="213"/>
      <c r="D114" s="213"/>
      <c r="E114" s="213"/>
      <c r="F114" s="213"/>
      <c r="G114" s="213"/>
      <c r="H114" s="213"/>
      <c r="I114" s="213"/>
    </row>
    <row r="115" spans="1:9" ht="45" customHeight="1">
      <c r="A115" s="208" t="s">
        <v>16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30" customHeight="1">
      <c r="A116" s="208" t="s">
        <v>17</v>
      </c>
      <c r="B116" s="208"/>
      <c r="C116" s="208"/>
      <c r="D116" s="208"/>
      <c r="E116" s="208"/>
      <c r="F116" s="208"/>
      <c r="G116" s="208"/>
      <c r="H116" s="208"/>
      <c r="I116" s="208"/>
    </row>
    <row r="117" spans="1:9" ht="30" customHeight="1">
      <c r="A117" s="208" t="s">
        <v>21</v>
      </c>
      <c r="B117" s="208"/>
      <c r="C117" s="208"/>
      <c r="D117" s="208"/>
      <c r="E117" s="208"/>
      <c r="F117" s="208"/>
      <c r="G117" s="208"/>
      <c r="H117" s="208"/>
      <c r="I117" s="208"/>
    </row>
    <row r="118" spans="1:9" ht="15" customHeight="1">
      <c r="A118" s="208" t="s">
        <v>20</v>
      </c>
      <c r="B118" s="208"/>
      <c r="C118" s="208"/>
      <c r="D118" s="208"/>
      <c r="E118" s="208"/>
      <c r="F118" s="208"/>
      <c r="G118" s="208"/>
      <c r="H118" s="208"/>
      <c r="I118" s="208"/>
    </row>
  </sheetData>
  <autoFilter ref="I12:I104"/>
  <mergeCells count="31">
    <mergeCell ref="A118:I118"/>
    <mergeCell ref="A106:I106"/>
    <mergeCell ref="A108:B108"/>
    <mergeCell ref="C108:E108"/>
    <mergeCell ref="R108:U108"/>
    <mergeCell ref="C109:E109"/>
    <mergeCell ref="A111:B111"/>
    <mergeCell ref="C111:E111"/>
    <mergeCell ref="C112:E112"/>
    <mergeCell ref="A114:I114"/>
    <mergeCell ref="A115:I115"/>
    <mergeCell ref="A116:I116"/>
    <mergeCell ref="A117:I117"/>
    <mergeCell ref="A104:I104"/>
    <mergeCell ref="A15:I15"/>
    <mergeCell ref="A27:I27"/>
    <mergeCell ref="A42:I42"/>
    <mergeCell ref="A53:I53"/>
    <mergeCell ref="A82:I82"/>
    <mergeCell ref="A86:I86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B16" sqref="B16:I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8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121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263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44377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customHeight="1">
      <c r="A19" s="26">
        <v>4</v>
      </c>
      <c r="B19" s="32" t="s">
        <v>80</v>
      </c>
      <c r="C19" s="39" t="s">
        <v>81</v>
      </c>
      <c r="D19" s="51" t="s">
        <v>171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F19*G19</f>
        <v>649.47199999999998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83</v>
      </c>
      <c r="C20" s="59" t="s">
        <v>79</v>
      </c>
      <c r="D20" s="51" t="s">
        <v>166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84</v>
      </c>
      <c r="C21" s="59" t="s">
        <v>79</v>
      </c>
      <c r="D21" s="51" t="s">
        <v>166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85</v>
      </c>
      <c r="C22" s="59" t="s">
        <v>50</v>
      </c>
      <c r="D22" s="51" t="s">
        <v>173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86</v>
      </c>
      <c r="C23" s="59" t="s">
        <v>50</v>
      </c>
      <c r="D23" s="51" t="s">
        <v>171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87</v>
      </c>
      <c r="C24" s="59" t="s">
        <v>50</v>
      </c>
      <c r="D24" s="52" t="s">
        <v>176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88</v>
      </c>
      <c r="C25" s="59" t="s">
        <v>50</v>
      </c>
      <c r="D25" s="51" t="s">
        <v>176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hidden="1" customHeight="1">
      <c r="A26" s="26">
        <v>11</v>
      </c>
      <c r="B26" s="32" t="s">
        <v>158</v>
      </c>
      <c r="C26" s="39" t="s">
        <v>152</v>
      </c>
      <c r="D26" s="32" t="s">
        <v>162</v>
      </c>
      <c r="E26" s="149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customHeight="1">
      <c r="A29" s="99">
        <v>5</v>
      </c>
      <c r="B29" s="32" t="s">
        <v>131</v>
      </c>
      <c r="C29" s="39" t="s">
        <v>89</v>
      </c>
      <c r="D29" s="32" t="s">
        <v>250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6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9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4"/>
      <c r="B33" s="51" t="s">
        <v>100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9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1"/>
      <c r="B34" s="55" t="s">
        <v>4</v>
      </c>
      <c r="C34" s="103"/>
      <c r="D34" s="103"/>
      <c r="E34" s="103"/>
      <c r="F34" s="103"/>
      <c r="G34" s="103"/>
      <c r="H34" s="103"/>
      <c r="I34" s="103"/>
      <c r="J34" s="21"/>
      <c r="K34" s="6"/>
      <c r="L34" s="6"/>
      <c r="M34" s="6"/>
    </row>
    <row r="35" spans="1:14" ht="15.75" hidden="1" customHeight="1">
      <c r="A35" s="99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10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138</v>
      </c>
      <c r="C36" s="59" t="s">
        <v>27</v>
      </c>
      <c r="D36" s="51" t="s">
        <v>101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102</v>
      </c>
      <c r="C37" s="59" t="s">
        <v>103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1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104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10"/>
        <v>6.5598852000000001</v>
      </c>
      <c r="I38" s="12">
        <f t="shared" si="11"/>
        <v>1093.3141999999998</v>
      </c>
      <c r="J38" s="22"/>
    </row>
    <row r="39" spans="1:14" ht="48" hidden="1" customHeight="1">
      <c r="A39" s="26">
        <v>9</v>
      </c>
      <c r="B39" s="51" t="s">
        <v>73</v>
      </c>
      <c r="C39" s="59" t="s">
        <v>89</v>
      </c>
      <c r="D39" s="51" t="s">
        <v>139</v>
      </c>
      <c r="E39" s="61">
        <v>92</v>
      </c>
      <c r="F39" s="61">
        <f>SUM(E39*35/1000)</f>
        <v>3.22</v>
      </c>
      <c r="G39" s="61">
        <v>7611.16</v>
      </c>
      <c r="H39" s="62">
        <f t="shared" si="10"/>
        <v>24.507935199999999</v>
      </c>
      <c r="I39" s="12">
        <f t="shared" si="11"/>
        <v>4084.655866666667</v>
      </c>
      <c r="J39" s="22"/>
    </row>
    <row r="40" spans="1:14" ht="15.75" hidden="1" customHeight="1">
      <c r="A40" s="26">
        <v>10</v>
      </c>
      <c r="B40" s="51" t="s">
        <v>105</v>
      </c>
      <c r="C40" s="59" t="s">
        <v>89</v>
      </c>
      <c r="D40" s="51" t="s">
        <v>140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10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10"/>
        <v>0.79437600000000008</v>
      </c>
      <c r="I41" s="12">
        <f>F41/6*G41</f>
        <v>132.39600000000002</v>
      </c>
      <c r="J41" s="22"/>
    </row>
    <row r="42" spans="1:14" ht="15.75" hidden="1" customHeight="1">
      <c r="A42" s="195" t="s">
        <v>116</v>
      </c>
      <c r="B42" s="196"/>
      <c r="C42" s="196"/>
      <c r="D42" s="196"/>
      <c r="E42" s="196"/>
      <c r="F42" s="196"/>
      <c r="G42" s="196"/>
      <c r="H42" s="196"/>
      <c r="I42" s="197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106</v>
      </c>
      <c r="C43" s="39" t="s">
        <v>89</v>
      </c>
      <c r="D43" s="32" t="s">
        <v>39</v>
      </c>
      <c r="E43" s="106">
        <v>1114.25</v>
      </c>
      <c r="F43" s="31">
        <f>SUM(E43*2/1000)</f>
        <v>2.2284999999999999</v>
      </c>
      <c r="G43" s="34">
        <v>1193.71</v>
      </c>
      <c r="H43" s="107">
        <f t="shared" ref="H43:H52" si="12">SUM(F43*G43/1000)</f>
        <v>2.6601827349999998</v>
      </c>
      <c r="I43" s="12">
        <f t="shared" ref="I43:I45" si="13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89</v>
      </c>
      <c r="D44" s="32" t="s">
        <v>39</v>
      </c>
      <c r="E44" s="106">
        <v>2631</v>
      </c>
      <c r="F44" s="31">
        <f>SUM(E44*2/1000)</f>
        <v>5.2619999999999996</v>
      </c>
      <c r="G44" s="34">
        <v>1803.69</v>
      </c>
      <c r="H44" s="107">
        <f t="shared" si="12"/>
        <v>9.4910167800000007</v>
      </c>
      <c r="I44" s="12">
        <f t="shared" si="13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89</v>
      </c>
      <c r="D45" s="32" t="s">
        <v>39</v>
      </c>
      <c r="E45" s="106">
        <v>1953.8</v>
      </c>
      <c r="F45" s="31">
        <f>SUM(E45*2/1000)</f>
        <v>3.9076</v>
      </c>
      <c r="G45" s="34">
        <v>1243.43</v>
      </c>
      <c r="H45" s="107">
        <f t="shared" si="12"/>
        <v>4.8588270680000001</v>
      </c>
      <c r="I45" s="12">
        <f t="shared" si="13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6">
        <v>91.84</v>
      </c>
      <c r="F46" s="31">
        <f>SUM(E46*2/100)</f>
        <v>1.8368</v>
      </c>
      <c r="G46" s="108">
        <v>1172.4100000000001</v>
      </c>
      <c r="H46" s="107">
        <f t="shared" si="12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53</v>
      </c>
      <c r="C47" s="39" t="s">
        <v>89</v>
      </c>
      <c r="D47" s="32" t="s">
        <v>136</v>
      </c>
      <c r="E47" s="106">
        <v>3181</v>
      </c>
      <c r="F47" s="31">
        <f>SUM(E47*5/1000)</f>
        <v>15.904999999999999</v>
      </c>
      <c r="G47" s="34">
        <v>1083.69</v>
      </c>
      <c r="H47" s="107">
        <f t="shared" si="12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107</v>
      </c>
      <c r="C48" s="39" t="s">
        <v>89</v>
      </c>
      <c r="D48" s="32" t="s">
        <v>39</v>
      </c>
      <c r="E48" s="106">
        <v>3181</v>
      </c>
      <c r="F48" s="31">
        <f>SUM(E48*2/1000)</f>
        <v>6.3620000000000001</v>
      </c>
      <c r="G48" s="34">
        <v>1591.6</v>
      </c>
      <c r="H48" s="107">
        <f t="shared" si="12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108</v>
      </c>
      <c r="C49" s="39" t="s">
        <v>35</v>
      </c>
      <c r="D49" s="32" t="s">
        <v>39</v>
      </c>
      <c r="E49" s="106">
        <v>20</v>
      </c>
      <c r="F49" s="31">
        <f>SUM(E49*2/100)</f>
        <v>0.4</v>
      </c>
      <c r="G49" s="34">
        <v>4058.32</v>
      </c>
      <c r="H49" s="107">
        <f t="shared" si="12"/>
        <v>1.6233280000000001</v>
      </c>
      <c r="I49" s="12">
        <f t="shared" ref="I49:I50" si="14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6">
        <v>1</v>
      </c>
      <c r="F50" s="31">
        <v>0.02</v>
      </c>
      <c r="G50" s="34">
        <v>7412.92</v>
      </c>
      <c r="H50" s="107">
        <f t="shared" si="12"/>
        <v>0.14825839999999998</v>
      </c>
      <c r="I50" s="12">
        <f t="shared" si="14"/>
        <v>74.129199999999997</v>
      </c>
      <c r="J50" s="22"/>
      <c r="L50" s="18"/>
      <c r="M50" s="19"/>
      <c r="N50" s="20"/>
    </row>
    <row r="51" spans="1:14" ht="15.75" hidden="1" customHeight="1">
      <c r="A51" s="26">
        <v>14</v>
      </c>
      <c r="B51" s="32" t="s">
        <v>109</v>
      </c>
      <c r="C51" s="39" t="s">
        <v>90</v>
      </c>
      <c r="D51" s="150">
        <v>43990</v>
      </c>
      <c r="E51" s="106">
        <v>70</v>
      </c>
      <c r="F51" s="31">
        <f>E51*3</f>
        <v>210</v>
      </c>
      <c r="G51" s="34">
        <v>185.08</v>
      </c>
      <c r="H51" s="107">
        <f t="shared" si="12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15</v>
      </c>
      <c r="B52" s="32" t="s">
        <v>38</v>
      </c>
      <c r="C52" s="39" t="s">
        <v>90</v>
      </c>
      <c r="D52" s="150">
        <v>43990</v>
      </c>
      <c r="E52" s="106">
        <v>140</v>
      </c>
      <c r="F52" s="31">
        <f>E52*3</f>
        <v>420</v>
      </c>
      <c r="G52" s="35">
        <v>86.15</v>
      </c>
      <c r="H52" s="107">
        <f t="shared" si="12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95" t="s">
        <v>75</v>
      </c>
      <c r="B53" s="198"/>
      <c r="C53" s="198"/>
      <c r="D53" s="198"/>
      <c r="E53" s="198"/>
      <c r="F53" s="198"/>
      <c r="G53" s="198"/>
      <c r="H53" s="198"/>
      <c r="I53" s="199"/>
      <c r="J53" s="22"/>
      <c r="L53" s="18"/>
      <c r="M53" s="19"/>
      <c r="N53" s="20"/>
    </row>
    <row r="54" spans="1:14" ht="15.75" hidden="1" customHeight="1">
      <c r="A54" s="26"/>
      <c r="B54" s="80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110</v>
      </c>
      <c r="C55" s="59" t="s">
        <v>79</v>
      </c>
      <c r="D55" s="51" t="s">
        <v>111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113</v>
      </c>
      <c r="C56" s="69" t="s">
        <v>114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1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7</v>
      </c>
      <c r="B59" s="53" t="s">
        <v>151</v>
      </c>
      <c r="C59" s="155" t="s">
        <v>152</v>
      </c>
      <c r="D59" s="53" t="s">
        <v>166</v>
      </c>
      <c r="E59" s="156">
        <v>48</v>
      </c>
      <c r="F59" s="157">
        <f>E59*12/1</f>
        <v>576</v>
      </c>
      <c r="G59" s="158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1" t="s">
        <v>43</v>
      </c>
      <c r="C60" s="69"/>
      <c r="D60" s="70"/>
      <c r="E60" s="71"/>
      <c r="F60" s="74"/>
      <c r="G60" s="74"/>
      <c r="H60" s="72" t="s">
        <v>98</v>
      </c>
      <c r="I60" s="12"/>
      <c r="J60" s="22"/>
      <c r="L60" s="18"/>
      <c r="M60" s="19"/>
      <c r="N60" s="20"/>
    </row>
    <row r="61" spans="1:14" ht="15.75" hidden="1" customHeight="1">
      <c r="A61" s="26">
        <v>9</v>
      </c>
      <c r="B61" s="159" t="s">
        <v>44</v>
      </c>
      <c r="C61" s="37" t="s">
        <v>90</v>
      </c>
      <c r="D61" s="36" t="s">
        <v>180</v>
      </c>
      <c r="E61" s="16">
        <v>12</v>
      </c>
      <c r="F61" s="31">
        <f>E61</f>
        <v>12</v>
      </c>
      <c r="G61" s="34">
        <v>331.57</v>
      </c>
      <c r="H61" s="75">
        <f t="shared" ref="H61:H69" si="15">SUM(F61*G61/1000)</f>
        <v>3.9788399999999999</v>
      </c>
      <c r="I61" s="12">
        <f>G61</f>
        <v>331.57</v>
      </c>
      <c r="J61" s="22"/>
      <c r="L61" s="18"/>
      <c r="M61" s="19"/>
      <c r="N61" s="20"/>
    </row>
    <row r="62" spans="1:14" ht="15.75" hidden="1" customHeight="1">
      <c r="A62" s="26">
        <v>17</v>
      </c>
      <c r="B62" s="159" t="s">
        <v>45</v>
      </c>
      <c r="C62" s="37" t="s">
        <v>90</v>
      </c>
      <c r="D62" s="36" t="s">
        <v>180</v>
      </c>
      <c r="E62" s="16">
        <v>8</v>
      </c>
      <c r="F62" s="31">
        <f>E62</f>
        <v>8</v>
      </c>
      <c r="G62" s="34">
        <v>113.69</v>
      </c>
      <c r="H62" s="75">
        <f t="shared" si="15"/>
        <v>0.90952</v>
      </c>
      <c r="I62" s="12">
        <v>0</v>
      </c>
      <c r="J62" s="22"/>
      <c r="L62" s="18"/>
      <c r="M62" s="19"/>
      <c r="N62" s="20"/>
    </row>
    <row r="63" spans="1:14" ht="15.75" customHeight="1">
      <c r="A63" s="26">
        <v>8</v>
      </c>
      <c r="B63" s="159" t="s">
        <v>46</v>
      </c>
      <c r="C63" s="160" t="s">
        <v>91</v>
      </c>
      <c r="D63" s="36"/>
      <c r="E63" s="106">
        <v>12702</v>
      </c>
      <c r="F63" s="35">
        <f>SUM(E63/100)</f>
        <v>127.02</v>
      </c>
      <c r="G63" s="34">
        <v>316.3</v>
      </c>
      <c r="H63" s="75">
        <f t="shared" si="15"/>
        <v>40.176425999999999</v>
      </c>
      <c r="I63" s="12">
        <f>F63*G63</f>
        <v>40176.425999999999</v>
      </c>
      <c r="J63" s="22"/>
      <c r="L63" s="18"/>
      <c r="M63" s="19"/>
      <c r="N63" s="20"/>
    </row>
    <row r="64" spans="1:14" ht="15.75" customHeight="1">
      <c r="A64" s="26">
        <v>9</v>
      </c>
      <c r="B64" s="159" t="s">
        <v>47</v>
      </c>
      <c r="C64" s="37" t="s">
        <v>92</v>
      </c>
      <c r="D64" s="36"/>
      <c r="E64" s="106">
        <v>12702</v>
      </c>
      <c r="F64" s="34">
        <f>SUM(E64/1000)</f>
        <v>12.702</v>
      </c>
      <c r="G64" s="34">
        <v>246.31</v>
      </c>
      <c r="H64" s="75">
        <f t="shared" si="15"/>
        <v>3.1286296200000003</v>
      </c>
      <c r="I64" s="12">
        <f t="shared" ref="I64:I67" si="16">F64*G64</f>
        <v>3128.6296200000002</v>
      </c>
      <c r="J64" s="22"/>
      <c r="L64" s="18"/>
      <c r="M64" s="19"/>
      <c r="N64" s="20"/>
    </row>
    <row r="65" spans="1:14" ht="15.75" customHeight="1">
      <c r="A65" s="26">
        <v>10</v>
      </c>
      <c r="B65" s="159" t="s">
        <v>48</v>
      </c>
      <c r="C65" s="37" t="s">
        <v>69</v>
      </c>
      <c r="D65" s="36"/>
      <c r="E65" s="106">
        <v>2200</v>
      </c>
      <c r="F65" s="34">
        <f>SUM(E65/100)</f>
        <v>22</v>
      </c>
      <c r="G65" s="34">
        <v>3093.06</v>
      </c>
      <c r="H65" s="75">
        <f t="shared" si="15"/>
        <v>68.047319999999999</v>
      </c>
      <c r="I65" s="12">
        <f t="shared" si="16"/>
        <v>68047.319999999992</v>
      </c>
      <c r="J65" s="22"/>
      <c r="L65" s="18"/>
      <c r="M65" s="19"/>
      <c r="N65" s="20"/>
    </row>
    <row r="66" spans="1:14" ht="15.75" customHeight="1">
      <c r="A66" s="26">
        <v>11</v>
      </c>
      <c r="B66" s="161" t="s">
        <v>93</v>
      </c>
      <c r="C66" s="37" t="s">
        <v>30</v>
      </c>
      <c r="D66" s="36"/>
      <c r="E66" s="106">
        <v>9.6</v>
      </c>
      <c r="F66" s="34">
        <f>SUM(E66)</f>
        <v>9.6</v>
      </c>
      <c r="G66" s="34">
        <v>49.36</v>
      </c>
      <c r="H66" s="75">
        <f t="shared" si="15"/>
        <v>0.473856</v>
      </c>
      <c r="I66" s="12">
        <f t="shared" si="16"/>
        <v>473.85599999999999</v>
      </c>
      <c r="J66" s="22"/>
      <c r="L66" s="18"/>
      <c r="M66" s="19"/>
      <c r="N66" s="20"/>
    </row>
    <row r="67" spans="1:14" ht="15.75" customHeight="1">
      <c r="A67" s="26">
        <v>12</v>
      </c>
      <c r="B67" s="161" t="s">
        <v>94</v>
      </c>
      <c r="C67" s="37" t="s">
        <v>30</v>
      </c>
      <c r="D67" s="36"/>
      <c r="E67" s="106">
        <v>9.6</v>
      </c>
      <c r="F67" s="34">
        <f>SUM(E67)</f>
        <v>9.6</v>
      </c>
      <c r="G67" s="34">
        <v>56.66</v>
      </c>
      <c r="H67" s="75">
        <f t="shared" si="15"/>
        <v>0.54393599999999998</v>
      </c>
      <c r="I67" s="12">
        <f t="shared" si="16"/>
        <v>543.93599999999992</v>
      </c>
      <c r="J67" s="22"/>
      <c r="L67" s="18"/>
      <c r="M67" s="19"/>
      <c r="N67" s="20"/>
    </row>
    <row r="68" spans="1:14" ht="15.75" hidden="1" customHeight="1">
      <c r="A68" s="26"/>
      <c r="B68" s="36" t="s">
        <v>54</v>
      </c>
      <c r="C68" s="37" t="s">
        <v>55</v>
      </c>
      <c r="D68" s="36"/>
      <c r="E68" s="16">
        <v>4</v>
      </c>
      <c r="F68" s="34">
        <f>SUM(E68)</f>
        <v>4</v>
      </c>
      <c r="G68" s="34">
        <v>74.37</v>
      </c>
      <c r="H68" s="75">
        <f t="shared" si="15"/>
        <v>0.29748000000000002</v>
      </c>
      <c r="I68" s="12">
        <v>0</v>
      </c>
      <c r="J68" s="22"/>
      <c r="L68" s="18"/>
      <c r="M68" s="19"/>
      <c r="N68" s="20"/>
    </row>
    <row r="69" spans="1:14" ht="32.25" customHeight="1">
      <c r="A69" s="26">
        <v>13</v>
      </c>
      <c r="B69" s="36" t="s">
        <v>141</v>
      </c>
      <c r="C69" s="135" t="s">
        <v>142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5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3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98</v>
      </c>
      <c r="I70" s="12"/>
      <c r="J70" s="22"/>
      <c r="L70" s="18"/>
      <c r="M70" s="19"/>
      <c r="N70" s="20"/>
    </row>
    <row r="71" spans="1:14" ht="26.25" hidden="1" customHeight="1">
      <c r="A71" s="26">
        <v>18</v>
      </c>
      <c r="B71" s="13" t="s">
        <v>143</v>
      </c>
      <c r="C71" s="15" t="s">
        <v>28</v>
      </c>
      <c r="D71" s="13" t="s">
        <v>60</v>
      </c>
      <c r="E71" s="17">
        <v>1</v>
      </c>
      <c r="F71" s="61">
        <f t="shared" ref="F71" si="17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27.75" hidden="1" customHeight="1">
      <c r="A72" s="26"/>
      <c r="B72" s="50" t="s">
        <v>144</v>
      </c>
      <c r="C72" s="54" t="s">
        <v>90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1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8">SUM(F73*G73/1000)</f>
        <v>0.19736099999999998</v>
      </c>
      <c r="I73" s="12">
        <v>0</v>
      </c>
      <c r="J73" s="22"/>
      <c r="L73" s="18"/>
      <c r="M73" s="19"/>
      <c r="N73" s="20"/>
    </row>
    <row r="74" spans="1:14" ht="21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8"/>
        <v>1.1187199999999999</v>
      </c>
      <c r="I74" s="12">
        <v>0</v>
      </c>
      <c r="J74" s="22"/>
      <c r="L74" s="18"/>
      <c r="M74" s="19"/>
      <c r="N74" s="20"/>
    </row>
    <row r="75" spans="1:14" ht="21.75" hidden="1" customHeight="1">
      <c r="A75" s="26"/>
      <c r="B75" s="50" t="s">
        <v>145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8"/>
        <v>1.6058299999999999</v>
      </c>
      <c r="I75" s="12">
        <v>0</v>
      </c>
      <c r="J75" s="22"/>
      <c r="L75" s="18"/>
      <c r="M75" s="19"/>
      <c r="N75" s="20"/>
    </row>
    <row r="76" spans="1:14" ht="33" customHeight="1">
      <c r="A76" s="26">
        <v>14</v>
      </c>
      <c r="B76" s="121" t="s">
        <v>146</v>
      </c>
      <c r="C76" s="122" t="s">
        <v>90</v>
      </c>
      <c r="D76" s="36" t="s">
        <v>166</v>
      </c>
      <c r="E76" s="16">
        <v>2</v>
      </c>
      <c r="F76" s="31">
        <f>E76*12</f>
        <v>24</v>
      </c>
      <c r="G76" s="34">
        <v>425</v>
      </c>
      <c r="H76" s="75">
        <f t="shared" si="18"/>
        <v>10.199999999999999</v>
      </c>
      <c r="I76" s="12">
        <f>G76*2</f>
        <v>850</v>
      </c>
      <c r="J76" s="22"/>
      <c r="L76" s="18"/>
      <c r="M76" s="19"/>
      <c r="N76" s="20"/>
    </row>
    <row r="77" spans="1:14" ht="27" hidden="1" customHeight="1">
      <c r="A77" s="26"/>
      <c r="B77" s="77" t="s">
        <v>68</v>
      </c>
      <c r="C77" s="15"/>
      <c r="D77" s="13"/>
      <c r="E77" s="17"/>
      <c r="F77" s="12"/>
      <c r="G77" s="12" t="s">
        <v>98</v>
      </c>
      <c r="H77" s="75" t="s">
        <v>98</v>
      </c>
      <c r="I77" s="12"/>
      <c r="J77" s="22"/>
      <c r="L77" s="18"/>
      <c r="M77" s="19"/>
      <c r="N77" s="20"/>
    </row>
    <row r="78" spans="1:14" ht="26.25" hidden="1" customHeight="1">
      <c r="A78" s="26"/>
      <c r="B78" s="45" t="s">
        <v>97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9">SUM(F78*G78/1000)</f>
        <v>3.3708899999999997</v>
      </c>
      <c r="I78" s="12">
        <v>0</v>
      </c>
      <c r="J78" s="22"/>
      <c r="L78" s="18"/>
      <c r="M78" s="19"/>
      <c r="N78" s="20"/>
    </row>
    <row r="79" spans="1:14" ht="17.25" hidden="1" customHeight="1">
      <c r="A79" s="26"/>
      <c r="B79" s="55" t="s">
        <v>95</v>
      </c>
      <c r="C79" s="77"/>
      <c r="D79" s="27"/>
      <c r="E79" s="30"/>
      <c r="F79" s="66"/>
      <c r="G79" s="66"/>
      <c r="H79" s="78">
        <f>SUM(H55:H78)</f>
        <v>265.20082757999995</v>
      </c>
      <c r="I79" s="66"/>
      <c r="J79" s="22"/>
      <c r="L79" s="18"/>
      <c r="M79" s="19"/>
      <c r="N79" s="20"/>
    </row>
    <row r="80" spans="1:14" ht="19.5" hidden="1" customHeight="1">
      <c r="A80" s="104">
        <v>18</v>
      </c>
      <c r="B80" s="53" t="s">
        <v>96</v>
      </c>
      <c r="C80" s="109"/>
      <c r="D80" s="110"/>
      <c r="E80" s="110"/>
      <c r="F80" s="111">
        <v>1</v>
      </c>
      <c r="G80" s="111">
        <v>2354</v>
      </c>
      <c r="H80" s="112">
        <f>G80*F80/1000</f>
        <v>2.3540000000000001</v>
      </c>
      <c r="I80" s="79">
        <f>G80*1</f>
        <v>2354</v>
      </c>
      <c r="J80" s="22"/>
      <c r="L80" s="18"/>
      <c r="M80" s="19"/>
      <c r="N80" s="20"/>
    </row>
    <row r="81" spans="1:14" ht="21" hidden="1" customHeight="1">
      <c r="A81" s="49">
        <v>11</v>
      </c>
      <c r="B81" s="113" t="s">
        <v>147</v>
      </c>
      <c r="C81" s="15"/>
      <c r="D81" s="13"/>
      <c r="E81" s="13"/>
      <c r="F81" s="12">
        <v>69</v>
      </c>
      <c r="G81" s="12">
        <v>20700</v>
      </c>
      <c r="H81" s="75">
        <f>G81*F81/1000</f>
        <v>1428.3</v>
      </c>
      <c r="I81" s="114">
        <f>G81*1</f>
        <v>20700</v>
      </c>
      <c r="J81" s="22"/>
      <c r="L81" s="18"/>
      <c r="M81" s="19"/>
      <c r="N81" s="20"/>
    </row>
    <row r="82" spans="1:14" ht="15.75" customHeight="1">
      <c r="A82" s="192" t="s">
        <v>124</v>
      </c>
      <c r="B82" s="200"/>
      <c r="C82" s="200"/>
      <c r="D82" s="200"/>
      <c r="E82" s="200"/>
      <c r="F82" s="200"/>
      <c r="G82" s="200"/>
      <c r="H82" s="200"/>
      <c r="I82" s="201"/>
      <c r="J82" s="22"/>
      <c r="L82" s="18"/>
      <c r="M82" s="19"/>
      <c r="N82" s="20"/>
    </row>
    <row r="83" spans="1:14" ht="15.75" customHeight="1">
      <c r="A83" s="99">
        <v>15</v>
      </c>
      <c r="B83" s="32" t="s">
        <v>112</v>
      </c>
      <c r="C83" s="37" t="s">
        <v>52</v>
      </c>
      <c r="D83" s="162"/>
      <c r="E83" s="34">
        <v>3181</v>
      </c>
      <c r="F83" s="34">
        <f>SUM(E83*12)</f>
        <v>38172</v>
      </c>
      <c r="G83" s="34">
        <v>3.5</v>
      </c>
      <c r="H83" s="105">
        <f>SUM(F83*G83/1000)</f>
        <v>133.602</v>
      </c>
      <c r="I83" s="100">
        <f>F83/12*G83</f>
        <v>11133.5</v>
      </c>
      <c r="J83" s="22"/>
      <c r="L83" s="18"/>
      <c r="M83" s="19"/>
      <c r="N83" s="20"/>
    </row>
    <row r="84" spans="1:14" ht="31.5" customHeight="1">
      <c r="A84" s="26">
        <v>16</v>
      </c>
      <c r="B84" s="36" t="s">
        <v>181</v>
      </c>
      <c r="C84" s="37" t="s">
        <v>152</v>
      </c>
      <c r="D84" s="163"/>
      <c r="E84" s="106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15.75" customHeight="1">
      <c r="A85" s="49"/>
      <c r="B85" s="38" t="s">
        <v>71</v>
      </c>
      <c r="C85" s="15"/>
      <c r="D85" s="45"/>
      <c r="E85" s="12"/>
      <c r="F85" s="12"/>
      <c r="G85" s="12"/>
      <c r="H85" s="75">
        <f>H84</f>
        <v>122.1504</v>
      </c>
      <c r="I85" s="66">
        <f>I84+I83+I76+I69+I67+I66+I65+I64+I63+I30+I29+I19+I18+I17+I16+I59</f>
        <v>156104.14945000006</v>
      </c>
      <c r="J85" s="22"/>
      <c r="L85" s="18"/>
      <c r="M85" s="19"/>
      <c r="N85" s="20"/>
    </row>
    <row r="86" spans="1:14" ht="15.75" customHeight="1">
      <c r="A86" s="202" t="s">
        <v>56</v>
      </c>
      <c r="B86" s="203"/>
      <c r="C86" s="203"/>
      <c r="D86" s="203"/>
      <c r="E86" s="203"/>
      <c r="F86" s="203"/>
      <c r="G86" s="203"/>
      <c r="H86" s="203"/>
      <c r="I86" s="204"/>
      <c r="J86" s="22"/>
      <c r="L86" s="18"/>
      <c r="M86" s="19"/>
      <c r="N86" s="20"/>
    </row>
    <row r="87" spans="1:14" ht="15.75" customHeight="1">
      <c r="A87" s="49">
        <v>17</v>
      </c>
      <c r="B87" s="177" t="s">
        <v>234</v>
      </c>
      <c r="C87" s="135" t="s">
        <v>81</v>
      </c>
      <c r="D87" s="163"/>
      <c r="E87" s="34"/>
      <c r="F87" s="34">
        <v>7.0000000000000007E-2</v>
      </c>
      <c r="G87" s="34">
        <v>36554.97</v>
      </c>
      <c r="H87" s="72"/>
      <c r="I87" s="12">
        <f>G87*0.01</f>
        <v>365.54970000000003</v>
      </c>
      <c r="J87" s="22"/>
      <c r="L87" s="18"/>
      <c r="M87" s="19"/>
      <c r="N87" s="20"/>
    </row>
    <row r="88" spans="1:14" ht="31.5" customHeight="1">
      <c r="A88" s="49">
        <v>18</v>
      </c>
      <c r="B88" s="121" t="s">
        <v>264</v>
      </c>
      <c r="C88" s="122" t="s">
        <v>90</v>
      </c>
      <c r="D88" s="163" t="s">
        <v>269</v>
      </c>
      <c r="E88" s="34"/>
      <c r="F88" s="34">
        <v>0.5</v>
      </c>
      <c r="G88" s="34">
        <v>983.17</v>
      </c>
      <c r="H88" s="56"/>
      <c r="I88" s="12">
        <f>G88*0.5</f>
        <v>491.58499999999998</v>
      </c>
      <c r="J88" s="22"/>
      <c r="L88" s="18"/>
      <c r="M88" s="19"/>
      <c r="N88" s="20"/>
    </row>
    <row r="89" spans="1:14" ht="30.75" customHeight="1">
      <c r="A89" s="49">
        <v>19</v>
      </c>
      <c r="B89" s="121" t="s">
        <v>265</v>
      </c>
      <c r="C89" s="122" t="s">
        <v>90</v>
      </c>
      <c r="D89" s="163" t="s">
        <v>269</v>
      </c>
      <c r="E89" s="34"/>
      <c r="F89" s="34">
        <v>0.5</v>
      </c>
      <c r="G89" s="34">
        <v>795.42</v>
      </c>
      <c r="H89" s="56"/>
      <c r="I89" s="12">
        <f>G89*0.5</f>
        <v>397.71</v>
      </c>
      <c r="J89" s="22"/>
      <c r="L89" s="18"/>
      <c r="M89" s="19"/>
      <c r="N89" s="20"/>
    </row>
    <row r="90" spans="1:14" ht="15.75" customHeight="1">
      <c r="A90" s="49">
        <v>20</v>
      </c>
      <c r="B90" s="121" t="s">
        <v>236</v>
      </c>
      <c r="C90" s="122" t="s">
        <v>90</v>
      </c>
      <c r="D90" s="163"/>
      <c r="E90" s="34"/>
      <c r="F90" s="34">
        <v>2</v>
      </c>
      <c r="G90" s="34">
        <v>91.8</v>
      </c>
      <c r="H90" s="56"/>
      <c r="I90" s="12">
        <f>G90*1</f>
        <v>91.8</v>
      </c>
      <c r="J90" s="22"/>
      <c r="L90" s="18"/>
      <c r="M90" s="19"/>
      <c r="N90" s="20"/>
    </row>
    <row r="91" spans="1:14" ht="15.75" customHeight="1">
      <c r="A91" s="49">
        <v>21</v>
      </c>
      <c r="B91" s="121" t="s">
        <v>239</v>
      </c>
      <c r="C91" s="122" t="s">
        <v>90</v>
      </c>
      <c r="D91" s="163"/>
      <c r="E91" s="34"/>
      <c r="F91" s="34">
        <v>2</v>
      </c>
      <c r="G91" s="34">
        <v>98</v>
      </c>
      <c r="H91" s="56"/>
      <c r="I91" s="12">
        <f>G91*1</f>
        <v>98</v>
      </c>
      <c r="J91" s="22"/>
      <c r="L91" s="18"/>
      <c r="M91" s="19"/>
      <c r="N91" s="20"/>
    </row>
    <row r="92" spans="1:14" ht="15.75" customHeight="1">
      <c r="A92" s="49">
        <v>22</v>
      </c>
      <c r="B92" s="121" t="s">
        <v>241</v>
      </c>
      <c r="C92" s="122" t="s">
        <v>90</v>
      </c>
      <c r="D92" s="163"/>
      <c r="E92" s="34"/>
      <c r="F92" s="34">
        <v>4</v>
      </c>
      <c r="G92" s="34">
        <v>65</v>
      </c>
      <c r="H92" s="56"/>
      <c r="I92" s="12">
        <f>G92*2</f>
        <v>130</v>
      </c>
      <c r="J92" s="22"/>
      <c r="L92" s="18"/>
      <c r="M92" s="19"/>
      <c r="N92" s="20"/>
    </row>
    <row r="93" spans="1:14" ht="15.75" customHeight="1">
      <c r="A93" s="49">
        <v>23</v>
      </c>
      <c r="B93" s="121" t="s">
        <v>266</v>
      </c>
      <c r="C93" s="122" t="s">
        <v>90</v>
      </c>
      <c r="D93" s="163"/>
      <c r="E93" s="34"/>
      <c r="F93" s="34">
        <v>1</v>
      </c>
      <c r="G93" s="34">
        <v>28</v>
      </c>
      <c r="H93" s="56"/>
      <c r="I93" s="12">
        <f>G93*1</f>
        <v>28</v>
      </c>
      <c r="J93" s="22"/>
      <c r="L93" s="18"/>
      <c r="M93" s="19"/>
      <c r="N93" s="20"/>
    </row>
    <row r="94" spans="1:14" ht="15.75" customHeight="1">
      <c r="A94" s="49">
        <v>24</v>
      </c>
      <c r="B94" s="121" t="s">
        <v>267</v>
      </c>
      <c r="C94" s="122" t="s">
        <v>27</v>
      </c>
      <c r="D94" s="163"/>
      <c r="E94" s="34"/>
      <c r="F94" s="34">
        <v>0.19800000000000001</v>
      </c>
      <c r="G94" s="34">
        <v>4688.09</v>
      </c>
      <c r="H94" s="56"/>
      <c r="I94" s="12">
        <f>G94*0.198</f>
        <v>928.24182000000008</v>
      </c>
      <c r="J94" s="22"/>
      <c r="L94" s="18"/>
      <c r="M94" s="19"/>
      <c r="N94" s="20"/>
    </row>
    <row r="95" spans="1:14" ht="15.75" customHeight="1">
      <c r="A95" s="49">
        <v>25</v>
      </c>
      <c r="B95" s="121" t="s">
        <v>268</v>
      </c>
      <c r="C95" s="165" t="s">
        <v>185</v>
      </c>
      <c r="D95" s="163" t="s">
        <v>270</v>
      </c>
      <c r="E95" s="34"/>
      <c r="F95" s="34">
        <v>1</v>
      </c>
      <c r="G95" s="34">
        <v>182.26</v>
      </c>
      <c r="H95" s="56"/>
      <c r="I95" s="12">
        <f>G95*1</f>
        <v>182.26</v>
      </c>
      <c r="J95" s="22"/>
      <c r="L95" s="18"/>
      <c r="M95" s="19"/>
      <c r="N95" s="20"/>
    </row>
    <row r="96" spans="1:14" ht="15.75" customHeight="1">
      <c r="A96" s="49">
        <v>26</v>
      </c>
      <c r="B96" s="121" t="s">
        <v>186</v>
      </c>
      <c r="C96" s="165" t="s">
        <v>90</v>
      </c>
      <c r="D96" s="163"/>
      <c r="E96" s="34"/>
      <c r="F96" s="34">
        <v>1</v>
      </c>
      <c r="G96" s="34">
        <v>453</v>
      </c>
      <c r="H96" s="56"/>
      <c r="I96" s="12">
        <f>G96*1</f>
        <v>453</v>
      </c>
      <c r="J96" s="22"/>
      <c r="L96" s="18"/>
      <c r="M96" s="19"/>
      <c r="N96" s="20"/>
    </row>
    <row r="97" spans="1:22" ht="15.75" customHeight="1">
      <c r="A97" s="26"/>
      <c r="B97" s="27" t="s">
        <v>49</v>
      </c>
      <c r="C97" s="40"/>
      <c r="D97" s="46"/>
      <c r="E97" s="40">
        <v>1</v>
      </c>
      <c r="F97" s="40"/>
      <c r="G97" s="40"/>
      <c r="H97" s="40"/>
      <c r="I97" s="30">
        <f>SUM(I87:I96)</f>
        <v>3166.1465200000002</v>
      </c>
      <c r="J97" s="22"/>
      <c r="L97" s="18"/>
      <c r="M97" s="19"/>
      <c r="N97" s="20"/>
    </row>
    <row r="98" spans="1:22" ht="15.75" customHeight="1">
      <c r="A98" s="26"/>
      <c r="B98" s="45" t="s">
        <v>70</v>
      </c>
      <c r="C98" s="14"/>
      <c r="D98" s="14"/>
      <c r="E98" s="41"/>
      <c r="F98" s="41"/>
      <c r="G98" s="42"/>
      <c r="H98" s="42"/>
      <c r="I98" s="16">
        <v>0</v>
      </c>
      <c r="J98" s="22"/>
      <c r="L98" s="18"/>
      <c r="M98" s="19"/>
      <c r="N98" s="20"/>
    </row>
    <row r="99" spans="1:22" ht="15.75" customHeight="1">
      <c r="A99" s="47"/>
      <c r="B99" s="44" t="s">
        <v>137</v>
      </c>
      <c r="C99" s="33"/>
      <c r="D99" s="33"/>
      <c r="E99" s="33"/>
      <c r="F99" s="33"/>
      <c r="G99" s="33"/>
      <c r="H99" s="33"/>
      <c r="I99" s="43">
        <f>I85+I97</f>
        <v>159270.29597000006</v>
      </c>
      <c r="J99" s="22"/>
      <c r="L99" s="18"/>
      <c r="M99" s="19"/>
      <c r="N99" s="20"/>
    </row>
    <row r="100" spans="1:22" ht="15.75" customHeight="1">
      <c r="A100" s="191" t="s">
        <v>271</v>
      </c>
      <c r="B100" s="191"/>
      <c r="C100" s="191"/>
      <c r="D100" s="191"/>
      <c r="E100" s="191"/>
      <c r="F100" s="191"/>
      <c r="G100" s="191"/>
      <c r="H100" s="191"/>
      <c r="I100" s="191"/>
      <c r="J100" s="22"/>
      <c r="L100" s="18"/>
      <c r="M100" s="19"/>
      <c r="N100" s="20"/>
    </row>
    <row r="101" spans="1:22" ht="15.75" customHeight="1">
      <c r="A101" s="8"/>
      <c r="B101" s="205" t="s">
        <v>272</v>
      </c>
      <c r="C101" s="205"/>
      <c r="D101" s="205"/>
      <c r="E101" s="205"/>
      <c r="F101" s="205"/>
      <c r="G101" s="205"/>
      <c r="H101" s="82"/>
      <c r="I101" s="3"/>
      <c r="J101" s="22"/>
      <c r="L101" s="18"/>
      <c r="M101" s="19"/>
      <c r="N101" s="20"/>
    </row>
    <row r="102" spans="1:22" ht="15.75" customHeight="1">
      <c r="A102" s="84"/>
      <c r="B102" s="206" t="s">
        <v>5</v>
      </c>
      <c r="C102" s="206"/>
      <c r="D102" s="206"/>
      <c r="E102" s="206"/>
      <c r="F102" s="206"/>
      <c r="G102" s="206"/>
      <c r="H102" s="23"/>
      <c r="I102" s="5"/>
      <c r="J102" s="22"/>
      <c r="K102" s="22"/>
      <c r="L102" s="22"/>
      <c r="M102" s="19"/>
      <c r="N102" s="20"/>
    </row>
    <row r="103" spans="1:22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22"/>
      <c r="K103" s="22"/>
      <c r="L103" s="22"/>
      <c r="M103" s="19"/>
      <c r="N103" s="20"/>
    </row>
    <row r="104" spans="1:22" ht="15.75" customHeight="1">
      <c r="A104" s="207" t="s">
        <v>6</v>
      </c>
      <c r="B104" s="207"/>
      <c r="C104" s="207"/>
      <c r="D104" s="207"/>
      <c r="E104" s="207"/>
      <c r="F104" s="207"/>
      <c r="G104" s="207"/>
      <c r="H104" s="207"/>
      <c r="I104" s="207"/>
      <c r="J104" s="22"/>
      <c r="K104" s="22"/>
      <c r="L104" s="22"/>
    </row>
    <row r="105" spans="1:22" ht="15.75" customHeight="1">
      <c r="A105" s="207" t="s">
        <v>7</v>
      </c>
      <c r="B105" s="207"/>
      <c r="C105" s="207"/>
      <c r="D105" s="207"/>
      <c r="E105" s="207"/>
      <c r="F105" s="207"/>
      <c r="G105" s="207"/>
      <c r="H105" s="207"/>
      <c r="I105" s="207"/>
      <c r="J105" s="22"/>
      <c r="K105" s="22"/>
      <c r="L105" s="22"/>
    </row>
    <row r="106" spans="1:22" ht="15.75" customHeight="1">
      <c r="A106" s="191" t="s">
        <v>8</v>
      </c>
      <c r="B106" s="191"/>
      <c r="C106" s="191"/>
      <c r="D106" s="191"/>
      <c r="E106" s="191"/>
      <c r="F106" s="191"/>
      <c r="G106" s="191"/>
      <c r="H106" s="191"/>
      <c r="I106" s="191"/>
    </row>
    <row r="107" spans="1:22" ht="15.75" customHeight="1">
      <c r="A107" s="1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7"/>
    </row>
    <row r="108" spans="1:22" ht="15.75" customHeight="1">
      <c r="A108" s="209" t="s">
        <v>9</v>
      </c>
      <c r="B108" s="209"/>
      <c r="C108" s="209"/>
      <c r="D108" s="209"/>
      <c r="E108" s="209"/>
      <c r="F108" s="209"/>
      <c r="G108" s="209"/>
      <c r="H108" s="209"/>
      <c r="I108" s="209"/>
      <c r="J108" s="24"/>
      <c r="K108" s="24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2" ht="15.75" customHeight="1">
      <c r="A109" s="4"/>
      <c r="J109" s="3"/>
      <c r="K109" s="3"/>
      <c r="L109" s="3"/>
      <c r="M109" s="3"/>
      <c r="N109" s="3"/>
      <c r="O109" s="3"/>
      <c r="P109" s="3"/>
      <c r="Q109" s="3"/>
      <c r="S109" s="3"/>
      <c r="T109" s="3"/>
      <c r="U109" s="3"/>
    </row>
    <row r="110" spans="1:22" ht="15.75" customHeight="1">
      <c r="A110" s="191" t="s">
        <v>10</v>
      </c>
      <c r="B110" s="191"/>
      <c r="C110" s="210" t="s">
        <v>187</v>
      </c>
      <c r="D110" s="210"/>
      <c r="E110" s="210"/>
      <c r="F110" s="57"/>
      <c r="I110" s="87"/>
      <c r="J110" s="5"/>
      <c r="K110" s="5"/>
      <c r="L110" s="5"/>
      <c r="M110" s="5"/>
      <c r="N110" s="5"/>
      <c r="O110" s="5"/>
      <c r="P110" s="5"/>
      <c r="Q110" s="5"/>
      <c r="R110" s="211"/>
      <c r="S110" s="211"/>
      <c r="T110" s="211"/>
      <c r="U110" s="211"/>
    </row>
    <row r="111" spans="1:22" ht="15.75" customHeight="1">
      <c r="A111" s="84"/>
      <c r="C111" s="206" t="s">
        <v>11</v>
      </c>
      <c r="D111" s="206"/>
      <c r="E111" s="206"/>
      <c r="F111" s="23"/>
      <c r="I111" s="85" t="s">
        <v>12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2" ht="15.75" customHeight="1">
      <c r="A112" s="24"/>
      <c r="C112" s="11"/>
      <c r="D112" s="11"/>
      <c r="G112" s="11"/>
      <c r="H112" s="11"/>
    </row>
    <row r="113" spans="1:9" ht="15.75" customHeight="1">
      <c r="A113" s="191" t="s">
        <v>13</v>
      </c>
      <c r="B113" s="191"/>
      <c r="C113" s="212"/>
      <c r="D113" s="212"/>
      <c r="E113" s="212"/>
      <c r="F113" s="58"/>
      <c r="I113" s="87"/>
    </row>
    <row r="114" spans="1:9" ht="15.75" customHeight="1">
      <c r="A114" s="84"/>
      <c r="C114" s="211" t="s">
        <v>11</v>
      </c>
      <c r="D114" s="211"/>
      <c r="E114" s="211"/>
      <c r="F114" s="84"/>
      <c r="I114" s="85" t="s">
        <v>12</v>
      </c>
    </row>
    <row r="115" spans="1:9" ht="15.75" customHeight="1">
      <c r="A115" s="4" t="s">
        <v>14</v>
      </c>
    </row>
    <row r="116" spans="1:9" ht="15" customHeight="1">
      <c r="A116" s="213" t="s">
        <v>15</v>
      </c>
      <c r="B116" s="213"/>
      <c r="C116" s="213"/>
      <c r="D116" s="213"/>
      <c r="E116" s="213"/>
      <c r="F116" s="213"/>
      <c r="G116" s="213"/>
      <c r="H116" s="213"/>
      <c r="I116" s="213"/>
    </row>
    <row r="117" spans="1:9" ht="45" customHeight="1">
      <c r="A117" s="208" t="s">
        <v>16</v>
      </c>
      <c r="B117" s="208"/>
      <c r="C117" s="208"/>
      <c r="D117" s="208"/>
      <c r="E117" s="208"/>
      <c r="F117" s="208"/>
      <c r="G117" s="208"/>
      <c r="H117" s="208"/>
      <c r="I117" s="208"/>
    </row>
    <row r="118" spans="1:9" ht="30" customHeight="1">
      <c r="A118" s="208" t="s">
        <v>17</v>
      </c>
      <c r="B118" s="208"/>
      <c r="C118" s="208"/>
      <c r="D118" s="208"/>
      <c r="E118" s="208"/>
      <c r="F118" s="208"/>
      <c r="G118" s="208"/>
      <c r="H118" s="208"/>
      <c r="I118" s="208"/>
    </row>
    <row r="119" spans="1:9" ht="30" customHeight="1">
      <c r="A119" s="208" t="s">
        <v>21</v>
      </c>
      <c r="B119" s="208"/>
      <c r="C119" s="208"/>
      <c r="D119" s="208"/>
      <c r="E119" s="208"/>
      <c r="F119" s="208"/>
      <c r="G119" s="208"/>
      <c r="H119" s="208"/>
      <c r="I119" s="208"/>
    </row>
    <row r="120" spans="1:9" ht="15" customHeight="1">
      <c r="A120" s="208" t="s">
        <v>20</v>
      </c>
      <c r="B120" s="208"/>
      <c r="C120" s="208"/>
      <c r="D120" s="208"/>
      <c r="E120" s="208"/>
      <c r="F120" s="208"/>
      <c r="G120" s="208"/>
      <c r="H120" s="208"/>
      <c r="I120" s="208"/>
    </row>
  </sheetData>
  <autoFilter ref="I12:I106"/>
  <mergeCells count="31">
    <mergeCell ref="A120:I120"/>
    <mergeCell ref="A108:I108"/>
    <mergeCell ref="A110:B110"/>
    <mergeCell ref="C110:E110"/>
    <mergeCell ref="R110:U110"/>
    <mergeCell ref="C111:E111"/>
    <mergeCell ref="A113:B113"/>
    <mergeCell ref="C113:E113"/>
    <mergeCell ref="C114:E114"/>
    <mergeCell ref="A116:I116"/>
    <mergeCell ref="A117:I117"/>
    <mergeCell ref="A118:I118"/>
    <mergeCell ref="A119:I119"/>
    <mergeCell ref="A106:I106"/>
    <mergeCell ref="A15:I15"/>
    <mergeCell ref="A27:I27"/>
    <mergeCell ref="A42:I42"/>
    <mergeCell ref="A53:I53"/>
    <mergeCell ref="A82:I82"/>
    <mergeCell ref="A86:I86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4"/>
  <sheetViews>
    <sheetView topLeftCell="A15"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36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122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273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44408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80</v>
      </c>
      <c r="C19" s="59" t="s">
        <v>81</v>
      </c>
      <c r="D19" s="51" t="s">
        <v>82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5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customHeight="1">
      <c r="A22" s="26">
        <v>6</v>
      </c>
      <c r="B22" s="32" t="s">
        <v>85</v>
      </c>
      <c r="C22" s="39" t="s">
        <v>50</v>
      </c>
      <c r="D22" s="51" t="s">
        <v>171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customHeight="1">
      <c r="A23" s="26">
        <v>7</v>
      </c>
      <c r="B23" s="32" t="s">
        <v>86</v>
      </c>
      <c r="C23" s="39" t="s">
        <v>50</v>
      </c>
      <c r="D23" s="51" t="s">
        <v>176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customHeight="1">
      <c r="A24" s="26">
        <v>8</v>
      </c>
      <c r="B24" s="32" t="s">
        <v>87</v>
      </c>
      <c r="C24" s="39" t="s">
        <v>50</v>
      </c>
      <c r="D24" s="52" t="s">
        <v>166</v>
      </c>
      <c r="E24" s="16">
        <v>15</v>
      </c>
      <c r="F24" s="153">
        <f t="shared" si="3"/>
        <v>0.15</v>
      </c>
      <c r="G24" s="31">
        <v>581.02</v>
      </c>
      <c r="H24" s="62">
        <f t="shared" ref="H24" si="5">SUM(F24*G24/1000)</f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customHeight="1">
      <c r="A25" s="26">
        <v>9</v>
      </c>
      <c r="B25" s="32" t="s">
        <v>88</v>
      </c>
      <c r="C25" s="39" t="s">
        <v>50</v>
      </c>
      <c r="D25" s="51" t="s">
        <v>274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customHeight="1">
      <c r="A29" s="99">
        <v>10</v>
      </c>
      <c r="B29" s="32" t="s">
        <v>131</v>
      </c>
      <c r="C29" s="39" t="s">
        <v>89</v>
      </c>
      <c r="D29" s="32" t="s">
        <v>250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11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4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customHeight="1">
      <c r="A32" s="26">
        <v>12</v>
      </c>
      <c r="B32" s="32" t="s">
        <v>275</v>
      </c>
      <c r="C32" s="39" t="s">
        <v>50</v>
      </c>
      <c r="D32" s="32" t="s">
        <v>166</v>
      </c>
      <c r="E32" s="31">
        <v>880.45</v>
      </c>
      <c r="F32" s="31">
        <f>E32*1/100</f>
        <v>8.8045000000000009</v>
      </c>
      <c r="G32" s="31">
        <v>509</v>
      </c>
      <c r="H32" s="62"/>
      <c r="I32" s="12">
        <f>G32*F32</f>
        <v>4481.4905000000008</v>
      </c>
      <c r="J32" s="21"/>
      <c r="K32" s="6"/>
      <c r="L32" s="6"/>
      <c r="M32" s="6"/>
    </row>
    <row r="33" spans="1:14" ht="15.75" hidden="1" customHeight="1">
      <c r="A33" s="26"/>
      <c r="B33" s="51" t="s">
        <v>59</v>
      </c>
      <c r="C33" s="59" t="s">
        <v>30</v>
      </c>
      <c r="D33" s="51" t="s">
        <v>60</v>
      </c>
      <c r="E33" s="60"/>
      <c r="F33" s="61">
        <v>1</v>
      </c>
      <c r="G33" s="61">
        <v>250.92</v>
      </c>
      <c r="H33" s="62">
        <f t="shared" si="9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4"/>
      <c r="B34" s="51" t="s">
        <v>100</v>
      </c>
      <c r="C34" s="59" t="s">
        <v>29</v>
      </c>
      <c r="D34" s="51" t="s">
        <v>60</v>
      </c>
      <c r="E34" s="60"/>
      <c r="F34" s="61">
        <v>1</v>
      </c>
      <c r="G34" s="61">
        <v>1490.31</v>
      </c>
      <c r="H34" s="62">
        <f t="shared" si="9"/>
        <v>1.49031</v>
      </c>
      <c r="I34" s="12">
        <v>0</v>
      </c>
      <c r="J34" s="21"/>
      <c r="K34" s="6"/>
      <c r="L34" s="6"/>
      <c r="M34" s="6"/>
    </row>
    <row r="35" spans="1:14" ht="15.75" hidden="1" customHeight="1">
      <c r="A35" s="101"/>
      <c r="B35" s="55" t="s">
        <v>4</v>
      </c>
      <c r="C35" s="103"/>
      <c r="D35" s="103"/>
      <c r="E35" s="103"/>
      <c r="F35" s="103"/>
      <c r="G35" s="103"/>
      <c r="H35" s="103"/>
      <c r="I35" s="103"/>
      <c r="J35" s="21"/>
      <c r="K35" s="6"/>
      <c r="L35" s="6"/>
      <c r="M35" s="6"/>
    </row>
    <row r="36" spans="1:14" ht="15.75" hidden="1" customHeight="1">
      <c r="A36" s="99">
        <v>6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:H42" si="10">SUM(F36*G36/1000)</f>
        <v>6.0090000000000003</v>
      </c>
      <c r="I36" s="12">
        <f>F36/6*G36</f>
        <v>1001.5</v>
      </c>
      <c r="J36" s="21"/>
      <c r="K36" s="6"/>
      <c r="L36" s="6"/>
      <c r="M36" s="6"/>
    </row>
    <row r="37" spans="1:14" ht="15.75" hidden="1" customHeight="1">
      <c r="A37" s="26">
        <v>7</v>
      </c>
      <c r="B37" s="51" t="s">
        <v>138</v>
      </c>
      <c r="C37" s="59" t="s">
        <v>27</v>
      </c>
      <c r="D37" s="51" t="s">
        <v>101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  <c r="J37" s="21"/>
      <c r="K37" s="6"/>
      <c r="L37" s="6"/>
      <c r="M37" s="6"/>
    </row>
    <row r="38" spans="1:14" ht="15.75" hidden="1" customHeight="1">
      <c r="A38" s="26">
        <v>8</v>
      </c>
      <c r="B38" s="51" t="s">
        <v>102</v>
      </c>
      <c r="C38" s="59" t="s">
        <v>103</v>
      </c>
      <c r="D38" s="51" t="s">
        <v>60</v>
      </c>
      <c r="E38" s="60"/>
      <c r="F38" s="61">
        <v>52</v>
      </c>
      <c r="G38" s="61">
        <v>239.09</v>
      </c>
      <c r="H38" s="62">
        <f>G38*F38/1000</f>
        <v>12.43268</v>
      </c>
      <c r="I38" s="12">
        <f t="shared" ref="I38:I40" si="11">F38/6*G38</f>
        <v>2072.1133333333332</v>
      </c>
      <c r="J38" s="21"/>
      <c r="K38" s="6"/>
    </row>
    <row r="39" spans="1:14" ht="15.75" hidden="1" customHeight="1">
      <c r="A39" s="26"/>
      <c r="B39" s="51" t="s">
        <v>61</v>
      </c>
      <c r="C39" s="59" t="s">
        <v>27</v>
      </c>
      <c r="D39" s="51" t="s">
        <v>104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10"/>
        <v>6.5598852000000001</v>
      </c>
      <c r="I39" s="12">
        <f t="shared" si="11"/>
        <v>1093.3141999999998</v>
      </c>
      <c r="J39" s="22"/>
    </row>
    <row r="40" spans="1:14" ht="48" hidden="1" customHeight="1">
      <c r="A40" s="26">
        <v>9</v>
      </c>
      <c r="B40" s="51" t="s">
        <v>73</v>
      </c>
      <c r="C40" s="59" t="s">
        <v>89</v>
      </c>
      <c r="D40" s="51" t="s">
        <v>139</v>
      </c>
      <c r="E40" s="61">
        <v>92</v>
      </c>
      <c r="F40" s="61">
        <f>SUM(E40*35/1000)</f>
        <v>3.22</v>
      </c>
      <c r="G40" s="61">
        <v>7611.16</v>
      </c>
      <c r="H40" s="62">
        <f t="shared" si="10"/>
        <v>24.507935199999999</v>
      </c>
      <c r="I40" s="12">
        <f t="shared" si="11"/>
        <v>4084.655866666667</v>
      </c>
      <c r="J40" s="22"/>
    </row>
    <row r="41" spans="1:14" ht="15.75" hidden="1" customHeight="1">
      <c r="A41" s="26">
        <v>10</v>
      </c>
      <c r="B41" s="51" t="s">
        <v>105</v>
      </c>
      <c r="C41" s="59" t="s">
        <v>89</v>
      </c>
      <c r="D41" s="51" t="s">
        <v>140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10"/>
        <v>1.03454</v>
      </c>
      <c r="I41" s="12">
        <f>F41/6*G41</f>
        <v>172.42333333333335</v>
      </c>
      <c r="J41" s="22"/>
    </row>
    <row r="42" spans="1:14" ht="15.75" hidden="1" customHeight="1">
      <c r="A42" s="26">
        <v>11</v>
      </c>
      <c r="B42" s="51" t="s">
        <v>62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10"/>
        <v>0.79437600000000008</v>
      </c>
      <c r="I42" s="12">
        <f>F42/6*G42</f>
        <v>132.39600000000002</v>
      </c>
      <c r="J42" s="22"/>
    </row>
    <row r="43" spans="1:14" ht="15.75" hidden="1" customHeight="1">
      <c r="A43" s="195" t="s">
        <v>116</v>
      </c>
      <c r="B43" s="196"/>
      <c r="C43" s="196"/>
      <c r="D43" s="196"/>
      <c r="E43" s="196"/>
      <c r="F43" s="196"/>
      <c r="G43" s="196"/>
      <c r="H43" s="196"/>
      <c r="I43" s="197"/>
      <c r="J43" s="22"/>
      <c r="L43" s="18"/>
      <c r="M43" s="19"/>
      <c r="N43" s="20"/>
    </row>
    <row r="44" spans="1:14" ht="15.75" hidden="1" customHeight="1">
      <c r="A44" s="26">
        <v>17</v>
      </c>
      <c r="B44" s="32" t="s">
        <v>106</v>
      </c>
      <c r="C44" s="39" t="s">
        <v>89</v>
      </c>
      <c r="D44" s="32" t="s">
        <v>39</v>
      </c>
      <c r="E44" s="106">
        <v>1114.25</v>
      </c>
      <c r="F44" s="31">
        <f>SUM(E44*2/1000)</f>
        <v>2.2284999999999999</v>
      </c>
      <c r="G44" s="34">
        <v>1193.71</v>
      </c>
      <c r="H44" s="107">
        <f t="shared" ref="H44:H53" si="12">SUM(F44*G44/1000)</f>
        <v>2.6601827349999998</v>
      </c>
      <c r="I44" s="12">
        <f t="shared" ref="I44:I46" si="13">F44/2*G44</f>
        <v>1330.0913674999999</v>
      </c>
      <c r="J44" s="22"/>
      <c r="L44" s="18"/>
      <c r="M44" s="19"/>
      <c r="N44" s="20"/>
    </row>
    <row r="45" spans="1:14" ht="15.75" hidden="1" customHeight="1">
      <c r="A45" s="26">
        <v>18</v>
      </c>
      <c r="B45" s="32" t="s">
        <v>33</v>
      </c>
      <c r="C45" s="39" t="s">
        <v>89</v>
      </c>
      <c r="D45" s="32" t="s">
        <v>39</v>
      </c>
      <c r="E45" s="106">
        <v>2631</v>
      </c>
      <c r="F45" s="31">
        <f>SUM(E45*2/1000)</f>
        <v>5.2619999999999996</v>
      </c>
      <c r="G45" s="34">
        <v>1803.69</v>
      </c>
      <c r="H45" s="107">
        <f t="shared" si="12"/>
        <v>9.4910167800000007</v>
      </c>
      <c r="I45" s="12">
        <f t="shared" si="13"/>
        <v>4745.50839</v>
      </c>
      <c r="J45" s="22"/>
      <c r="L45" s="18"/>
      <c r="M45" s="19"/>
      <c r="N45" s="20"/>
    </row>
    <row r="46" spans="1:14" ht="15.75" hidden="1" customHeight="1">
      <c r="A46" s="26">
        <v>19</v>
      </c>
      <c r="B46" s="32" t="s">
        <v>34</v>
      </c>
      <c r="C46" s="39" t="s">
        <v>89</v>
      </c>
      <c r="D46" s="32" t="s">
        <v>39</v>
      </c>
      <c r="E46" s="106">
        <v>1953.8</v>
      </c>
      <c r="F46" s="31">
        <f>SUM(E46*2/1000)</f>
        <v>3.9076</v>
      </c>
      <c r="G46" s="34">
        <v>1243.43</v>
      </c>
      <c r="H46" s="107">
        <f t="shared" si="12"/>
        <v>4.8588270680000001</v>
      </c>
      <c r="I46" s="12">
        <f t="shared" si="13"/>
        <v>2429.4135340000003</v>
      </c>
      <c r="J46" s="22"/>
      <c r="L46" s="18"/>
      <c r="M46" s="19"/>
      <c r="N46" s="20"/>
    </row>
    <row r="47" spans="1:14" ht="15.75" hidden="1" customHeight="1">
      <c r="A47" s="26">
        <v>20</v>
      </c>
      <c r="B47" s="32" t="s">
        <v>31</v>
      </c>
      <c r="C47" s="39" t="s">
        <v>32</v>
      </c>
      <c r="D47" s="32" t="s">
        <v>39</v>
      </c>
      <c r="E47" s="106">
        <v>91.84</v>
      </c>
      <c r="F47" s="31">
        <f>SUM(E47*2/100)</f>
        <v>1.8368</v>
      </c>
      <c r="G47" s="108">
        <v>1172.4100000000001</v>
      </c>
      <c r="H47" s="107">
        <f t="shared" si="12"/>
        <v>2.153482688</v>
      </c>
      <c r="I47" s="12">
        <f>F47/2*G47</f>
        <v>1076.741344</v>
      </c>
      <c r="J47" s="22"/>
      <c r="L47" s="18"/>
      <c r="M47" s="19"/>
      <c r="N47" s="20"/>
    </row>
    <row r="48" spans="1:14" ht="15.75" hidden="1" customHeight="1">
      <c r="A48" s="26">
        <v>21</v>
      </c>
      <c r="B48" s="32" t="s">
        <v>53</v>
      </c>
      <c r="C48" s="39" t="s">
        <v>89</v>
      </c>
      <c r="D48" s="32" t="s">
        <v>136</v>
      </c>
      <c r="E48" s="106">
        <v>3181</v>
      </c>
      <c r="F48" s="31">
        <f>SUM(E48*5/1000)</f>
        <v>15.904999999999999</v>
      </c>
      <c r="G48" s="34">
        <v>1083.69</v>
      </c>
      <c r="H48" s="107">
        <f t="shared" si="12"/>
        <v>17.236089449999998</v>
      </c>
      <c r="I48" s="12">
        <f>F48/5*G48</f>
        <v>3447.2178900000004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107</v>
      </c>
      <c r="C49" s="39" t="s">
        <v>89</v>
      </c>
      <c r="D49" s="32" t="s">
        <v>39</v>
      </c>
      <c r="E49" s="106">
        <v>3181</v>
      </c>
      <c r="F49" s="31">
        <f>SUM(E49*2/1000)</f>
        <v>6.3620000000000001</v>
      </c>
      <c r="G49" s="34">
        <v>1591.6</v>
      </c>
      <c r="H49" s="107">
        <f t="shared" si="12"/>
        <v>10.125759200000001</v>
      </c>
      <c r="I49" s="12">
        <f>F49/2*G49</f>
        <v>5062.8796000000002</v>
      </c>
      <c r="J49" s="22"/>
      <c r="L49" s="18"/>
      <c r="M49" s="19"/>
      <c r="N49" s="20"/>
    </row>
    <row r="50" spans="1:14" ht="31.5" hidden="1" customHeight="1">
      <c r="A50" s="26">
        <v>13</v>
      </c>
      <c r="B50" s="32" t="s">
        <v>108</v>
      </c>
      <c r="C50" s="39" t="s">
        <v>35</v>
      </c>
      <c r="D50" s="32" t="s">
        <v>39</v>
      </c>
      <c r="E50" s="106">
        <v>20</v>
      </c>
      <c r="F50" s="31">
        <f>SUM(E50*2/100)</f>
        <v>0.4</v>
      </c>
      <c r="G50" s="34">
        <v>4058.32</v>
      </c>
      <c r="H50" s="107">
        <f t="shared" si="12"/>
        <v>1.6233280000000001</v>
      </c>
      <c r="I50" s="12">
        <f t="shared" ref="I50:I51" si="14">F50/2*G50</f>
        <v>811.6640000000001</v>
      </c>
      <c r="J50" s="22"/>
      <c r="L50" s="18"/>
      <c r="M50" s="19"/>
      <c r="N50" s="20"/>
    </row>
    <row r="51" spans="1:14" ht="15.75" hidden="1" customHeight="1">
      <c r="A51" s="26">
        <v>14</v>
      </c>
      <c r="B51" s="32" t="s">
        <v>36</v>
      </c>
      <c r="C51" s="39" t="s">
        <v>37</v>
      </c>
      <c r="D51" s="32" t="s">
        <v>39</v>
      </c>
      <c r="E51" s="106">
        <v>1</v>
      </c>
      <c r="F51" s="31">
        <v>0.02</v>
      </c>
      <c r="G51" s="34">
        <v>7412.92</v>
      </c>
      <c r="H51" s="107">
        <f t="shared" si="12"/>
        <v>0.14825839999999998</v>
      </c>
      <c r="I51" s="12">
        <f t="shared" si="14"/>
        <v>74.129199999999997</v>
      </c>
      <c r="J51" s="22"/>
      <c r="L51" s="18"/>
      <c r="M51" s="19"/>
      <c r="N51" s="20"/>
    </row>
    <row r="52" spans="1:14" ht="15.75" hidden="1" customHeight="1">
      <c r="A52" s="26">
        <v>22</v>
      </c>
      <c r="B52" s="32" t="s">
        <v>109</v>
      </c>
      <c r="C52" s="39" t="s">
        <v>90</v>
      </c>
      <c r="D52" s="32" t="s">
        <v>63</v>
      </c>
      <c r="E52" s="106">
        <v>70</v>
      </c>
      <c r="F52" s="31">
        <f>E52*3</f>
        <v>210</v>
      </c>
      <c r="G52" s="34">
        <v>185.08</v>
      </c>
      <c r="H52" s="107">
        <f t="shared" si="12"/>
        <v>38.866800000000005</v>
      </c>
      <c r="I52" s="12">
        <f>E52*G52</f>
        <v>12955.6</v>
      </c>
      <c r="J52" s="22"/>
      <c r="L52" s="18"/>
      <c r="M52" s="19"/>
      <c r="N52" s="20"/>
    </row>
    <row r="53" spans="1:14" ht="15.75" hidden="1" customHeight="1">
      <c r="A53" s="26">
        <v>23</v>
      </c>
      <c r="B53" s="32" t="s">
        <v>38</v>
      </c>
      <c r="C53" s="39" t="s">
        <v>90</v>
      </c>
      <c r="D53" s="32" t="s">
        <v>63</v>
      </c>
      <c r="E53" s="106">
        <v>140</v>
      </c>
      <c r="F53" s="31">
        <f>E53*3</f>
        <v>420</v>
      </c>
      <c r="G53" s="35">
        <v>86.15</v>
      </c>
      <c r="H53" s="107">
        <f t="shared" si="12"/>
        <v>36.183</v>
      </c>
      <c r="I53" s="12">
        <f>E53*G53</f>
        <v>12061</v>
      </c>
      <c r="J53" s="22"/>
      <c r="L53" s="18"/>
      <c r="M53" s="19"/>
      <c r="N53" s="20"/>
    </row>
    <row r="54" spans="1:14" ht="15.75" customHeight="1">
      <c r="A54" s="195" t="s">
        <v>75</v>
      </c>
      <c r="B54" s="198"/>
      <c r="C54" s="198"/>
      <c r="D54" s="198"/>
      <c r="E54" s="198"/>
      <c r="F54" s="198"/>
      <c r="G54" s="198"/>
      <c r="H54" s="198"/>
      <c r="I54" s="199"/>
      <c r="J54" s="22"/>
      <c r="L54" s="18"/>
      <c r="M54" s="19"/>
      <c r="N54" s="20"/>
    </row>
    <row r="55" spans="1:14" ht="15.75" hidden="1" customHeight="1">
      <c r="A55" s="26"/>
      <c r="B55" s="80" t="s">
        <v>40</v>
      </c>
      <c r="C55" s="59"/>
      <c r="D55" s="51"/>
      <c r="E55" s="60"/>
      <c r="F55" s="61"/>
      <c r="G55" s="61"/>
      <c r="H55" s="62"/>
      <c r="I55" s="12"/>
      <c r="J55" s="22"/>
      <c r="L55" s="18"/>
      <c r="M55" s="19"/>
      <c r="N55" s="20"/>
    </row>
    <row r="56" spans="1:14" ht="31.5" hidden="1" customHeight="1">
      <c r="A56" s="26">
        <v>24</v>
      </c>
      <c r="B56" s="51" t="s">
        <v>110</v>
      </c>
      <c r="C56" s="59" t="s">
        <v>79</v>
      </c>
      <c r="D56" s="51" t="s">
        <v>111</v>
      </c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F56/6*G56</f>
        <v>2703.4721600000003</v>
      </c>
      <c r="J56" s="22"/>
      <c r="L56" s="18"/>
      <c r="M56" s="19"/>
      <c r="N56" s="20"/>
    </row>
    <row r="57" spans="1:14" ht="15.75" hidden="1" customHeight="1">
      <c r="A57" s="26"/>
      <c r="B57" s="70" t="s">
        <v>113</v>
      </c>
      <c r="C57" s="69" t="s">
        <v>114</v>
      </c>
      <c r="D57" s="13" t="s">
        <v>60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v>0</v>
      </c>
      <c r="J57" s="22"/>
      <c r="L57" s="18"/>
      <c r="M57" s="19"/>
      <c r="N57" s="20"/>
    </row>
    <row r="58" spans="1:14" ht="15.75" customHeight="1">
      <c r="A58" s="26"/>
      <c r="B58" s="81" t="s">
        <v>41</v>
      </c>
      <c r="C58" s="69"/>
      <c r="D58" s="70"/>
      <c r="E58" s="71"/>
      <c r="F58" s="72"/>
      <c r="G58" s="12"/>
      <c r="H58" s="73"/>
      <c r="I58" s="12"/>
      <c r="J58" s="22"/>
      <c r="L58" s="18"/>
      <c r="M58" s="19"/>
      <c r="N58" s="20"/>
    </row>
    <row r="59" spans="1:14" ht="15.75" hidden="1" customHeight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  <c r="J59" s="22"/>
      <c r="L59" s="18"/>
      <c r="M59" s="19"/>
      <c r="N59" s="20"/>
    </row>
    <row r="60" spans="1:14" ht="15.75" customHeight="1">
      <c r="A60" s="26">
        <v>13</v>
      </c>
      <c r="B60" s="53" t="s">
        <v>151</v>
      </c>
      <c r="C60" s="155" t="s">
        <v>152</v>
      </c>
      <c r="D60" s="53" t="s">
        <v>166</v>
      </c>
      <c r="E60" s="156">
        <v>48</v>
      </c>
      <c r="F60" s="157">
        <f>E60*12/1</f>
        <v>576</v>
      </c>
      <c r="G60" s="158">
        <v>1.4</v>
      </c>
      <c r="H60" s="73"/>
      <c r="I60" s="12">
        <f>G60*F60/12</f>
        <v>67.2</v>
      </c>
      <c r="J60" s="22"/>
      <c r="L60" s="18"/>
      <c r="M60" s="19"/>
      <c r="N60" s="20"/>
    </row>
    <row r="61" spans="1:14" ht="15.75" hidden="1" customHeight="1">
      <c r="A61" s="26"/>
      <c r="B61" s="81" t="s">
        <v>43</v>
      </c>
      <c r="C61" s="69"/>
      <c r="D61" s="70"/>
      <c r="E61" s="71"/>
      <c r="F61" s="74"/>
      <c r="G61" s="74"/>
      <c r="H61" s="72" t="s">
        <v>98</v>
      </c>
      <c r="I61" s="12"/>
      <c r="J61" s="22"/>
      <c r="L61" s="18"/>
      <c r="M61" s="19"/>
      <c r="N61" s="20"/>
    </row>
    <row r="62" spans="1:14" ht="15.75" hidden="1" customHeight="1">
      <c r="A62" s="26">
        <v>7</v>
      </c>
      <c r="B62" s="13" t="s">
        <v>44</v>
      </c>
      <c r="C62" s="15" t="s">
        <v>90</v>
      </c>
      <c r="D62" s="13" t="s">
        <v>166</v>
      </c>
      <c r="E62" s="17">
        <v>4</v>
      </c>
      <c r="F62" s="61">
        <f>E62</f>
        <v>4</v>
      </c>
      <c r="G62" s="12">
        <v>291.68</v>
      </c>
      <c r="H62" s="75">
        <f t="shared" ref="H62:H69" si="15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7.25" hidden="1" customHeight="1">
      <c r="A63" s="26">
        <v>17</v>
      </c>
      <c r="B63" s="13" t="s">
        <v>45</v>
      </c>
      <c r="C63" s="15" t="s">
        <v>90</v>
      </c>
      <c r="D63" s="13" t="s">
        <v>60</v>
      </c>
      <c r="E63" s="17">
        <v>4</v>
      </c>
      <c r="F63" s="61">
        <f>E63</f>
        <v>4</v>
      </c>
      <c r="G63" s="12">
        <v>100.01</v>
      </c>
      <c r="H63" s="75">
        <f t="shared" si="15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7</v>
      </c>
      <c r="B64" s="13" t="s">
        <v>46</v>
      </c>
      <c r="C64" s="15" t="s">
        <v>91</v>
      </c>
      <c r="D64" s="13"/>
      <c r="E64" s="60">
        <v>12702</v>
      </c>
      <c r="F64" s="12">
        <f>SUM(E64/100)</f>
        <v>127.02</v>
      </c>
      <c r="G64" s="12">
        <v>278.24</v>
      </c>
      <c r="H64" s="75">
        <f t="shared" si="15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8</v>
      </c>
      <c r="B65" s="13" t="s">
        <v>47</v>
      </c>
      <c r="C65" s="15" t="s">
        <v>92</v>
      </c>
      <c r="D65" s="13"/>
      <c r="E65" s="60">
        <v>12702</v>
      </c>
      <c r="F65" s="12">
        <f>SUM(E65/1000)</f>
        <v>12.702</v>
      </c>
      <c r="G65" s="12">
        <v>216.68</v>
      </c>
      <c r="H65" s="75">
        <f t="shared" si="15"/>
        <v>2.7522693600000001</v>
      </c>
      <c r="I65" s="12">
        <f t="shared" ref="I65:I68" si="16">F65*G65</f>
        <v>2752.2693600000002</v>
      </c>
      <c r="J65" s="22"/>
      <c r="L65" s="18"/>
      <c r="M65" s="19"/>
      <c r="N65" s="20"/>
    </row>
    <row r="66" spans="1:14" ht="15.75" hidden="1" customHeight="1">
      <c r="A66" s="26">
        <v>9</v>
      </c>
      <c r="B66" s="13" t="s">
        <v>48</v>
      </c>
      <c r="C66" s="15" t="s">
        <v>69</v>
      </c>
      <c r="D66" s="13"/>
      <c r="E66" s="60">
        <v>2200</v>
      </c>
      <c r="F66" s="12">
        <f>SUM(E66/100)</f>
        <v>22</v>
      </c>
      <c r="G66" s="12">
        <v>2720.94</v>
      </c>
      <c r="H66" s="75">
        <f t="shared" si="15"/>
        <v>59.860680000000002</v>
      </c>
      <c r="I66" s="12">
        <f t="shared" si="16"/>
        <v>59860.68</v>
      </c>
      <c r="J66" s="22"/>
      <c r="L66" s="18"/>
      <c r="M66" s="19"/>
      <c r="N66" s="20"/>
    </row>
    <row r="67" spans="1:14" ht="15.75" hidden="1" customHeight="1">
      <c r="A67" s="26">
        <v>10</v>
      </c>
      <c r="B67" s="76" t="s">
        <v>93</v>
      </c>
      <c r="C67" s="15" t="s">
        <v>30</v>
      </c>
      <c r="D67" s="13"/>
      <c r="E67" s="60">
        <v>9.6</v>
      </c>
      <c r="F67" s="12">
        <f>SUM(E67)</f>
        <v>9.6</v>
      </c>
      <c r="G67" s="12">
        <v>42.61</v>
      </c>
      <c r="H67" s="75">
        <f t="shared" si="15"/>
        <v>0.40905599999999998</v>
      </c>
      <c r="I67" s="12">
        <f t="shared" si="16"/>
        <v>409.05599999999998</v>
      </c>
      <c r="J67" s="22"/>
      <c r="L67" s="18"/>
      <c r="M67" s="19"/>
      <c r="N67" s="20"/>
    </row>
    <row r="68" spans="1:14" ht="15.75" hidden="1" customHeight="1">
      <c r="A68" s="26">
        <v>11</v>
      </c>
      <c r="B68" s="76" t="s">
        <v>94</v>
      </c>
      <c r="C68" s="15" t="s">
        <v>30</v>
      </c>
      <c r="D68" s="13"/>
      <c r="E68" s="60">
        <v>9.6</v>
      </c>
      <c r="F68" s="12">
        <f>SUM(E68)</f>
        <v>9.6</v>
      </c>
      <c r="G68" s="12">
        <v>46.04</v>
      </c>
      <c r="H68" s="75">
        <f t="shared" si="15"/>
        <v>0.44198399999999999</v>
      </c>
      <c r="I68" s="12">
        <f t="shared" si="16"/>
        <v>441.98399999999998</v>
      </c>
      <c r="J68" s="22"/>
      <c r="L68" s="18"/>
      <c r="M68" s="19"/>
      <c r="N68" s="20"/>
    </row>
    <row r="69" spans="1:14" ht="21.75" hidden="1" customHeight="1">
      <c r="A69" s="26"/>
      <c r="B69" s="13" t="s">
        <v>54</v>
      </c>
      <c r="C69" s="15" t="s">
        <v>55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5">
        <f t="shared" si="15"/>
        <v>0.26168000000000002</v>
      </c>
      <c r="I69" s="12">
        <v>0</v>
      </c>
      <c r="J69" s="22"/>
      <c r="L69" s="18"/>
      <c r="M69" s="19"/>
      <c r="N69" s="20"/>
    </row>
    <row r="70" spans="1:14" ht="18" customHeight="1">
      <c r="A70" s="26"/>
      <c r="B70" s="27" t="s">
        <v>177</v>
      </c>
      <c r="C70" s="15"/>
      <c r="D70" s="13"/>
      <c r="E70" s="17"/>
      <c r="F70" s="56"/>
      <c r="G70" s="12"/>
      <c r="H70" s="75"/>
      <c r="I70" s="12"/>
      <c r="J70" s="22"/>
      <c r="L70" s="18"/>
      <c r="M70" s="19"/>
      <c r="N70" s="20"/>
    </row>
    <row r="71" spans="1:14" ht="29.25" customHeight="1">
      <c r="A71" s="26">
        <v>14</v>
      </c>
      <c r="B71" s="36" t="s">
        <v>141</v>
      </c>
      <c r="C71" s="135" t="s">
        <v>142</v>
      </c>
      <c r="D71" s="36"/>
      <c r="E71" s="16">
        <v>3181</v>
      </c>
      <c r="F71" s="31">
        <f>SUM(E71)*12</f>
        <v>38172</v>
      </c>
      <c r="G71" s="34">
        <v>2.6</v>
      </c>
      <c r="H71" s="75">
        <f t="shared" ref="H71" si="17">SUM(F71*G71/1000)</f>
        <v>99.247199999999992</v>
      </c>
      <c r="I71" s="12">
        <f>F71/12*G71</f>
        <v>8270.6</v>
      </c>
      <c r="J71" s="22"/>
      <c r="L71" s="18"/>
      <c r="M71" s="19"/>
      <c r="N71" s="20"/>
    </row>
    <row r="72" spans="1:14" ht="19.5" customHeight="1">
      <c r="A72" s="26"/>
      <c r="B72" s="55" t="s">
        <v>64</v>
      </c>
      <c r="C72" s="15"/>
      <c r="D72" s="13"/>
      <c r="E72" s="17"/>
      <c r="F72" s="12"/>
      <c r="G72" s="12"/>
      <c r="H72" s="75" t="s">
        <v>98</v>
      </c>
      <c r="I72" s="12"/>
      <c r="J72" s="22"/>
      <c r="L72" s="18"/>
      <c r="M72" s="19"/>
      <c r="N72" s="20"/>
    </row>
    <row r="73" spans="1:14" ht="26.25" hidden="1" customHeight="1">
      <c r="A73" s="26">
        <v>18</v>
      </c>
      <c r="B73" s="13" t="s">
        <v>143</v>
      </c>
      <c r="C73" s="15" t="s">
        <v>28</v>
      </c>
      <c r="D73" s="13" t="s">
        <v>60</v>
      </c>
      <c r="E73" s="17">
        <v>1</v>
      </c>
      <c r="F73" s="61">
        <f t="shared" ref="F73" si="18">E73</f>
        <v>1</v>
      </c>
      <c r="G73" s="12">
        <v>1543.4</v>
      </c>
      <c r="H73" s="75">
        <f>G73*F73/1000</f>
        <v>1.5434000000000001</v>
      </c>
      <c r="I73" s="12">
        <v>0</v>
      </c>
      <c r="J73" s="22"/>
      <c r="L73" s="18"/>
      <c r="M73" s="19"/>
      <c r="N73" s="20"/>
    </row>
    <row r="74" spans="1:14" ht="24.75" hidden="1" customHeight="1">
      <c r="A74" s="26"/>
      <c r="B74" s="50" t="s">
        <v>144</v>
      </c>
      <c r="C74" s="54" t="s">
        <v>90</v>
      </c>
      <c r="D74" s="13" t="s">
        <v>60</v>
      </c>
      <c r="E74" s="17">
        <v>1</v>
      </c>
      <c r="F74" s="61">
        <f>E74</f>
        <v>1</v>
      </c>
      <c r="G74" s="12">
        <v>130.96</v>
      </c>
      <c r="H74" s="75">
        <f>G74*F74/1000</f>
        <v>0.13096000000000002</v>
      </c>
      <c r="I74" s="12">
        <v>0</v>
      </c>
      <c r="J74" s="22"/>
      <c r="L74" s="18"/>
      <c r="M74" s="19"/>
      <c r="N74" s="20"/>
    </row>
    <row r="75" spans="1:14" ht="23.25" hidden="1" customHeight="1">
      <c r="A75" s="26"/>
      <c r="B75" s="13" t="s">
        <v>65</v>
      </c>
      <c r="C75" s="15" t="s">
        <v>67</v>
      </c>
      <c r="D75" s="13" t="s">
        <v>60</v>
      </c>
      <c r="E75" s="17">
        <v>3</v>
      </c>
      <c r="F75" s="61">
        <f>E75/10</f>
        <v>0.3</v>
      </c>
      <c r="G75" s="12">
        <v>657.87</v>
      </c>
      <c r="H75" s="75">
        <f t="shared" ref="H75:H78" si="19">SUM(F75*G75/1000)</f>
        <v>0.19736099999999998</v>
      </c>
      <c r="I75" s="12">
        <v>0</v>
      </c>
      <c r="J75" s="22"/>
      <c r="L75" s="18"/>
      <c r="M75" s="19"/>
      <c r="N75" s="20"/>
    </row>
    <row r="76" spans="1:14" ht="24" hidden="1" customHeight="1">
      <c r="A76" s="26"/>
      <c r="B76" s="13" t="s">
        <v>66</v>
      </c>
      <c r="C76" s="15" t="s">
        <v>28</v>
      </c>
      <c r="D76" s="13" t="s">
        <v>60</v>
      </c>
      <c r="E76" s="17">
        <v>1</v>
      </c>
      <c r="F76" s="61">
        <f>E76</f>
        <v>1</v>
      </c>
      <c r="G76" s="12">
        <v>1118.72</v>
      </c>
      <c r="H76" s="75">
        <f t="shared" si="19"/>
        <v>1.1187199999999999</v>
      </c>
      <c r="I76" s="12">
        <v>0</v>
      </c>
      <c r="J76" s="22"/>
      <c r="L76" s="18"/>
      <c r="M76" s="19"/>
      <c r="N76" s="20"/>
    </row>
    <row r="77" spans="1:14" ht="27.75" hidden="1" customHeight="1">
      <c r="A77" s="26"/>
      <c r="B77" s="50" t="s">
        <v>145</v>
      </c>
      <c r="C77" s="54" t="s">
        <v>90</v>
      </c>
      <c r="D77" s="13" t="s">
        <v>60</v>
      </c>
      <c r="E77" s="17">
        <v>1</v>
      </c>
      <c r="F77" s="61">
        <f>E77</f>
        <v>1</v>
      </c>
      <c r="G77" s="12">
        <v>1605.83</v>
      </c>
      <c r="H77" s="75">
        <f t="shared" si="19"/>
        <v>1.6058299999999999</v>
      </c>
      <c r="I77" s="12">
        <v>0</v>
      </c>
      <c r="J77" s="22"/>
      <c r="L77" s="18"/>
      <c r="M77" s="19"/>
      <c r="N77" s="20"/>
    </row>
    <row r="78" spans="1:14" ht="31.5" customHeight="1">
      <c r="A78" s="26">
        <v>15</v>
      </c>
      <c r="B78" s="121" t="s">
        <v>146</v>
      </c>
      <c r="C78" s="122" t="s">
        <v>90</v>
      </c>
      <c r="D78" s="36" t="s">
        <v>166</v>
      </c>
      <c r="E78" s="16">
        <v>2</v>
      </c>
      <c r="F78" s="31">
        <f>E78*12</f>
        <v>24</v>
      </c>
      <c r="G78" s="34">
        <v>425</v>
      </c>
      <c r="H78" s="75">
        <f t="shared" si="19"/>
        <v>10.199999999999999</v>
      </c>
      <c r="I78" s="12">
        <f>G78*2</f>
        <v>850</v>
      </c>
      <c r="J78" s="22"/>
      <c r="L78" s="18"/>
      <c r="M78" s="19"/>
      <c r="N78" s="20"/>
    </row>
    <row r="79" spans="1:14" ht="25.5" hidden="1" customHeight="1">
      <c r="A79" s="26"/>
      <c r="B79" s="77" t="s">
        <v>68</v>
      </c>
      <c r="C79" s="15"/>
      <c r="D79" s="13"/>
      <c r="E79" s="17"/>
      <c r="F79" s="12"/>
      <c r="G79" s="12" t="s">
        <v>98</v>
      </c>
      <c r="H79" s="75" t="s">
        <v>98</v>
      </c>
      <c r="I79" s="12"/>
      <c r="J79" s="22"/>
      <c r="L79" s="18"/>
      <c r="M79" s="19"/>
      <c r="N79" s="20"/>
    </row>
    <row r="80" spans="1:14" ht="28.5" hidden="1" customHeight="1">
      <c r="A80" s="26"/>
      <c r="B80" s="45" t="s">
        <v>97</v>
      </c>
      <c r="C80" s="15" t="s">
        <v>69</v>
      </c>
      <c r="D80" s="13"/>
      <c r="E80" s="17"/>
      <c r="F80" s="12">
        <v>1</v>
      </c>
      <c r="G80" s="12">
        <v>3370.89</v>
      </c>
      <c r="H80" s="75">
        <f t="shared" ref="H80" si="20">SUM(F80*G80/1000)</f>
        <v>3.3708899999999997</v>
      </c>
      <c r="I80" s="12">
        <v>0</v>
      </c>
      <c r="J80" s="22"/>
      <c r="L80" s="18"/>
      <c r="M80" s="19"/>
      <c r="N80" s="20"/>
    </row>
    <row r="81" spans="1:14" ht="24" hidden="1" customHeight="1">
      <c r="A81" s="26"/>
      <c r="B81" s="55" t="s">
        <v>95</v>
      </c>
      <c r="C81" s="77"/>
      <c r="D81" s="27"/>
      <c r="E81" s="30"/>
      <c r="F81" s="66"/>
      <c r="G81" s="66"/>
      <c r="H81" s="78">
        <f>SUM(H56:H80)</f>
        <v>248.27929411999997</v>
      </c>
      <c r="I81" s="66"/>
      <c r="J81" s="22"/>
      <c r="L81" s="18"/>
      <c r="M81" s="19"/>
      <c r="N81" s="20"/>
    </row>
    <row r="82" spans="1:14" ht="20.25" hidden="1" customHeight="1">
      <c r="A82" s="104">
        <v>15</v>
      </c>
      <c r="B82" s="53" t="s">
        <v>96</v>
      </c>
      <c r="C82" s="109"/>
      <c r="D82" s="110"/>
      <c r="E82" s="110"/>
      <c r="F82" s="111">
        <v>1</v>
      </c>
      <c r="G82" s="111">
        <v>23195</v>
      </c>
      <c r="H82" s="112">
        <f>G82*F82/1000</f>
        <v>23.195</v>
      </c>
      <c r="I82" s="79">
        <f>G82</f>
        <v>23195</v>
      </c>
      <c r="J82" s="22"/>
      <c r="L82" s="18"/>
      <c r="M82" s="19"/>
      <c r="N82" s="20"/>
    </row>
    <row r="83" spans="1:14" ht="18.75" hidden="1" customHeight="1">
      <c r="A83" s="49"/>
      <c r="B83" s="113" t="s">
        <v>147</v>
      </c>
      <c r="C83" s="15"/>
      <c r="D83" s="13"/>
      <c r="E83" s="13"/>
      <c r="F83" s="12">
        <v>69</v>
      </c>
      <c r="G83" s="12">
        <v>700</v>
      </c>
      <c r="H83" s="75">
        <f>G83*F83/1000</f>
        <v>48.3</v>
      </c>
      <c r="I83" s="114">
        <v>0</v>
      </c>
      <c r="J83" s="22"/>
      <c r="L83" s="18"/>
      <c r="M83" s="19"/>
      <c r="N83" s="20"/>
    </row>
    <row r="84" spans="1:14" ht="15.75" customHeight="1">
      <c r="A84" s="192" t="s">
        <v>124</v>
      </c>
      <c r="B84" s="200"/>
      <c r="C84" s="200"/>
      <c r="D84" s="200"/>
      <c r="E84" s="200"/>
      <c r="F84" s="200"/>
      <c r="G84" s="200"/>
      <c r="H84" s="200"/>
      <c r="I84" s="201"/>
      <c r="J84" s="22"/>
      <c r="L84" s="18"/>
      <c r="M84" s="19"/>
      <c r="N84" s="20"/>
    </row>
    <row r="85" spans="1:14" ht="15.75" customHeight="1">
      <c r="A85" s="99">
        <v>16</v>
      </c>
      <c r="B85" s="32" t="s">
        <v>112</v>
      </c>
      <c r="C85" s="37" t="s">
        <v>52</v>
      </c>
      <c r="D85" s="162"/>
      <c r="E85" s="34">
        <v>3181</v>
      </c>
      <c r="F85" s="34">
        <f>SUM(E85*12)</f>
        <v>38172</v>
      </c>
      <c r="G85" s="34">
        <v>3.5</v>
      </c>
      <c r="H85" s="105">
        <f>SUM(F85*G85/1000)</f>
        <v>133.602</v>
      </c>
      <c r="I85" s="100">
        <f>F85/12*G85</f>
        <v>11133.5</v>
      </c>
      <c r="J85" s="22"/>
      <c r="L85" s="18"/>
      <c r="M85" s="19"/>
      <c r="N85" s="20"/>
    </row>
    <row r="86" spans="1:14" ht="31.5" customHeight="1">
      <c r="A86" s="26">
        <v>17</v>
      </c>
      <c r="B86" s="36" t="s">
        <v>181</v>
      </c>
      <c r="C86" s="37" t="s">
        <v>152</v>
      </c>
      <c r="D86" s="163"/>
      <c r="E86" s="106">
        <f>E85</f>
        <v>3181</v>
      </c>
      <c r="F86" s="34">
        <f>E86*12</f>
        <v>38172</v>
      </c>
      <c r="G86" s="34">
        <v>3.2</v>
      </c>
      <c r="H86" s="75">
        <f>F86*G86/1000</f>
        <v>122.1504</v>
      </c>
      <c r="I86" s="12">
        <f>F86/12*G86</f>
        <v>10179.200000000001</v>
      </c>
      <c r="J86" s="22"/>
      <c r="L86" s="18"/>
      <c r="M86" s="19"/>
      <c r="N86" s="20"/>
    </row>
    <row r="87" spans="1:14" ht="15.75" customHeight="1">
      <c r="A87" s="49"/>
      <c r="B87" s="38" t="s">
        <v>71</v>
      </c>
      <c r="C87" s="15"/>
      <c r="D87" s="45"/>
      <c r="E87" s="12"/>
      <c r="F87" s="12"/>
      <c r="G87" s="12"/>
      <c r="H87" s="75">
        <f>H86</f>
        <v>122.1504</v>
      </c>
      <c r="I87" s="66">
        <f>I86+I85+I78+I71+I60+I32+I30+I29+I25+I24+I23+I22+I21+I20+I18+I17+I16</f>
        <v>49212.531600000002</v>
      </c>
      <c r="J87" s="22"/>
      <c r="L87" s="18"/>
      <c r="M87" s="19"/>
      <c r="N87" s="20"/>
    </row>
    <row r="88" spans="1:14" ht="15.75" customHeight="1">
      <c r="A88" s="202" t="s">
        <v>56</v>
      </c>
      <c r="B88" s="203"/>
      <c r="C88" s="203"/>
      <c r="D88" s="203"/>
      <c r="E88" s="203"/>
      <c r="F88" s="203"/>
      <c r="G88" s="203"/>
      <c r="H88" s="203"/>
      <c r="I88" s="204"/>
      <c r="J88" s="22"/>
      <c r="L88" s="18"/>
      <c r="M88" s="19"/>
      <c r="N88" s="20"/>
    </row>
    <row r="89" spans="1:14" ht="15.75" customHeight="1">
      <c r="A89" s="26">
        <v>18</v>
      </c>
      <c r="B89" s="121" t="s">
        <v>276</v>
      </c>
      <c r="C89" s="122" t="s">
        <v>157</v>
      </c>
      <c r="D89" s="163"/>
      <c r="E89" s="34"/>
      <c r="F89" s="34">
        <v>1</v>
      </c>
      <c r="G89" s="34">
        <v>75389.23</v>
      </c>
      <c r="H89" s="72"/>
      <c r="I89" s="12">
        <f>G89*1</f>
        <v>75389.23</v>
      </c>
      <c r="J89" s="22"/>
      <c r="L89" s="18"/>
      <c r="M89" s="19"/>
      <c r="N89" s="20"/>
    </row>
    <row r="90" spans="1:14" ht="15.75" customHeight="1">
      <c r="A90" s="26">
        <v>19</v>
      </c>
      <c r="B90" s="121" t="s">
        <v>277</v>
      </c>
      <c r="C90" s="122" t="s">
        <v>157</v>
      </c>
      <c r="D90" s="163"/>
      <c r="E90" s="34"/>
      <c r="F90" s="34">
        <v>1</v>
      </c>
      <c r="G90" s="34">
        <v>17627.23</v>
      </c>
      <c r="H90" s="56"/>
      <c r="I90" s="12">
        <f>G90*1</f>
        <v>17627.23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0"/>
      <c r="D91" s="46"/>
      <c r="E91" s="40">
        <v>1</v>
      </c>
      <c r="F91" s="40"/>
      <c r="G91" s="40"/>
      <c r="H91" s="40"/>
      <c r="I91" s="30">
        <f>SUM(I89:I90)</f>
        <v>93016.459999999992</v>
      </c>
      <c r="J91" s="22"/>
      <c r="L91" s="18"/>
      <c r="M91" s="19"/>
      <c r="N91" s="20"/>
    </row>
    <row r="92" spans="1:14" ht="15.75" customHeight="1">
      <c r="A92" s="26"/>
      <c r="B92" s="45" t="s">
        <v>70</v>
      </c>
      <c r="C92" s="14"/>
      <c r="D92" s="14"/>
      <c r="E92" s="41"/>
      <c r="F92" s="41"/>
      <c r="G92" s="42"/>
      <c r="H92" s="42"/>
      <c r="I92" s="16">
        <v>0</v>
      </c>
      <c r="J92" s="22"/>
      <c r="L92" s="18"/>
      <c r="M92" s="19"/>
      <c r="N92" s="20"/>
    </row>
    <row r="93" spans="1:14" ht="15.75" customHeight="1">
      <c r="A93" s="26"/>
      <c r="B93" s="44" t="s">
        <v>137</v>
      </c>
      <c r="C93" s="33"/>
      <c r="D93" s="33"/>
      <c r="E93" s="33"/>
      <c r="F93" s="33"/>
      <c r="G93" s="33"/>
      <c r="H93" s="33"/>
      <c r="I93" s="43">
        <f>I91+I87</f>
        <v>142228.99160000001</v>
      </c>
      <c r="J93" s="22"/>
      <c r="L93" s="18"/>
      <c r="M93" s="19"/>
      <c r="N93" s="20"/>
    </row>
    <row r="94" spans="1:14" ht="15.75" customHeight="1">
      <c r="A94" s="191" t="s">
        <v>278</v>
      </c>
      <c r="B94" s="191"/>
      <c r="C94" s="191"/>
      <c r="D94" s="191"/>
      <c r="E94" s="191"/>
      <c r="F94" s="191"/>
      <c r="G94" s="191"/>
      <c r="H94" s="191"/>
      <c r="I94" s="191"/>
      <c r="J94" s="22"/>
      <c r="L94" s="18"/>
      <c r="M94" s="19"/>
      <c r="N94" s="20"/>
    </row>
    <row r="95" spans="1:14" ht="15.75" customHeight="1">
      <c r="A95" s="8"/>
      <c r="B95" s="205" t="s">
        <v>279</v>
      </c>
      <c r="C95" s="205"/>
      <c r="D95" s="205"/>
      <c r="E95" s="205"/>
      <c r="F95" s="205"/>
      <c r="G95" s="205"/>
      <c r="H95" s="82"/>
      <c r="I95" s="3"/>
      <c r="J95" s="22"/>
      <c r="L95" s="18"/>
      <c r="M95" s="19"/>
      <c r="N95" s="20"/>
    </row>
    <row r="96" spans="1:14" ht="15.75" customHeight="1">
      <c r="A96" s="84"/>
      <c r="B96" s="206" t="s">
        <v>5</v>
      </c>
      <c r="C96" s="206"/>
      <c r="D96" s="206"/>
      <c r="E96" s="206"/>
      <c r="F96" s="206"/>
      <c r="G96" s="206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207" t="s">
        <v>6</v>
      </c>
      <c r="B98" s="207"/>
      <c r="C98" s="207"/>
      <c r="D98" s="207"/>
      <c r="E98" s="207"/>
      <c r="F98" s="207"/>
      <c r="G98" s="207"/>
      <c r="H98" s="207"/>
      <c r="I98" s="207"/>
      <c r="J98" s="22"/>
      <c r="K98" s="22"/>
      <c r="L98" s="22"/>
    </row>
    <row r="99" spans="1:22" ht="15.75" customHeight="1">
      <c r="A99" s="207" t="s">
        <v>7</v>
      </c>
      <c r="B99" s="207"/>
      <c r="C99" s="207"/>
      <c r="D99" s="207"/>
      <c r="E99" s="207"/>
      <c r="F99" s="207"/>
      <c r="G99" s="207"/>
      <c r="H99" s="207"/>
      <c r="I99" s="207"/>
      <c r="J99" s="22"/>
      <c r="K99" s="22"/>
      <c r="L99" s="22"/>
    </row>
    <row r="100" spans="1:22" ht="15.75" customHeight="1">
      <c r="A100" s="191" t="s">
        <v>8</v>
      </c>
      <c r="B100" s="191"/>
      <c r="C100" s="191"/>
      <c r="D100" s="191"/>
      <c r="E100" s="191"/>
      <c r="F100" s="191"/>
      <c r="G100" s="191"/>
      <c r="H100" s="191"/>
      <c r="I100" s="191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209" t="s">
        <v>9</v>
      </c>
      <c r="B102" s="209"/>
      <c r="C102" s="209"/>
      <c r="D102" s="209"/>
      <c r="E102" s="209"/>
      <c r="F102" s="209"/>
      <c r="G102" s="209"/>
      <c r="H102" s="209"/>
      <c r="I102" s="209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91" t="s">
        <v>10</v>
      </c>
      <c r="B104" s="191"/>
      <c r="C104" s="210" t="s">
        <v>187</v>
      </c>
      <c r="D104" s="210"/>
      <c r="E104" s="210"/>
      <c r="F104" s="57"/>
      <c r="I104" s="87"/>
      <c r="J104" s="5"/>
      <c r="K104" s="5"/>
      <c r="L104" s="5"/>
      <c r="M104" s="5"/>
      <c r="N104" s="5"/>
      <c r="O104" s="5"/>
      <c r="P104" s="5"/>
      <c r="Q104" s="5"/>
      <c r="R104" s="211"/>
      <c r="S104" s="211"/>
      <c r="T104" s="211"/>
      <c r="U104" s="211"/>
    </row>
    <row r="105" spans="1:22" ht="15.75" customHeight="1">
      <c r="A105" s="84"/>
      <c r="C105" s="206" t="s">
        <v>11</v>
      </c>
      <c r="D105" s="206"/>
      <c r="E105" s="206"/>
      <c r="F105" s="23"/>
      <c r="I105" s="85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91" t="s">
        <v>13</v>
      </c>
      <c r="B107" s="191"/>
      <c r="C107" s="212"/>
      <c r="D107" s="212"/>
      <c r="E107" s="212"/>
      <c r="F107" s="58"/>
      <c r="I107" s="87"/>
    </row>
    <row r="108" spans="1:22" ht="15.75" customHeight="1">
      <c r="A108" s="84"/>
      <c r="C108" s="211" t="s">
        <v>11</v>
      </c>
      <c r="D108" s="211"/>
      <c r="E108" s="211"/>
      <c r="F108" s="84"/>
      <c r="I108" s="85" t="s">
        <v>12</v>
      </c>
    </row>
    <row r="109" spans="1:22" ht="15.75" customHeight="1">
      <c r="A109" s="4" t="s">
        <v>14</v>
      </c>
    </row>
    <row r="110" spans="1:22" ht="15" customHeight="1">
      <c r="A110" s="213" t="s">
        <v>15</v>
      </c>
      <c r="B110" s="213"/>
      <c r="C110" s="213"/>
      <c r="D110" s="213"/>
      <c r="E110" s="213"/>
      <c r="F110" s="213"/>
      <c r="G110" s="213"/>
      <c r="H110" s="213"/>
      <c r="I110" s="213"/>
    </row>
    <row r="111" spans="1:22" ht="45" customHeight="1">
      <c r="A111" s="208" t="s">
        <v>16</v>
      </c>
      <c r="B111" s="208"/>
      <c r="C111" s="208"/>
      <c r="D111" s="208"/>
      <c r="E111" s="208"/>
      <c r="F111" s="208"/>
      <c r="G111" s="208"/>
      <c r="H111" s="208"/>
      <c r="I111" s="208"/>
    </row>
    <row r="112" spans="1:22" ht="30" customHeight="1">
      <c r="A112" s="208" t="s">
        <v>17</v>
      </c>
      <c r="B112" s="208"/>
      <c r="C112" s="208"/>
      <c r="D112" s="208"/>
      <c r="E112" s="208"/>
      <c r="F112" s="208"/>
      <c r="G112" s="208"/>
      <c r="H112" s="208"/>
      <c r="I112" s="208"/>
    </row>
    <row r="113" spans="1:9" ht="30" customHeight="1">
      <c r="A113" s="208" t="s">
        <v>21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15" customHeight="1">
      <c r="A114" s="208" t="s">
        <v>20</v>
      </c>
      <c r="B114" s="208"/>
      <c r="C114" s="208"/>
      <c r="D114" s="208"/>
      <c r="E114" s="208"/>
      <c r="F114" s="208"/>
      <c r="G114" s="208"/>
      <c r="H114" s="208"/>
      <c r="I114" s="208"/>
    </row>
  </sheetData>
  <autoFilter ref="I12:I100"/>
  <mergeCells count="31"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7:I27"/>
    <mergeCell ref="A43:I43"/>
    <mergeCell ref="A54:I54"/>
    <mergeCell ref="A84:I84"/>
    <mergeCell ref="A88:I88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topLeftCell="A18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38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123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280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44439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281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80</v>
      </c>
      <c r="C19" s="59" t="s">
        <v>81</v>
      </c>
      <c r="D19" s="51" t="s">
        <v>82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83</v>
      </c>
      <c r="C20" s="59" t="s">
        <v>79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84</v>
      </c>
      <c r="C21" s="59" t="s">
        <v>79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85</v>
      </c>
      <c r="C22" s="59" t="s">
        <v>50</v>
      </c>
      <c r="D22" s="51" t="s">
        <v>82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86</v>
      </c>
      <c r="C23" s="59" t="s">
        <v>50</v>
      </c>
      <c r="D23" s="51" t="s">
        <v>82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87</v>
      </c>
      <c r="C24" s="59" t="s">
        <v>50</v>
      </c>
      <c r="D24" s="52" t="s">
        <v>82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88</v>
      </c>
      <c r="C25" s="59" t="s">
        <v>50</v>
      </c>
      <c r="D25" s="51" t="s">
        <v>82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hidden="1" customHeight="1">
      <c r="A26" s="26">
        <v>4</v>
      </c>
      <c r="B26" s="32" t="s">
        <v>158</v>
      </c>
      <c r="C26" s="39" t="s">
        <v>152</v>
      </c>
      <c r="D26" s="32" t="s">
        <v>162</v>
      </c>
      <c r="E26" s="149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101"/>
      <c r="B28" s="55" t="s">
        <v>130</v>
      </c>
      <c r="C28" s="102"/>
      <c r="D28" s="102"/>
      <c r="E28" s="102"/>
      <c r="F28" s="102"/>
      <c r="G28" s="102"/>
      <c r="H28" s="102"/>
      <c r="I28" s="102"/>
      <c r="J28" s="21"/>
      <c r="K28" s="6"/>
      <c r="L28" s="6"/>
      <c r="M28" s="6"/>
    </row>
    <row r="29" spans="1:13" ht="15.75" customHeight="1">
      <c r="A29" s="99">
        <v>4</v>
      </c>
      <c r="B29" s="32" t="s">
        <v>131</v>
      </c>
      <c r="C29" s="39" t="s">
        <v>89</v>
      </c>
      <c r="D29" s="32" t="s">
        <v>250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5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9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4"/>
      <c r="B33" s="51" t="s">
        <v>100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9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1"/>
      <c r="B34" s="55" t="s">
        <v>4</v>
      </c>
      <c r="C34" s="103"/>
      <c r="D34" s="103"/>
      <c r="E34" s="103"/>
      <c r="F34" s="103"/>
      <c r="G34" s="103"/>
      <c r="H34" s="103"/>
      <c r="I34" s="103"/>
      <c r="J34" s="21"/>
      <c r="K34" s="6"/>
      <c r="L34" s="6"/>
      <c r="M34" s="6"/>
    </row>
    <row r="35" spans="1:14" ht="15.75" hidden="1" customHeight="1">
      <c r="A35" s="99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10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138</v>
      </c>
      <c r="C36" s="59" t="s">
        <v>27</v>
      </c>
      <c r="D36" s="51" t="s">
        <v>101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102</v>
      </c>
      <c r="C37" s="59" t="s">
        <v>103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1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104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10"/>
        <v>6.5598852000000001</v>
      </c>
      <c r="I38" s="12">
        <f t="shared" si="11"/>
        <v>1093.3141999999998</v>
      </c>
      <c r="J38" s="22"/>
    </row>
    <row r="39" spans="1:14" ht="48" hidden="1" customHeight="1">
      <c r="A39" s="26">
        <v>9</v>
      </c>
      <c r="B39" s="51" t="s">
        <v>73</v>
      </c>
      <c r="C39" s="59" t="s">
        <v>89</v>
      </c>
      <c r="D39" s="51" t="s">
        <v>139</v>
      </c>
      <c r="E39" s="61">
        <v>92</v>
      </c>
      <c r="F39" s="61">
        <f>SUM(E39*35/1000)</f>
        <v>3.22</v>
      </c>
      <c r="G39" s="61">
        <v>7611.16</v>
      </c>
      <c r="H39" s="62">
        <f t="shared" si="10"/>
        <v>24.507935199999999</v>
      </c>
      <c r="I39" s="12">
        <f t="shared" si="11"/>
        <v>4084.655866666667</v>
      </c>
      <c r="J39" s="22"/>
    </row>
    <row r="40" spans="1:14" ht="15.75" hidden="1" customHeight="1">
      <c r="A40" s="26">
        <v>10</v>
      </c>
      <c r="B40" s="51" t="s">
        <v>105</v>
      </c>
      <c r="C40" s="59" t="s">
        <v>89</v>
      </c>
      <c r="D40" s="51" t="s">
        <v>140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10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10"/>
        <v>0.79437600000000008</v>
      </c>
      <c r="I41" s="12">
        <f>F41/6*G41</f>
        <v>132.39600000000002</v>
      </c>
      <c r="J41" s="22"/>
    </row>
    <row r="42" spans="1:14" ht="15.75" hidden="1" customHeight="1">
      <c r="A42" s="195" t="s">
        <v>116</v>
      </c>
      <c r="B42" s="196"/>
      <c r="C42" s="196"/>
      <c r="D42" s="196"/>
      <c r="E42" s="196"/>
      <c r="F42" s="196"/>
      <c r="G42" s="196"/>
      <c r="H42" s="196"/>
      <c r="I42" s="197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106</v>
      </c>
      <c r="C43" s="39" t="s">
        <v>89</v>
      </c>
      <c r="D43" s="32" t="s">
        <v>39</v>
      </c>
      <c r="E43" s="106">
        <v>1114.25</v>
      </c>
      <c r="F43" s="31">
        <f>SUM(E43*2/1000)</f>
        <v>2.2284999999999999</v>
      </c>
      <c r="G43" s="34">
        <v>1193.71</v>
      </c>
      <c r="H43" s="107">
        <f t="shared" ref="H43:H52" si="12">SUM(F43*G43/1000)</f>
        <v>2.6601827349999998</v>
      </c>
      <c r="I43" s="12">
        <f t="shared" ref="I43:I45" si="13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89</v>
      </c>
      <c r="D44" s="32" t="s">
        <v>39</v>
      </c>
      <c r="E44" s="106">
        <v>2631</v>
      </c>
      <c r="F44" s="31">
        <f>SUM(E44*2/1000)</f>
        <v>5.2619999999999996</v>
      </c>
      <c r="G44" s="34">
        <v>1803.69</v>
      </c>
      <c r="H44" s="107">
        <f t="shared" si="12"/>
        <v>9.4910167800000007</v>
      </c>
      <c r="I44" s="12">
        <f t="shared" si="13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89</v>
      </c>
      <c r="D45" s="32" t="s">
        <v>39</v>
      </c>
      <c r="E45" s="106">
        <v>1953.8</v>
      </c>
      <c r="F45" s="31">
        <f>SUM(E45*2/1000)</f>
        <v>3.9076</v>
      </c>
      <c r="G45" s="34">
        <v>1243.43</v>
      </c>
      <c r="H45" s="107">
        <f t="shared" si="12"/>
        <v>4.8588270680000001</v>
      </c>
      <c r="I45" s="12">
        <f t="shared" si="13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6">
        <v>91.84</v>
      </c>
      <c r="F46" s="31">
        <f>SUM(E46*2/100)</f>
        <v>1.8368</v>
      </c>
      <c r="G46" s="108">
        <v>1172.4100000000001</v>
      </c>
      <c r="H46" s="107">
        <f t="shared" si="12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53</v>
      </c>
      <c r="C47" s="39" t="s">
        <v>89</v>
      </c>
      <c r="D47" s="32" t="s">
        <v>136</v>
      </c>
      <c r="E47" s="106">
        <v>3181</v>
      </c>
      <c r="F47" s="31">
        <f>SUM(E47*5/1000)</f>
        <v>15.904999999999999</v>
      </c>
      <c r="G47" s="34">
        <v>1083.69</v>
      </c>
      <c r="H47" s="107">
        <f t="shared" si="12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107</v>
      </c>
      <c r="C48" s="39" t="s">
        <v>89</v>
      </c>
      <c r="D48" s="32" t="s">
        <v>39</v>
      </c>
      <c r="E48" s="106">
        <v>3181</v>
      </c>
      <c r="F48" s="31">
        <f>SUM(E48*2/1000)</f>
        <v>6.3620000000000001</v>
      </c>
      <c r="G48" s="34">
        <v>1591.6</v>
      </c>
      <c r="H48" s="107">
        <f t="shared" si="12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108</v>
      </c>
      <c r="C49" s="39" t="s">
        <v>35</v>
      </c>
      <c r="D49" s="32" t="s">
        <v>39</v>
      </c>
      <c r="E49" s="106">
        <v>20</v>
      </c>
      <c r="F49" s="31">
        <f>SUM(E49*2/100)</f>
        <v>0.4</v>
      </c>
      <c r="G49" s="34">
        <v>4058.32</v>
      </c>
      <c r="H49" s="107">
        <f t="shared" si="12"/>
        <v>1.6233280000000001</v>
      </c>
      <c r="I49" s="12">
        <f t="shared" ref="I49:I50" si="14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6">
        <v>1</v>
      </c>
      <c r="F50" s="31">
        <v>0.02</v>
      </c>
      <c r="G50" s="34">
        <v>7412.92</v>
      </c>
      <c r="H50" s="107">
        <f t="shared" si="12"/>
        <v>0.14825839999999998</v>
      </c>
      <c r="I50" s="12">
        <f t="shared" si="14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109</v>
      </c>
      <c r="C51" s="39" t="s">
        <v>90</v>
      </c>
      <c r="D51" s="32" t="s">
        <v>63</v>
      </c>
      <c r="E51" s="106">
        <v>70</v>
      </c>
      <c r="F51" s="31">
        <f>E51*3</f>
        <v>210</v>
      </c>
      <c r="G51" s="34">
        <v>185.08</v>
      </c>
      <c r="H51" s="107">
        <f t="shared" si="12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90</v>
      </c>
      <c r="D52" s="32" t="s">
        <v>63</v>
      </c>
      <c r="E52" s="106">
        <v>140</v>
      </c>
      <c r="F52" s="31">
        <f>E52*3</f>
        <v>420</v>
      </c>
      <c r="G52" s="35">
        <v>86.15</v>
      </c>
      <c r="H52" s="107">
        <f t="shared" si="12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95" t="s">
        <v>75</v>
      </c>
      <c r="B53" s="198"/>
      <c r="C53" s="198"/>
      <c r="D53" s="198"/>
      <c r="E53" s="198"/>
      <c r="F53" s="198"/>
      <c r="G53" s="198"/>
      <c r="H53" s="198"/>
      <c r="I53" s="199"/>
      <c r="J53" s="22"/>
      <c r="L53" s="18"/>
      <c r="M53" s="19"/>
      <c r="N53" s="20"/>
    </row>
    <row r="54" spans="1:14" ht="15.75" hidden="1" customHeight="1">
      <c r="A54" s="26"/>
      <c r="B54" s="80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110</v>
      </c>
      <c r="C55" s="59" t="s">
        <v>79</v>
      </c>
      <c r="D55" s="51" t="s">
        <v>111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113</v>
      </c>
      <c r="C56" s="69" t="s">
        <v>114</v>
      </c>
      <c r="D56" s="13" t="s">
        <v>60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customHeight="1">
      <c r="A57" s="26"/>
      <c r="B57" s="81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6</v>
      </c>
      <c r="B59" s="53" t="s">
        <v>151</v>
      </c>
      <c r="C59" s="155" t="s">
        <v>152</v>
      </c>
      <c r="D59" s="53" t="s">
        <v>166</v>
      </c>
      <c r="E59" s="156">
        <v>48</v>
      </c>
      <c r="F59" s="157">
        <f>E59*12/1</f>
        <v>576</v>
      </c>
      <c r="G59" s="158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1" t="s">
        <v>43</v>
      </c>
      <c r="C60" s="69"/>
      <c r="D60" s="70"/>
      <c r="E60" s="71"/>
      <c r="F60" s="74"/>
      <c r="G60" s="74"/>
      <c r="H60" s="72" t="s">
        <v>98</v>
      </c>
      <c r="I60" s="12"/>
      <c r="J60" s="22"/>
      <c r="L60" s="18"/>
      <c r="M60" s="19"/>
      <c r="N60" s="20"/>
    </row>
    <row r="61" spans="1:14" ht="15.75" hidden="1" customHeight="1">
      <c r="A61" s="26">
        <v>9</v>
      </c>
      <c r="B61" s="13" t="s">
        <v>44</v>
      </c>
      <c r="C61" s="15" t="s">
        <v>90</v>
      </c>
      <c r="D61" s="13" t="s">
        <v>60</v>
      </c>
      <c r="E61" s="17">
        <v>4</v>
      </c>
      <c r="F61" s="61">
        <f>E61</f>
        <v>4</v>
      </c>
      <c r="G61" s="12">
        <v>291.68</v>
      </c>
      <c r="H61" s="75">
        <f t="shared" ref="H61:H69" si="15">SUM(F61*G61/1000)</f>
        <v>1.16672</v>
      </c>
      <c r="I61" s="12">
        <f>G61</f>
        <v>291.68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90</v>
      </c>
      <c r="D62" s="13" t="s">
        <v>60</v>
      </c>
      <c r="E62" s="17">
        <v>4</v>
      </c>
      <c r="F62" s="61">
        <f>E62</f>
        <v>4</v>
      </c>
      <c r="G62" s="12">
        <v>100.01</v>
      </c>
      <c r="H62" s="75">
        <f t="shared" si="15"/>
        <v>0.40004000000000001</v>
      </c>
      <c r="I62" s="12">
        <v>0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91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5"/>
        <v>35.342044800000004</v>
      </c>
      <c r="I63" s="12">
        <f>F63*G63</f>
        <v>35342.044800000003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92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5"/>
        <v>2.7522693600000001</v>
      </c>
      <c r="I64" s="12">
        <f t="shared" ref="I64:I67" si="16">F64*G64</f>
        <v>2752.2693600000002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69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5"/>
        <v>59.860680000000002</v>
      </c>
      <c r="I65" s="12">
        <f t="shared" si="16"/>
        <v>59860.68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93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5"/>
        <v>0.40905599999999998</v>
      </c>
      <c r="I66" s="12">
        <f t="shared" si="16"/>
        <v>409.05599999999998</v>
      </c>
      <c r="J66" s="22"/>
      <c r="L66" s="18"/>
      <c r="M66" s="19"/>
      <c r="N66" s="20"/>
    </row>
    <row r="67" spans="1:14" ht="21" hidden="1" customHeight="1">
      <c r="A67" s="26">
        <v>28</v>
      </c>
      <c r="B67" s="76" t="s">
        <v>94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5"/>
        <v>0.44198399999999999</v>
      </c>
      <c r="I67" s="12">
        <f t="shared" si="16"/>
        <v>441.98399999999998</v>
      </c>
      <c r="J67" s="22"/>
      <c r="L67" s="18"/>
      <c r="M67" s="19"/>
      <c r="N67" s="20"/>
    </row>
    <row r="68" spans="1:14" ht="15.75" hidden="1" customHeight="1">
      <c r="A68" s="26"/>
      <c r="B68" s="13" t="s">
        <v>54</v>
      </c>
      <c r="C68" s="15" t="s">
        <v>55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5"/>
        <v>0.26168000000000002</v>
      </c>
      <c r="I68" s="12">
        <v>0</v>
      </c>
      <c r="J68" s="22"/>
      <c r="L68" s="18"/>
      <c r="M68" s="19"/>
      <c r="N68" s="20"/>
    </row>
    <row r="69" spans="1:14" ht="33.75" customHeight="1">
      <c r="A69" s="26">
        <v>7</v>
      </c>
      <c r="B69" s="36" t="s">
        <v>141</v>
      </c>
      <c r="C69" s="135" t="s">
        <v>142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5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7.25" customHeight="1">
      <c r="A70" s="26"/>
      <c r="B70" s="55" t="s">
        <v>64</v>
      </c>
      <c r="C70" s="15"/>
      <c r="D70" s="13"/>
      <c r="E70" s="17"/>
      <c r="F70" s="12"/>
      <c r="G70" s="12"/>
      <c r="H70" s="75" t="s">
        <v>98</v>
      </c>
      <c r="I70" s="12"/>
      <c r="J70" s="22"/>
      <c r="L70" s="18"/>
      <c r="M70" s="19"/>
      <c r="N70" s="20"/>
    </row>
    <row r="71" spans="1:14" ht="16.5" hidden="1" customHeight="1">
      <c r="A71" s="26">
        <v>18</v>
      </c>
      <c r="B71" s="13" t="s">
        <v>143</v>
      </c>
      <c r="C71" s="15" t="s">
        <v>28</v>
      </c>
      <c r="D71" s="13" t="s">
        <v>60</v>
      </c>
      <c r="E71" s="17">
        <v>1</v>
      </c>
      <c r="F71" s="61">
        <f t="shared" ref="F71" si="17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8.75" hidden="1" customHeight="1">
      <c r="A72" s="26"/>
      <c r="B72" s="50" t="s">
        <v>144</v>
      </c>
      <c r="C72" s="54" t="s">
        <v>90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18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8">SUM(F73*G73/1000)</f>
        <v>0.19736099999999998</v>
      </c>
      <c r="I73" s="12">
        <v>0</v>
      </c>
      <c r="J73" s="22"/>
      <c r="L73" s="18"/>
      <c r="M73" s="19"/>
      <c r="N73" s="20"/>
    </row>
    <row r="74" spans="1:14" ht="18.75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8"/>
        <v>1.1187199999999999</v>
      </c>
      <c r="I74" s="12">
        <v>0</v>
      </c>
      <c r="J74" s="22"/>
      <c r="L74" s="18"/>
      <c r="M74" s="19"/>
      <c r="N74" s="20"/>
    </row>
    <row r="75" spans="1:14" ht="18" hidden="1" customHeight="1">
      <c r="A75" s="26"/>
      <c r="B75" s="50" t="s">
        <v>145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8"/>
        <v>1.6058299999999999</v>
      </c>
      <c r="I75" s="12">
        <v>0</v>
      </c>
      <c r="J75" s="22"/>
      <c r="L75" s="18"/>
      <c r="M75" s="19"/>
      <c r="N75" s="20"/>
    </row>
    <row r="76" spans="1:14" ht="30.75" customHeight="1">
      <c r="A76" s="26">
        <v>8</v>
      </c>
      <c r="B76" s="121" t="s">
        <v>146</v>
      </c>
      <c r="C76" s="122" t="s">
        <v>90</v>
      </c>
      <c r="D76" s="36" t="s">
        <v>166</v>
      </c>
      <c r="E76" s="16">
        <v>2</v>
      </c>
      <c r="F76" s="31">
        <f>E76*12</f>
        <v>24</v>
      </c>
      <c r="G76" s="34">
        <v>425</v>
      </c>
      <c r="H76" s="75">
        <f t="shared" si="18"/>
        <v>10.199999999999999</v>
      </c>
      <c r="I76" s="12">
        <f>G76*2</f>
        <v>850</v>
      </c>
      <c r="J76" s="22"/>
      <c r="L76" s="18"/>
      <c r="M76" s="19"/>
      <c r="N76" s="20"/>
    </row>
    <row r="77" spans="1:14" ht="21" hidden="1" customHeight="1">
      <c r="A77" s="26"/>
      <c r="B77" s="77" t="s">
        <v>68</v>
      </c>
      <c r="C77" s="15"/>
      <c r="D77" s="13"/>
      <c r="E77" s="17"/>
      <c r="F77" s="12"/>
      <c r="G77" s="12" t="s">
        <v>98</v>
      </c>
      <c r="H77" s="75" t="s">
        <v>98</v>
      </c>
      <c r="I77" s="12"/>
      <c r="J77" s="22"/>
      <c r="L77" s="18"/>
      <c r="M77" s="19"/>
      <c r="N77" s="20"/>
    </row>
    <row r="78" spans="1:14" ht="21" hidden="1" customHeight="1">
      <c r="A78" s="26">
        <v>9</v>
      </c>
      <c r="B78" s="45" t="s">
        <v>97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19">SUM(F78*G78/1000)</f>
        <v>3.3708899999999997</v>
      </c>
      <c r="I78" s="12">
        <f>G78*0.03</f>
        <v>101.12669999999999</v>
      </c>
      <c r="J78" s="22"/>
      <c r="L78" s="18"/>
      <c r="M78" s="19"/>
      <c r="N78" s="20"/>
    </row>
    <row r="79" spans="1:14" ht="17.25" hidden="1" customHeight="1">
      <c r="A79" s="26"/>
      <c r="B79" s="55" t="s">
        <v>95</v>
      </c>
      <c r="C79" s="77"/>
      <c r="D79" s="27"/>
      <c r="E79" s="30"/>
      <c r="F79" s="66"/>
      <c r="G79" s="66"/>
      <c r="H79" s="78">
        <f>SUM(H55:H78)</f>
        <v>248.27929411999997</v>
      </c>
      <c r="I79" s="66"/>
      <c r="J79" s="22"/>
      <c r="L79" s="18"/>
      <c r="M79" s="19"/>
      <c r="N79" s="20"/>
    </row>
    <row r="80" spans="1:14" ht="21" hidden="1" customHeight="1">
      <c r="A80" s="104">
        <v>15</v>
      </c>
      <c r="B80" s="53" t="s">
        <v>96</v>
      </c>
      <c r="C80" s="109"/>
      <c r="D80" s="110"/>
      <c r="E80" s="110"/>
      <c r="F80" s="111">
        <v>1</v>
      </c>
      <c r="G80" s="111">
        <v>23195</v>
      </c>
      <c r="H80" s="112">
        <f>G80*F80/1000</f>
        <v>23.195</v>
      </c>
      <c r="I80" s="79">
        <f>G80</f>
        <v>23195</v>
      </c>
      <c r="J80" s="22"/>
      <c r="L80" s="18"/>
      <c r="M80" s="19"/>
      <c r="N80" s="20"/>
    </row>
    <row r="81" spans="1:14" ht="17.25" hidden="1" customHeight="1">
      <c r="A81" s="49"/>
      <c r="B81" s="113" t="s">
        <v>147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4">
        <v>0</v>
      </c>
      <c r="J81" s="22"/>
      <c r="L81" s="18"/>
      <c r="M81" s="19"/>
      <c r="N81" s="20"/>
    </row>
    <row r="82" spans="1:14" ht="15.75" customHeight="1">
      <c r="A82" s="192" t="s">
        <v>124</v>
      </c>
      <c r="B82" s="200"/>
      <c r="C82" s="200"/>
      <c r="D82" s="200"/>
      <c r="E82" s="200"/>
      <c r="F82" s="200"/>
      <c r="G82" s="200"/>
      <c r="H82" s="200"/>
      <c r="I82" s="201"/>
      <c r="J82" s="22"/>
      <c r="L82" s="18"/>
      <c r="M82" s="19"/>
      <c r="N82" s="20"/>
    </row>
    <row r="83" spans="1:14" ht="15.75" customHeight="1">
      <c r="A83" s="99">
        <v>9</v>
      </c>
      <c r="B83" s="32" t="s">
        <v>112</v>
      </c>
      <c r="C83" s="37" t="s">
        <v>52</v>
      </c>
      <c r="D83" s="162"/>
      <c r="E83" s="34">
        <v>3181</v>
      </c>
      <c r="F83" s="34">
        <f>SUM(E83*12)</f>
        <v>38172</v>
      </c>
      <c r="G83" s="34">
        <v>3.5</v>
      </c>
      <c r="H83" s="105">
        <f>SUM(F83*G83/1000)</f>
        <v>133.602</v>
      </c>
      <c r="I83" s="100">
        <f>F83/12*G83</f>
        <v>11133.5</v>
      </c>
      <c r="J83" s="22"/>
      <c r="L83" s="18"/>
      <c r="M83" s="19"/>
      <c r="N83" s="20"/>
    </row>
    <row r="84" spans="1:14" ht="31.5" customHeight="1">
      <c r="A84" s="26">
        <v>10</v>
      </c>
      <c r="B84" s="36" t="s">
        <v>181</v>
      </c>
      <c r="C84" s="37" t="s">
        <v>152</v>
      </c>
      <c r="D84" s="163"/>
      <c r="E84" s="106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15" customHeight="1">
      <c r="A85" s="49"/>
      <c r="B85" s="38" t="s">
        <v>71</v>
      </c>
      <c r="C85" s="15"/>
      <c r="D85" s="45"/>
      <c r="E85" s="12"/>
      <c r="F85" s="12"/>
      <c r="G85" s="12"/>
      <c r="H85" s="75">
        <f>H84</f>
        <v>122.1504</v>
      </c>
      <c r="I85" s="66">
        <f>I84+I83+I76+I69+I59+I30+I29+I18+I17+I16</f>
        <v>43084.509830000003</v>
      </c>
      <c r="J85" s="22"/>
      <c r="L85" s="18"/>
      <c r="M85" s="19"/>
      <c r="N85" s="20"/>
    </row>
    <row r="86" spans="1:14" ht="15.75" customHeight="1">
      <c r="A86" s="202" t="s">
        <v>56</v>
      </c>
      <c r="B86" s="203"/>
      <c r="C86" s="203"/>
      <c r="D86" s="203"/>
      <c r="E86" s="203"/>
      <c r="F86" s="203"/>
      <c r="G86" s="203"/>
      <c r="H86" s="203"/>
      <c r="I86" s="204"/>
      <c r="J86" s="22"/>
      <c r="L86" s="18"/>
      <c r="M86" s="19"/>
      <c r="N86" s="20"/>
    </row>
    <row r="87" spans="1:14" ht="18.75" customHeight="1">
      <c r="A87" s="26">
        <v>11</v>
      </c>
      <c r="B87" s="121" t="s">
        <v>282</v>
      </c>
      <c r="C87" s="165" t="s">
        <v>212</v>
      </c>
      <c r="D87" s="163"/>
      <c r="E87" s="34"/>
      <c r="F87" s="34">
        <v>0.12</v>
      </c>
      <c r="G87" s="34">
        <v>4113.16</v>
      </c>
      <c r="H87" s="75"/>
      <c r="I87" s="79">
        <f>G87*0.12</f>
        <v>493.57919999999996</v>
      </c>
      <c r="J87" s="22"/>
      <c r="L87" s="18"/>
      <c r="M87" s="19"/>
      <c r="N87" s="20"/>
    </row>
    <row r="88" spans="1:14" ht="15.75" hidden="1" customHeight="1">
      <c r="A88" s="26"/>
      <c r="B88" s="50"/>
      <c r="C88" s="54"/>
      <c r="D88" s="13"/>
      <c r="E88" s="17"/>
      <c r="F88" s="12"/>
      <c r="G88" s="12"/>
      <c r="H88" s="75"/>
      <c r="I88" s="79"/>
      <c r="J88" s="22"/>
      <c r="L88" s="18"/>
      <c r="M88" s="19"/>
      <c r="N88" s="20"/>
    </row>
    <row r="89" spans="1:14" ht="15.75" customHeight="1">
      <c r="A89" s="26">
        <v>12</v>
      </c>
      <c r="B89" s="179" t="s">
        <v>283</v>
      </c>
      <c r="C89" s="135" t="s">
        <v>212</v>
      </c>
      <c r="D89" s="163" t="s">
        <v>192</v>
      </c>
      <c r="E89" s="34"/>
      <c r="F89" s="34">
        <v>0.1</v>
      </c>
      <c r="G89" s="34">
        <v>450.52</v>
      </c>
      <c r="H89" s="75"/>
      <c r="I89" s="79">
        <f>G89*0.1</f>
        <v>45.052</v>
      </c>
      <c r="J89" s="22"/>
      <c r="L89" s="18"/>
      <c r="M89" s="19"/>
      <c r="N89" s="20"/>
    </row>
    <row r="90" spans="1:14" ht="15.75" customHeight="1">
      <c r="A90" s="26">
        <v>13</v>
      </c>
      <c r="B90" s="121" t="s">
        <v>284</v>
      </c>
      <c r="C90" s="122" t="s">
        <v>50</v>
      </c>
      <c r="D90" s="163" t="s">
        <v>192</v>
      </c>
      <c r="E90" s="34"/>
      <c r="F90" s="34">
        <v>0.01</v>
      </c>
      <c r="G90" s="34">
        <v>38574.639999999999</v>
      </c>
      <c r="H90" s="75"/>
      <c r="I90" s="79">
        <f>G90*0.01</f>
        <v>385.74639999999999</v>
      </c>
      <c r="J90" s="22"/>
      <c r="L90" s="18"/>
      <c r="M90" s="19"/>
      <c r="N90" s="20"/>
    </row>
    <row r="91" spans="1:14" ht="15.75" customHeight="1">
      <c r="A91" s="26">
        <v>14</v>
      </c>
      <c r="B91" s="121" t="s">
        <v>72</v>
      </c>
      <c r="C91" s="122" t="s">
        <v>90</v>
      </c>
      <c r="D91" s="163"/>
      <c r="E91" s="34"/>
      <c r="F91" s="34">
        <v>8</v>
      </c>
      <c r="G91" s="34">
        <v>224.48</v>
      </c>
      <c r="H91" s="75"/>
      <c r="I91" s="79">
        <f>G91*1</f>
        <v>224.48</v>
      </c>
      <c r="J91" s="22"/>
      <c r="L91" s="18"/>
      <c r="M91" s="19"/>
      <c r="N91" s="20"/>
    </row>
    <row r="92" spans="1:14" ht="31.5" customHeight="1">
      <c r="A92" s="26">
        <v>15</v>
      </c>
      <c r="B92" s="121" t="s">
        <v>286</v>
      </c>
      <c r="C92" s="122" t="s">
        <v>115</v>
      </c>
      <c r="D92" s="163" t="s">
        <v>287</v>
      </c>
      <c r="E92" s="34"/>
      <c r="F92" s="34">
        <v>1</v>
      </c>
      <c r="G92" s="34">
        <v>697.33</v>
      </c>
      <c r="H92" s="75"/>
      <c r="I92" s="79">
        <f>G92*1</f>
        <v>697.33</v>
      </c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0"/>
      <c r="D93" s="46"/>
      <c r="E93" s="40">
        <v>1</v>
      </c>
      <c r="F93" s="40"/>
      <c r="G93" s="40"/>
      <c r="H93" s="40"/>
      <c r="I93" s="30">
        <f>SUM(I87:I92)</f>
        <v>1846.1875999999997</v>
      </c>
      <c r="J93" s="22"/>
      <c r="L93" s="18"/>
      <c r="M93" s="19"/>
      <c r="N93" s="20"/>
    </row>
    <row r="94" spans="1:14" ht="15.75" customHeight="1">
      <c r="A94" s="26"/>
      <c r="B94" s="45" t="s">
        <v>70</v>
      </c>
      <c r="C94" s="14"/>
      <c r="D94" s="14"/>
      <c r="E94" s="41"/>
      <c r="F94" s="41"/>
      <c r="G94" s="42"/>
      <c r="H94" s="42"/>
      <c r="I94" s="16">
        <v>0</v>
      </c>
      <c r="J94" s="22"/>
      <c r="L94" s="18"/>
      <c r="M94" s="19"/>
      <c r="N94" s="20"/>
    </row>
    <row r="95" spans="1:14" ht="15.75" customHeight="1">
      <c r="A95" s="47"/>
      <c r="B95" s="44" t="s">
        <v>137</v>
      </c>
      <c r="C95" s="33"/>
      <c r="D95" s="33"/>
      <c r="E95" s="33"/>
      <c r="F95" s="33"/>
      <c r="G95" s="33"/>
      <c r="H95" s="33"/>
      <c r="I95" s="43">
        <f>I85+I93</f>
        <v>44930.69743</v>
      </c>
      <c r="J95" s="22"/>
      <c r="L95" s="18"/>
      <c r="M95" s="19"/>
      <c r="N95" s="20"/>
    </row>
    <row r="96" spans="1:14" ht="15.75" customHeight="1">
      <c r="A96" s="191" t="s">
        <v>288</v>
      </c>
      <c r="B96" s="191"/>
      <c r="C96" s="191"/>
      <c r="D96" s="191"/>
      <c r="E96" s="191"/>
      <c r="F96" s="191"/>
      <c r="G96" s="191"/>
      <c r="H96" s="191"/>
      <c r="I96" s="191"/>
      <c r="J96" s="22"/>
      <c r="L96" s="18"/>
      <c r="M96" s="19"/>
      <c r="N96" s="20"/>
    </row>
    <row r="97" spans="1:22" ht="15.75" customHeight="1">
      <c r="A97" s="8"/>
      <c r="B97" s="205" t="s">
        <v>289</v>
      </c>
      <c r="C97" s="205"/>
      <c r="D97" s="205"/>
      <c r="E97" s="205"/>
      <c r="F97" s="205"/>
      <c r="G97" s="205"/>
      <c r="H97" s="82"/>
      <c r="I97" s="3"/>
      <c r="J97" s="22"/>
      <c r="L97" s="18"/>
      <c r="M97" s="19"/>
      <c r="N97" s="20"/>
    </row>
    <row r="98" spans="1:22" ht="15.75" customHeight="1">
      <c r="A98" s="84"/>
      <c r="B98" s="206" t="s">
        <v>5</v>
      </c>
      <c r="C98" s="206"/>
      <c r="D98" s="206"/>
      <c r="E98" s="206"/>
      <c r="F98" s="206"/>
      <c r="G98" s="206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207" t="s">
        <v>6</v>
      </c>
      <c r="B100" s="207"/>
      <c r="C100" s="207"/>
      <c r="D100" s="207"/>
      <c r="E100" s="207"/>
      <c r="F100" s="207"/>
      <c r="G100" s="207"/>
      <c r="H100" s="207"/>
      <c r="I100" s="207"/>
      <c r="J100" s="22"/>
      <c r="K100" s="22"/>
      <c r="L100" s="22"/>
    </row>
    <row r="101" spans="1:22" ht="15.75" customHeight="1">
      <c r="A101" s="207" t="s">
        <v>7</v>
      </c>
      <c r="B101" s="207"/>
      <c r="C101" s="207"/>
      <c r="D101" s="207"/>
      <c r="E101" s="207"/>
      <c r="F101" s="207"/>
      <c r="G101" s="207"/>
      <c r="H101" s="207"/>
      <c r="I101" s="207"/>
      <c r="J101" s="22"/>
      <c r="K101" s="22"/>
      <c r="L101" s="22"/>
    </row>
    <row r="102" spans="1:22" ht="15.75" customHeight="1">
      <c r="A102" s="191" t="s">
        <v>8</v>
      </c>
      <c r="B102" s="191"/>
      <c r="C102" s="191"/>
      <c r="D102" s="191"/>
      <c r="E102" s="191"/>
      <c r="F102" s="191"/>
      <c r="G102" s="191"/>
      <c r="H102" s="191"/>
      <c r="I102" s="191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209" t="s">
        <v>9</v>
      </c>
      <c r="B104" s="209"/>
      <c r="C104" s="209"/>
      <c r="D104" s="209"/>
      <c r="E104" s="209"/>
      <c r="F104" s="209"/>
      <c r="G104" s="209"/>
      <c r="H104" s="209"/>
      <c r="I104" s="209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91" t="s">
        <v>10</v>
      </c>
      <c r="B106" s="191"/>
      <c r="C106" s="210" t="s">
        <v>187</v>
      </c>
      <c r="D106" s="210"/>
      <c r="E106" s="210"/>
      <c r="F106" s="57"/>
      <c r="I106" s="87"/>
      <c r="J106" s="5"/>
      <c r="K106" s="5"/>
      <c r="L106" s="5"/>
      <c r="M106" s="5"/>
      <c r="N106" s="5"/>
      <c r="O106" s="5"/>
      <c r="P106" s="5"/>
      <c r="Q106" s="5"/>
      <c r="R106" s="211"/>
      <c r="S106" s="211"/>
      <c r="T106" s="211"/>
      <c r="U106" s="211"/>
    </row>
    <row r="107" spans="1:22" ht="15.75" customHeight="1">
      <c r="A107" s="84"/>
      <c r="C107" s="206" t="s">
        <v>11</v>
      </c>
      <c r="D107" s="206"/>
      <c r="E107" s="206"/>
      <c r="F107" s="23"/>
      <c r="I107" s="85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91" t="s">
        <v>13</v>
      </c>
      <c r="B109" s="191"/>
      <c r="C109" s="212"/>
      <c r="D109" s="212"/>
      <c r="E109" s="212"/>
      <c r="F109" s="58"/>
      <c r="I109" s="87"/>
    </row>
    <row r="110" spans="1:22" ht="15.75" customHeight="1">
      <c r="A110" s="84"/>
      <c r="C110" s="211" t="s">
        <v>11</v>
      </c>
      <c r="D110" s="211"/>
      <c r="E110" s="211"/>
      <c r="F110" s="84"/>
      <c r="I110" s="85" t="s">
        <v>12</v>
      </c>
    </row>
    <row r="111" spans="1:22" ht="15.75" customHeight="1">
      <c r="A111" s="4" t="s">
        <v>14</v>
      </c>
    </row>
    <row r="112" spans="1:22" ht="15" customHeight="1">
      <c r="A112" s="213" t="s">
        <v>15</v>
      </c>
      <c r="B112" s="213"/>
      <c r="C112" s="213"/>
      <c r="D112" s="213"/>
      <c r="E112" s="213"/>
      <c r="F112" s="213"/>
      <c r="G112" s="213"/>
      <c r="H112" s="213"/>
      <c r="I112" s="213"/>
    </row>
    <row r="113" spans="1:9" ht="45" customHeight="1">
      <c r="A113" s="208" t="s">
        <v>16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30" customHeight="1">
      <c r="A114" s="208" t="s">
        <v>17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30" customHeight="1">
      <c r="A115" s="208" t="s">
        <v>21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15" customHeight="1">
      <c r="A116" s="208" t="s">
        <v>20</v>
      </c>
      <c r="B116" s="208"/>
      <c r="C116" s="208"/>
      <c r="D116" s="208"/>
      <c r="E116" s="208"/>
      <c r="F116" s="208"/>
      <c r="G116" s="208"/>
      <c r="H116" s="208"/>
      <c r="I116" s="208"/>
    </row>
  </sheetData>
  <autoFilter ref="I12:I102"/>
  <mergeCells count="31"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  <mergeCell ref="A102:I102"/>
    <mergeCell ref="A15:I15"/>
    <mergeCell ref="A27:I27"/>
    <mergeCell ref="A42:I42"/>
    <mergeCell ref="A53:I53"/>
    <mergeCell ref="A82:I82"/>
    <mergeCell ref="A86:I86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zoomScale="95" zoomScaleNormal="95" workbookViewId="0">
      <selection activeCell="I104" sqref="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39" t="s">
        <v>154</v>
      </c>
      <c r="I1" s="28"/>
    </row>
    <row r="2" spans="1:15" s="25" customFormat="1" ht="15.75" customHeight="1">
      <c r="A2" s="25" t="s">
        <v>57</v>
      </c>
      <c r="J2" s="1"/>
      <c r="K2" s="1"/>
      <c r="L2" s="1"/>
      <c r="M2" s="1"/>
    </row>
    <row r="3" spans="1:15" s="25" customFormat="1" ht="15.75">
      <c r="A3" s="186" t="s">
        <v>125</v>
      </c>
      <c r="B3" s="186"/>
      <c r="C3" s="186"/>
      <c r="D3" s="186"/>
      <c r="E3" s="186"/>
      <c r="F3" s="186"/>
      <c r="G3" s="186"/>
      <c r="H3" s="186"/>
      <c r="I3" s="186"/>
      <c r="J3" s="2"/>
      <c r="K3" s="2"/>
      <c r="L3" s="2"/>
      <c r="M3" s="2"/>
    </row>
    <row r="4" spans="1:15" s="25" customFormat="1" ht="31.5" customHeight="1">
      <c r="A4" s="187" t="s">
        <v>78</v>
      </c>
      <c r="B4" s="187"/>
      <c r="C4" s="187"/>
      <c r="D4" s="187"/>
      <c r="E4" s="187"/>
      <c r="F4" s="187"/>
      <c r="G4" s="187"/>
      <c r="H4" s="187"/>
      <c r="I4" s="187"/>
      <c r="J4" s="3"/>
      <c r="K4" s="3"/>
      <c r="L4" s="3"/>
    </row>
    <row r="5" spans="1:15" s="25" customFormat="1" ht="15.75" customHeight="1">
      <c r="A5" s="186" t="s">
        <v>285</v>
      </c>
      <c r="B5" s="188"/>
      <c r="C5" s="188"/>
      <c r="D5" s="188"/>
      <c r="E5" s="188"/>
      <c r="F5" s="188"/>
      <c r="G5" s="188"/>
      <c r="H5" s="188"/>
      <c r="I5" s="188"/>
    </row>
    <row r="6" spans="1:15" s="25" customFormat="1" ht="15.75">
      <c r="A6" s="2"/>
      <c r="B6" s="83"/>
      <c r="C6" s="83"/>
      <c r="D6" s="83"/>
      <c r="E6" s="83"/>
      <c r="F6" s="83"/>
      <c r="G6" s="83"/>
      <c r="H6" s="83"/>
      <c r="I6" s="29">
        <v>44469</v>
      </c>
      <c r="J6" s="2"/>
      <c r="K6" s="2"/>
      <c r="L6" s="2"/>
      <c r="M6" s="2"/>
    </row>
    <row r="7" spans="1:15" ht="15.75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9" t="s">
        <v>189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90" t="s">
        <v>150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4" t="s">
        <v>0</v>
      </c>
      <c r="B12" s="94" t="s">
        <v>127</v>
      </c>
      <c r="C12" s="94" t="s">
        <v>1</v>
      </c>
      <c r="D12" s="94" t="s">
        <v>18</v>
      </c>
      <c r="E12" s="94" t="s">
        <v>19</v>
      </c>
      <c r="F12" s="94"/>
      <c r="G12" s="94" t="s">
        <v>22</v>
      </c>
      <c r="H12" s="94"/>
      <c r="I12" s="94" t="s">
        <v>2</v>
      </c>
    </row>
    <row r="13" spans="1:15" s="48" customFormat="1" ht="12.7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/>
      <c r="G13" s="95">
        <v>5</v>
      </c>
      <c r="H13" s="95"/>
      <c r="I13" s="95">
        <v>6</v>
      </c>
      <c r="J13" s="97"/>
      <c r="K13" s="97"/>
      <c r="L13" s="97"/>
      <c r="M13" s="97"/>
    </row>
    <row r="14" spans="1:15" ht="15.75" customHeight="1">
      <c r="A14" s="183" t="s">
        <v>128</v>
      </c>
      <c r="B14" s="184"/>
      <c r="C14" s="184"/>
      <c r="D14" s="184"/>
      <c r="E14" s="184"/>
      <c r="F14" s="184"/>
      <c r="G14" s="184"/>
      <c r="H14" s="184"/>
      <c r="I14" s="184"/>
      <c r="J14" s="98"/>
      <c r="K14" s="98"/>
      <c r="L14" s="6"/>
      <c r="M14" s="6"/>
      <c r="N14" s="6"/>
      <c r="O14" s="6"/>
    </row>
    <row r="15" spans="1:15" ht="15.75" customHeight="1">
      <c r="A15" s="192" t="s">
        <v>3</v>
      </c>
      <c r="B15" s="193"/>
      <c r="C15" s="193"/>
      <c r="D15" s="193"/>
      <c r="E15" s="193"/>
      <c r="F15" s="193"/>
      <c r="G15" s="193"/>
      <c r="H15" s="193"/>
      <c r="I15" s="194"/>
      <c r="J15" s="6"/>
      <c r="K15" s="6"/>
      <c r="L15" s="6"/>
      <c r="M15" s="6"/>
    </row>
    <row r="16" spans="1:15" ht="15.75" customHeight="1">
      <c r="A16" s="26">
        <v>1</v>
      </c>
      <c r="B16" s="32" t="s">
        <v>74</v>
      </c>
      <c r="C16" s="39" t="s">
        <v>79</v>
      </c>
      <c r="D16" s="32" t="s">
        <v>159</v>
      </c>
      <c r="E16" s="106">
        <v>59.9</v>
      </c>
      <c r="F16" s="31">
        <f>SUM(E16*156/100)</f>
        <v>93.444000000000003</v>
      </c>
      <c r="G16" s="31">
        <v>261.45</v>
      </c>
      <c r="H16" s="62">
        <f t="shared" ref="H16:H18" si="0">SUM(F16*G16/1000)</f>
        <v>24.430933799999998</v>
      </c>
      <c r="I16" s="12">
        <f>F16/12*G16</f>
        <v>2035.9111499999999</v>
      </c>
      <c r="J16" s="6"/>
      <c r="K16" s="6"/>
      <c r="L16" s="6"/>
      <c r="M16" s="6"/>
    </row>
    <row r="17" spans="1:13" ht="15.75" customHeight="1">
      <c r="A17" s="26">
        <v>2</v>
      </c>
      <c r="B17" s="32" t="s">
        <v>76</v>
      </c>
      <c r="C17" s="39" t="s">
        <v>79</v>
      </c>
      <c r="D17" s="32" t="s">
        <v>160</v>
      </c>
      <c r="E17" s="106">
        <v>239.4</v>
      </c>
      <c r="F17" s="31">
        <f>SUM(E17*104/100)</f>
        <v>248.97600000000003</v>
      </c>
      <c r="G17" s="31">
        <v>261.45</v>
      </c>
      <c r="H17" s="62">
        <f t="shared" si="0"/>
        <v>65.094775200000001</v>
      </c>
      <c r="I17" s="12">
        <f>F17/12*G17</f>
        <v>5424.5645999999997</v>
      </c>
      <c r="J17" s="6"/>
      <c r="K17" s="6"/>
      <c r="L17" s="6"/>
      <c r="M17" s="6"/>
    </row>
    <row r="18" spans="1:13" ht="15.75" customHeight="1">
      <c r="A18" s="26">
        <v>3</v>
      </c>
      <c r="B18" s="32" t="s">
        <v>77</v>
      </c>
      <c r="C18" s="39" t="s">
        <v>79</v>
      </c>
      <c r="D18" s="32" t="s">
        <v>161</v>
      </c>
      <c r="E18" s="106">
        <f>SUM(E16+E17)</f>
        <v>299.3</v>
      </c>
      <c r="F18" s="31">
        <f>SUM(E18*24/100)</f>
        <v>71.832000000000008</v>
      </c>
      <c r="G18" s="31">
        <v>752.16</v>
      </c>
      <c r="H18" s="62">
        <f t="shared" si="0"/>
        <v>54.029157120000001</v>
      </c>
      <c r="I18" s="12">
        <f>F18/12*G18</f>
        <v>4502.42976</v>
      </c>
      <c r="J18" s="21"/>
      <c r="K18" s="6"/>
      <c r="L18" s="6"/>
      <c r="M18" s="6"/>
    </row>
    <row r="19" spans="1:13" ht="15.75" hidden="1" customHeight="1">
      <c r="A19" s="26">
        <v>4</v>
      </c>
      <c r="B19" s="32" t="s">
        <v>80</v>
      </c>
      <c r="C19" s="39" t="s">
        <v>81</v>
      </c>
      <c r="D19" s="51" t="s">
        <v>82</v>
      </c>
      <c r="E19" s="106">
        <v>25.6</v>
      </c>
      <c r="F19" s="31">
        <f>SUM(E19/10)</f>
        <v>2.56</v>
      </c>
      <c r="G19" s="31">
        <v>253.7</v>
      </c>
      <c r="H19" s="62">
        <f>SUM(F19*G19/1000)</f>
        <v>0.64947199999999994</v>
      </c>
      <c r="I19" s="12">
        <f>F19/2*G19</f>
        <v>324.73599999999999</v>
      </c>
      <c r="J19" s="21"/>
      <c r="K19" s="6"/>
      <c r="L19" s="6"/>
      <c r="M19" s="6"/>
    </row>
    <row r="20" spans="1:13" ht="15.75" customHeight="1">
      <c r="A20" s="26">
        <v>4</v>
      </c>
      <c r="B20" s="32" t="s">
        <v>83</v>
      </c>
      <c r="C20" s="39" t="s">
        <v>79</v>
      </c>
      <c r="D20" s="51" t="s">
        <v>166</v>
      </c>
      <c r="E20" s="106">
        <v>10.5</v>
      </c>
      <c r="F20" s="31">
        <f>SUM(E20*2/100)</f>
        <v>0.21</v>
      </c>
      <c r="G20" s="31">
        <v>324.83999999999997</v>
      </c>
      <c r="H20" s="62">
        <f t="shared" ref="H20:H25" si="1">SUM(F20*G20/1000)</f>
        <v>6.8216399999999996E-2</v>
      </c>
      <c r="I20" s="12">
        <f t="shared" ref="I20:I21" si="2">F20/2*G20</f>
        <v>34.108199999999997</v>
      </c>
      <c r="J20" s="21"/>
      <c r="K20" s="6"/>
      <c r="L20" s="6"/>
      <c r="M20" s="6"/>
    </row>
    <row r="21" spans="1:13" ht="15.75" customHeight="1">
      <c r="A21" s="26">
        <v>5</v>
      </c>
      <c r="B21" s="32" t="s">
        <v>84</v>
      </c>
      <c r="C21" s="39" t="s">
        <v>79</v>
      </c>
      <c r="D21" s="51" t="s">
        <v>166</v>
      </c>
      <c r="E21" s="106">
        <v>5.3</v>
      </c>
      <c r="F21" s="31">
        <f>SUM(E21*2/100)</f>
        <v>0.106</v>
      </c>
      <c r="G21" s="31">
        <v>322.20999999999998</v>
      </c>
      <c r="H21" s="62">
        <f t="shared" si="1"/>
        <v>3.4154259999999992E-2</v>
      </c>
      <c r="I21" s="12">
        <f t="shared" si="2"/>
        <v>17.077129999999997</v>
      </c>
      <c r="J21" s="21"/>
      <c r="K21" s="6"/>
      <c r="L21" s="6"/>
      <c r="M21" s="6"/>
    </row>
    <row r="22" spans="1:13" ht="15.75" hidden="1" customHeight="1">
      <c r="A22" s="26">
        <v>7</v>
      </c>
      <c r="B22" s="32" t="s">
        <v>85</v>
      </c>
      <c r="C22" s="39" t="s">
        <v>50</v>
      </c>
      <c r="D22" s="51" t="s">
        <v>82</v>
      </c>
      <c r="E22" s="106">
        <v>357</v>
      </c>
      <c r="F22" s="31">
        <f t="shared" ref="F22:F25" si="3">SUM(E22/100)</f>
        <v>3.57</v>
      </c>
      <c r="G22" s="31">
        <v>401.44</v>
      </c>
      <c r="H22" s="62">
        <f t="shared" si="1"/>
        <v>1.4331407999999999</v>
      </c>
      <c r="I22" s="12">
        <f>F22*G22</f>
        <v>1433.1407999999999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32" t="s">
        <v>86</v>
      </c>
      <c r="C23" s="39" t="s">
        <v>50</v>
      </c>
      <c r="D23" s="51" t="s">
        <v>82</v>
      </c>
      <c r="E23" s="152">
        <v>38.64</v>
      </c>
      <c r="F23" s="31">
        <f t="shared" si="3"/>
        <v>0.38640000000000002</v>
      </c>
      <c r="G23" s="31">
        <v>66.03</v>
      </c>
      <c r="H23" s="62">
        <f t="shared" si="1"/>
        <v>2.5513992000000003E-2</v>
      </c>
      <c r="I23" s="12">
        <f t="shared" ref="I23:I25" si="4">F23*G23</f>
        <v>25.513992000000002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32" t="s">
        <v>87</v>
      </c>
      <c r="C24" s="39" t="s">
        <v>50</v>
      </c>
      <c r="D24" s="52" t="s">
        <v>82</v>
      </c>
      <c r="E24" s="16">
        <v>15</v>
      </c>
      <c r="F24" s="153">
        <f t="shared" si="3"/>
        <v>0.15</v>
      </c>
      <c r="G24" s="31">
        <v>581.02</v>
      </c>
      <c r="H24" s="62">
        <f t="shared" ref="H24" si="5">SUM(F24*G24/1000)</f>
        <v>8.7152999999999994E-2</v>
      </c>
      <c r="I24" s="12">
        <f t="shared" si="4"/>
        <v>87.152999999999992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32" t="s">
        <v>88</v>
      </c>
      <c r="C25" s="39" t="s">
        <v>50</v>
      </c>
      <c r="D25" s="51" t="s">
        <v>82</v>
      </c>
      <c r="E25" s="154">
        <v>6.38</v>
      </c>
      <c r="F25" s="31">
        <f t="shared" si="3"/>
        <v>6.3799999999999996E-2</v>
      </c>
      <c r="G25" s="31">
        <v>776.46</v>
      </c>
      <c r="H25" s="62">
        <f t="shared" si="1"/>
        <v>4.9538147999999997E-2</v>
      </c>
      <c r="I25" s="12">
        <f t="shared" si="4"/>
        <v>49.538148</v>
      </c>
      <c r="J25" s="21"/>
      <c r="K25" s="6"/>
      <c r="L25" s="6"/>
      <c r="M25" s="6"/>
    </row>
    <row r="26" spans="1:13" ht="15.75" hidden="1" customHeight="1">
      <c r="A26" s="26">
        <v>6</v>
      </c>
      <c r="B26" s="32" t="s">
        <v>158</v>
      </c>
      <c r="C26" s="39" t="s">
        <v>152</v>
      </c>
      <c r="D26" s="32" t="s">
        <v>162</v>
      </c>
      <c r="E26" s="149">
        <v>4.4000000000000004</v>
      </c>
      <c r="F26" s="31">
        <f>E26*258</f>
        <v>1135.2</v>
      </c>
      <c r="G26" s="31">
        <v>10.81</v>
      </c>
      <c r="H26" s="62">
        <f t="shared" ref="H26" si="6">SUM(F26*G26/1000)</f>
        <v>12.271512000000001</v>
      </c>
      <c r="I26" s="12">
        <f>F26/12*G26</f>
        <v>1022.6260000000001</v>
      </c>
      <c r="J26" s="21"/>
      <c r="K26" s="6"/>
      <c r="L26" s="6"/>
      <c r="M26" s="6"/>
    </row>
    <row r="27" spans="1:13" ht="15.7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4"/>
      <c r="J27" s="21"/>
      <c r="K27" s="6"/>
      <c r="L27" s="6"/>
      <c r="M27" s="6"/>
    </row>
    <row r="28" spans="1:13" ht="15.75" customHeight="1">
      <c r="A28" s="33"/>
      <c r="B28" s="55" t="s">
        <v>130</v>
      </c>
      <c r="C28" s="151"/>
      <c r="D28" s="151"/>
      <c r="E28" s="151"/>
      <c r="F28" s="151"/>
      <c r="G28" s="151"/>
      <c r="H28" s="151"/>
      <c r="I28" s="151"/>
      <c r="J28" s="21"/>
      <c r="K28" s="6"/>
      <c r="L28" s="6"/>
      <c r="M28" s="6"/>
    </row>
    <row r="29" spans="1:13" ht="15.75" customHeight="1">
      <c r="A29" s="99">
        <v>6</v>
      </c>
      <c r="B29" s="32" t="s">
        <v>131</v>
      </c>
      <c r="C29" s="39" t="s">
        <v>89</v>
      </c>
      <c r="D29" s="32" t="s">
        <v>165</v>
      </c>
      <c r="E29" s="31">
        <v>210.2</v>
      </c>
      <c r="F29" s="31">
        <f>SUM(E29*24/1000)</f>
        <v>5.0447999999999995</v>
      </c>
      <c r="G29" s="31">
        <v>232.4</v>
      </c>
      <c r="H29" s="62">
        <f t="shared" ref="H29:H30" si="7">SUM(F29*G29/1000)</f>
        <v>1.1724115199999998</v>
      </c>
      <c r="I29" s="12">
        <f>F29/6*G29</f>
        <v>195.40191999999999</v>
      </c>
      <c r="J29" s="21"/>
      <c r="K29" s="6"/>
      <c r="L29" s="6"/>
      <c r="M29" s="6"/>
    </row>
    <row r="30" spans="1:13" ht="31.5" customHeight="1">
      <c r="A30" s="26">
        <v>7</v>
      </c>
      <c r="B30" s="32" t="s">
        <v>132</v>
      </c>
      <c r="C30" s="39" t="s">
        <v>89</v>
      </c>
      <c r="D30" s="32" t="s">
        <v>179</v>
      </c>
      <c r="E30" s="31">
        <v>92</v>
      </c>
      <c r="F30" s="31">
        <f>SUM(E30*72/1000)</f>
        <v>6.6239999999999997</v>
      </c>
      <c r="G30" s="31">
        <v>385.6</v>
      </c>
      <c r="H30" s="62">
        <f t="shared" si="7"/>
        <v>2.5542143999999998</v>
      </c>
      <c r="I30" s="12">
        <f t="shared" ref="I30" si="8">F30/6*G30</f>
        <v>425.70239999999995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89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59</v>
      </c>
      <c r="C32" s="59" t="s">
        <v>30</v>
      </c>
      <c r="D32" s="51" t="s">
        <v>60</v>
      </c>
      <c r="E32" s="60"/>
      <c r="F32" s="61">
        <v>1</v>
      </c>
      <c r="G32" s="61">
        <v>250.92</v>
      </c>
      <c r="H32" s="62">
        <f t="shared" si="9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4"/>
      <c r="B33" s="51" t="s">
        <v>100</v>
      </c>
      <c r="C33" s="59" t="s">
        <v>29</v>
      </c>
      <c r="D33" s="51" t="s">
        <v>60</v>
      </c>
      <c r="E33" s="60"/>
      <c r="F33" s="61">
        <v>1</v>
      </c>
      <c r="G33" s="61">
        <v>1490.31</v>
      </c>
      <c r="H33" s="62">
        <f t="shared" si="9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33"/>
      <c r="B34" s="55" t="s">
        <v>4</v>
      </c>
      <c r="C34" s="103"/>
      <c r="D34" s="103"/>
      <c r="E34" s="103"/>
      <c r="F34" s="103"/>
      <c r="G34" s="103"/>
      <c r="H34" s="103"/>
      <c r="I34" s="103"/>
      <c r="J34" s="21"/>
      <c r="K34" s="6"/>
      <c r="L34" s="6"/>
      <c r="M34" s="6"/>
    </row>
    <row r="35" spans="1:14" ht="15.75" hidden="1" customHeight="1">
      <c r="A35" s="99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10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138</v>
      </c>
      <c r="C36" s="59" t="s">
        <v>27</v>
      </c>
      <c r="D36" s="51" t="s">
        <v>101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102</v>
      </c>
      <c r="C37" s="59" t="s">
        <v>103</v>
      </c>
      <c r="D37" s="51" t="s">
        <v>60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1">F37/6*G37</f>
        <v>2072.1133333333332</v>
      </c>
      <c r="J37" s="21"/>
      <c r="K37" s="6"/>
    </row>
    <row r="38" spans="1:14" ht="15.75" hidden="1" customHeight="1">
      <c r="A38" s="26"/>
      <c r="B38" s="51" t="s">
        <v>61</v>
      </c>
      <c r="C38" s="59" t="s">
        <v>27</v>
      </c>
      <c r="D38" s="51" t="s">
        <v>104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10"/>
        <v>6.5598852000000001</v>
      </c>
      <c r="I38" s="12">
        <f t="shared" si="11"/>
        <v>1093.3141999999998</v>
      </c>
      <c r="J38" s="22"/>
    </row>
    <row r="39" spans="1:14" ht="48" hidden="1" customHeight="1">
      <c r="A39" s="26">
        <v>9</v>
      </c>
      <c r="B39" s="51" t="s">
        <v>73</v>
      </c>
      <c r="C39" s="59" t="s">
        <v>89</v>
      </c>
      <c r="D39" s="51" t="s">
        <v>139</v>
      </c>
      <c r="E39" s="61">
        <v>92</v>
      </c>
      <c r="F39" s="61">
        <f>SUM(E39*35/1000)</f>
        <v>3.22</v>
      </c>
      <c r="G39" s="61">
        <v>7611.16</v>
      </c>
      <c r="H39" s="62">
        <f t="shared" si="10"/>
        <v>24.507935199999999</v>
      </c>
      <c r="I39" s="12">
        <f t="shared" si="11"/>
        <v>4084.655866666667</v>
      </c>
      <c r="J39" s="22"/>
    </row>
    <row r="40" spans="1:14" ht="15.75" hidden="1" customHeight="1">
      <c r="A40" s="26">
        <v>10</v>
      </c>
      <c r="B40" s="51" t="s">
        <v>105</v>
      </c>
      <c r="C40" s="59" t="s">
        <v>89</v>
      </c>
      <c r="D40" s="51" t="s">
        <v>140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10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62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10"/>
        <v>0.79437600000000008</v>
      </c>
      <c r="I41" s="12">
        <f>F41/6*G41</f>
        <v>132.39600000000002</v>
      </c>
      <c r="J41" s="22"/>
    </row>
    <row r="42" spans="1:14" ht="15.75" customHeight="1">
      <c r="A42" s="195" t="s">
        <v>116</v>
      </c>
      <c r="B42" s="196"/>
      <c r="C42" s="196"/>
      <c r="D42" s="196"/>
      <c r="E42" s="196"/>
      <c r="F42" s="196"/>
      <c r="G42" s="196"/>
      <c r="H42" s="196"/>
      <c r="I42" s="197"/>
      <c r="J42" s="22"/>
      <c r="L42" s="18"/>
      <c r="M42" s="19"/>
      <c r="N42" s="20"/>
    </row>
    <row r="43" spans="1:14" ht="17.25" customHeight="1">
      <c r="A43" s="26">
        <v>8</v>
      </c>
      <c r="B43" s="32" t="s">
        <v>106</v>
      </c>
      <c r="C43" s="39" t="s">
        <v>89</v>
      </c>
      <c r="D43" s="32" t="s">
        <v>166</v>
      </c>
      <c r="E43" s="106">
        <v>1114.25</v>
      </c>
      <c r="F43" s="31">
        <f>SUM(E43*2/1000)</f>
        <v>2.2284999999999999</v>
      </c>
      <c r="G43" s="34">
        <v>1356.96</v>
      </c>
      <c r="H43" s="107">
        <f t="shared" ref="H43:H50" si="12">SUM(F43*G43/1000)</f>
        <v>3.0239853600000002</v>
      </c>
      <c r="I43" s="12">
        <f t="shared" ref="I43:I45" si="13">F43/2*G43</f>
        <v>1511.9926800000001</v>
      </c>
      <c r="J43" s="22"/>
      <c r="L43" s="18"/>
      <c r="M43" s="19"/>
      <c r="N43" s="20"/>
    </row>
    <row r="44" spans="1:14" ht="17.25" customHeight="1">
      <c r="A44" s="26">
        <v>9</v>
      </c>
      <c r="B44" s="32" t="s">
        <v>33</v>
      </c>
      <c r="C44" s="39" t="s">
        <v>89</v>
      </c>
      <c r="D44" s="32" t="s">
        <v>166</v>
      </c>
      <c r="E44" s="106">
        <v>2631</v>
      </c>
      <c r="F44" s="31">
        <f>SUM(E44*2/1000)</f>
        <v>5.2619999999999996</v>
      </c>
      <c r="G44" s="34">
        <v>863.92</v>
      </c>
      <c r="H44" s="107">
        <f t="shared" si="12"/>
        <v>4.5459470399999988</v>
      </c>
      <c r="I44" s="12">
        <f t="shared" si="13"/>
        <v>2272.9735199999996</v>
      </c>
      <c r="J44" s="22"/>
      <c r="L44" s="18"/>
      <c r="M44" s="19"/>
      <c r="N44" s="20"/>
    </row>
    <row r="45" spans="1:14" ht="16.5" customHeight="1">
      <c r="A45" s="26">
        <v>10</v>
      </c>
      <c r="B45" s="32" t="s">
        <v>34</v>
      </c>
      <c r="C45" s="39" t="s">
        <v>89</v>
      </c>
      <c r="D45" s="32" t="s">
        <v>166</v>
      </c>
      <c r="E45" s="106">
        <v>1953.8</v>
      </c>
      <c r="F45" s="31">
        <f>SUM(E45*2/1000)</f>
        <v>3.9076</v>
      </c>
      <c r="G45" s="34">
        <v>904.65</v>
      </c>
      <c r="H45" s="107">
        <f t="shared" si="12"/>
        <v>3.5350103399999999</v>
      </c>
      <c r="I45" s="12">
        <f t="shared" si="13"/>
        <v>1767.5051699999999</v>
      </c>
      <c r="J45" s="22"/>
      <c r="L45" s="18"/>
      <c r="M45" s="19"/>
      <c r="N45" s="20"/>
    </row>
    <row r="46" spans="1:14" ht="14.25" customHeight="1">
      <c r="A46" s="26">
        <v>11</v>
      </c>
      <c r="B46" s="32" t="s">
        <v>31</v>
      </c>
      <c r="C46" s="39" t="s">
        <v>32</v>
      </c>
      <c r="D46" s="32" t="s">
        <v>166</v>
      </c>
      <c r="E46" s="106">
        <v>91.84</v>
      </c>
      <c r="F46" s="31">
        <f>SUM(E46*2/100)</f>
        <v>1.8368</v>
      </c>
      <c r="G46" s="108">
        <v>108.55</v>
      </c>
      <c r="H46" s="107">
        <f t="shared" si="12"/>
        <v>0.19938464</v>
      </c>
      <c r="I46" s="12">
        <f>F46/2*G46</f>
        <v>99.692319999999995</v>
      </c>
      <c r="J46" s="22"/>
      <c r="L46" s="18"/>
      <c r="M46" s="19"/>
      <c r="N46" s="20"/>
    </row>
    <row r="47" spans="1:14" ht="15.75" customHeight="1">
      <c r="A47" s="26">
        <v>12</v>
      </c>
      <c r="B47" s="32" t="s">
        <v>53</v>
      </c>
      <c r="C47" s="39" t="s">
        <v>89</v>
      </c>
      <c r="D47" s="32" t="s">
        <v>170</v>
      </c>
      <c r="E47" s="106">
        <v>891.4</v>
      </c>
      <c r="F47" s="31">
        <f>SUM(E47*5/1000)</f>
        <v>4.4569999999999999</v>
      </c>
      <c r="G47" s="34">
        <v>1809.27</v>
      </c>
      <c r="H47" s="107">
        <f t="shared" si="12"/>
        <v>8.0639163899999993</v>
      </c>
      <c r="I47" s="12">
        <f>F47/5*G47</f>
        <v>1612.7832779999999</v>
      </c>
      <c r="J47" s="22"/>
      <c r="L47" s="18"/>
      <c r="M47" s="19"/>
      <c r="N47" s="20"/>
    </row>
    <row r="48" spans="1:14" ht="31.5" customHeight="1">
      <c r="A48" s="26">
        <v>13</v>
      </c>
      <c r="B48" s="32" t="s">
        <v>107</v>
      </c>
      <c r="C48" s="39" t="s">
        <v>89</v>
      </c>
      <c r="D48" s="32" t="s">
        <v>166</v>
      </c>
      <c r="E48" s="106">
        <v>891.4</v>
      </c>
      <c r="F48" s="31">
        <f>SUM(E48*2/1000)</f>
        <v>1.7827999999999999</v>
      </c>
      <c r="G48" s="34">
        <v>1809.57</v>
      </c>
      <c r="H48" s="107">
        <f t="shared" si="12"/>
        <v>3.2261013959999998</v>
      </c>
      <c r="I48" s="12">
        <f>F48/2*G48</f>
        <v>1613.0506979999998</v>
      </c>
      <c r="J48" s="22"/>
      <c r="L48" s="18"/>
      <c r="M48" s="19"/>
      <c r="N48" s="20"/>
    </row>
    <row r="49" spans="1:14" ht="31.5" customHeight="1">
      <c r="A49" s="26">
        <v>14</v>
      </c>
      <c r="B49" s="32" t="s">
        <v>108</v>
      </c>
      <c r="C49" s="39" t="s">
        <v>35</v>
      </c>
      <c r="D49" s="32" t="s">
        <v>166</v>
      </c>
      <c r="E49" s="106">
        <v>20</v>
      </c>
      <c r="F49" s="31">
        <f>SUM(E49*2/100)</f>
        <v>0.4</v>
      </c>
      <c r="G49" s="34">
        <v>4070.89</v>
      </c>
      <c r="H49" s="107">
        <f t="shared" si="12"/>
        <v>1.6283559999999999</v>
      </c>
      <c r="I49" s="12">
        <f t="shared" ref="I49:I50" si="14">F49/2*G49</f>
        <v>814.178</v>
      </c>
      <c r="J49" s="22"/>
      <c r="L49" s="18"/>
      <c r="M49" s="19"/>
      <c r="N49" s="20"/>
    </row>
    <row r="50" spans="1:14" ht="15.75" customHeight="1">
      <c r="A50" s="26">
        <v>15</v>
      </c>
      <c r="B50" s="32" t="s">
        <v>36</v>
      </c>
      <c r="C50" s="39" t="s">
        <v>37</v>
      </c>
      <c r="D50" s="32" t="s">
        <v>166</v>
      </c>
      <c r="E50" s="106">
        <v>1</v>
      </c>
      <c r="F50" s="31">
        <v>0.02</v>
      </c>
      <c r="G50" s="34">
        <v>8426.7199999999993</v>
      </c>
      <c r="H50" s="107">
        <f t="shared" si="12"/>
        <v>0.16853439999999997</v>
      </c>
      <c r="I50" s="12">
        <f t="shared" si="14"/>
        <v>84.267199999999988</v>
      </c>
      <c r="J50" s="22"/>
      <c r="L50" s="18"/>
      <c r="M50" s="19"/>
      <c r="N50" s="20"/>
    </row>
    <row r="51" spans="1:14" ht="15.75" hidden="1" customHeight="1">
      <c r="A51" s="26">
        <v>17</v>
      </c>
      <c r="B51" s="32" t="s">
        <v>109</v>
      </c>
      <c r="C51" s="39" t="s">
        <v>90</v>
      </c>
      <c r="D51" s="150">
        <v>44090</v>
      </c>
      <c r="E51" s="106">
        <v>70</v>
      </c>
      <c r="F51" s="31">
        <f>E51*3</f>
        <v>210</v>
      </c>
      <c r="G51" s="34">
        <v>290.39999999999998</v>
      </c>
      <c r="H51" s="107">
        <f t="shared" ref="H51:H52" si="15">SUM(F51*G51/1000)</f>
        <v>60.983999999999995</v>
      </c>
      <c r="I51" s="12">
        <f>E51*G51</f>
        <v>20328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38</v>
      </c>
      <c r="C52" s="39" t="s">
        <v>90</v>
      </c>
      <c r="D52" s="150">
        <v>44090</v>
      </c>
      <c r="E52" s="106">
        <v>140</v>
      </c>
      <c r="F52" s="31">
        <f>E52*3</f>
        <v>420</v>
      </c>
      <c r="G52" s="35">
        <v>90</v>
      </c>
      <c r="H52" s="107">
        <f t="shared" si="15"/>
        <v>37.799999999999997</v>
      </c>
      <c r="I52" s="12">
        <f>E52*G52</f>
        <v>12600</v>
      </c>
      <c r="J52" s="22"/>
      <c r="L52" s="18"/>
      <c r="M52" s="19"/>
      <c r="N52" s="20"/>
    </row>
    <row r="53" spans="1:14" ht="15.75" customHeight="1">
      <c r="A53" s="195" t="s">
        <v>117</v>
      </c>
      <c r="B53" s="214"/>
      <c r="C53" s="214"/>
      <c r="D53" s="214"/>
      <c r="E53" s="214"/>
      <c r="F53" s="214"/>
      <c r="G53" s="214"/>
      <c r="H53" s="214"/>
      <c r="I53" s="215"/>
      <c r="J53" s="22"/>
      <c r="L53" s="18"/>
      <c r="M53" s="19"/>
      <c r="N53" s="20"/>
    </row>
    <row r="54" spans="1:14" ht="15.75" customHeight="1">
      <c r="A54" s="26"/>
      <c r="B54" s="80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110</v>
      </c>
      <c r="C55" s="59" t="s">
        <v>79</v>
      </c>
      <c r="D55" s="51" t="s">
        <v>111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customHeight="1">
      <c r="A56" s="26">
        <v>16</v>
      </c>
      <c r="B56" s="70" t="s">
        <v>113</v>
      </c>
      <c r="C56" s="69" t="s">
        <v>114</v>
      </c>
      <c r="D56" s="13" t="s">
        <v>296</v>
      </c>
      <c r="E56" s="71"/>
      <c r="F56" s="72">
        <v>3</v>
      </c>
      <c r="G56" s="12">
        <v>1800</v>
      </c>
      <c r="H56" s="62">
        <f>SUM(F56*G56/1000)</f>
        <v>5.4</v>
      </c>
      <c r="I56" s="12">
        <f>G56*5</f>
        <v>9000</v>
      </c>
      <c r="J56" s="22"/>
      <c r="L56" s="18"/>
      <c r="M56" s="19"/>
      <c r="N56" s="20"/>
    </row>
    <row r="57" spans="1:14" ht="15.75" customHeight="1">
      <c r="A57" s="26"/>
      <c r="B57" s="81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>
        <v>17</v>
      </c>
      <c r="B59" s="53" t="s">
        <v>151</v>
      </c>
      <c r="C59" s="155" t="s">
        <v>152</v>
      </c>
      <c r="D59" s="53" t="s">
        <v>166</v>
      </c>
      <c r="E59" s="156">
        <v>48</v>
      </c>
      <c r="F59" s="157">
        <f>E59*12/1</f>
        <v>576</v>
      </c>
      <c r="G59" s="158">
        <v>1.4</v>
      </c>
      <c r="H59" s="73"/>
      <c r="I59" s="12">
        <f>G59*F59/12</f>
        <v>67.2</v>
      </c>
      <c r="J59" s="22"/>
      <c r="L59" s="18"/>
      <c r="M59" s="19"/>
      <c r="N59" s="20"/>
    </row>
    <row r="60" spans="1:14" ht="15.75" customHeight="1">
      <c r="A60" s="26"/>
      <c r="B60" s="81" t="s">
        <v>43</v>
      </c>
      <c r="C60" s="69"/>
      <c r="D60" s="70"/>
      <c r="E60" s="71"/>
      <c r="F60" s="74"/>
      <c r="G60" s="74"/>
      <c r="H60" s="72" t="s">
        <v>98</v>
      </c>
      <c r="I60" s="12"/>
      <c r="J60" s="22"/>
      <c r="L60" s="18"/>
      <c r="M60" s="19"/>
      <c r="N60" s="20"/>
    </row>
    <row r="61" spans="1:14" ht="16.5" hidden="1" customHeight="1">
      <c r="A61" s="26">
        <v>20</v>
      </c>
      <c r="B61" s="159" t="s">
        <v>44</v>
      </c>
      <c r="C61" s="37" t="s">
        <v>90</v>
      </c>
      <c r="D61" s="36" t="s">
        <v>166</v>
      </c>
      <c r="E61" s="16">
        <v>12</v>
      </c>
      <c r="F61" s="31">
        <f>E61</f>
        <v>12</v>
      </c>
      <c r="G61" s="34">
        <v>331.57</v>
      </c>
      <c r="H61" s="75">
        <f t="shared" ref="H61:H69" si="16">SUM(F61*G61/1000)</f>
        <v>3.9788399999999999</v>
      </c>
      <c r="I61" s="12">
        <f>G61*1</f>
        <v>331.57</v>
      </c>
      <c r="J61" s="22"/>
      <c r="L61" s="18"/>
      <c r="M61" s="19"/>
      <c r="N61" s="20"/>
    </row>
    <row r="62" spans="1:14" ht="18" customHeight="1">
      <c r="A62" s="26">
        <v>18</v>
      </c>
      <c r="B62" s="159" t="s">
        <v>45</v>
      </c>
      <c r="C62" s="37" t="s">
        <v>90</v>
      </c>
      <c r="D62" s="36" t="s">
        <v>166</v>
      </c>
      <c r="E62" s="16">
        <v>8</v>
      </c>
      <c r="F62" s="31">
        <f>E62</f>
        <v>8</v>
      </c>
      <c r="G62" s="34">
        <v>113.69</v>
      </c>
      <c r="H62" s="75">
        <f t="shared" si="16"/>
        <v>0.90952</v>
      </c>
      <c r="I62" s="12">
        <f>G62*1</f>
        <v>113.69</v>
      </c>
      <c r="J62" s="22"/>
      <c r="L62" s="18"/>
      <c r="M62" s="19"/>
      <c r="N62" s="20"/>
    </row>
    <row r="63" spans="1:14" ht="15" hidden="1" customHeight="1">
      <c r="A63" s="26">
        <v>24</v>
      </c>
      <c r="B63" s="159" t="s">
        <v>46</v>
      </c>
      <c r="C63" s="160" t="s">
        <v>91</v>
      </c>
      <c r="D63" s="36" t="s">
        <v>51</v>
      </c>
      <c r="E63" s="106">
        <v>12702</v>
      </c>
      <c r="F63" s="35">
        <f>SUM(E63/100)</f>
        <v>127.02</v>
      </c>
      <c r="G63" s="34">
        <v>316.3</v>
      </c>
      <c r="H63" s="75">
        <f t="shared" si="16"/>
        <v>40.176425999999999</v>
      </c>
      <c r="I63" s="12">
        <f t="shared" ref="I63:I67" si="17">G63*2</f>
        <v>632.6</v>
      </c>
      <c r="J63" s="22"/>
      <c r="L63" s="18"/>
      <c r="M63" s="19"/>
      <c r="N63" s="20"/>
    </row>
    <row r="64" spans="1:14" ht="19.5" hidden="1" customHeight="1">
      <c r="A64" s="26">
        <v>25</v>
      </c>
      <c r="B64" s="159" t="s">
        <v>47</v>
      </c>
      <c r="C64" s="37" t="s">
        <v>92</v>
      </c>
      <c r="D64" s="36"/>
      <c r="E64" s="106">
        <v>12702</v>
      </c>
      <c r="F64" s="34">
        <f>SUM(E64/1000)</f>
        <v>12.702</v>
      </c>
      <c r="G64" s="34">
        <v>246.31</v>
      </c>
      <c r="H64" s="75">
        <f t="shared" si="16"/>
        <v>3.1286296200000003</v>
      </c>
      <c r="I64" s="12">
        <f t="shared" si="17"/>
        <v>492.62</v>
      </c>
      <c r="J64" s="22"/>
      <c r="L64" s="18"/>
      <c r="M64" s="19"/>
      <c r="N64" s="20"/>
    </row>
    <row r="65" spans="1:14" ht="16.5" hidden="1" customHeight="1">
      <c r="A65" s="26">
        <v>26</v>
      </c>
      <c r="B65" s="159" t="s">
        <v>48</v>
      </c>
      <c r="C65" s="37" t="s">
        <v>69</v>
      </c>
      <c r="D65" s="36" t="s">
        <v>51</v>
      </c>
      <c r="E65" s="106">
        <v>2200</v>
      </c>
      <c r="F65" s="34">
        <f>SUM(E65/100)</f>
        <v>22</v>
      </c>
      <c r="G65" s="34">
        <v>3093.06</v>
      </c>
      <c r="H65" s="75">
        <f t="shared" si="16"/>
        <v>68.047319999999999</v>
      </c>
      <c r="I65" s="12">
        <f t="shared" si="17"/>
        <v>6186.12</v>
      </c>
      <c r="J65" s="22"/>
      <c r="L65" s="18"/>
      <c r="M65" s="19"/>
      <c r="N65" s="20"/>
    </row>
    <row r="66" spans="1:14" ht="18" hidden="1" customHeight="1">
      <c r="A66" s="26">
        <v>27</v>
      </c>
      <c r="B66" s="161" t="s">
        <v>93</v>
      </c>
      <c r="C66" s="37" t="s">
        <v>30</v>
      </c>
      <c r="D66" s="36"/>
      <c r="E66" s="106">
        <v>9.6</v>
      </c>
      <c r="F66" s="34">
        <f>SUM(E66)</f>
        <v>9.6</v>
      </c>
      <c r="G66" s="34">
        <v>49.36</v>
      </c>
      <c r="H66" s="75">
        <f t="shared" si="16"/>
        <v>0.473856</v>
      </c>
      <c r="I66" s="12">
        <f t="shared" si="17"/>
        <v>98.72</v>
      </c>
      <c r="J66" s="22"/>
      <c r="L66" s="18"/>
      <c r="M66" s="19"/>
      <c r="N66" s="20"/>
    </row>
    <row r="67" spans="1:14" ht="16.5" hidden="1" customHeight="1">
      <c r="A67" s="26">
        <v>28</v>
      </c>
      <c r="B67" s="161" t="s">
        <v>94</v>
      </c>
      <c r="C67" s="37" t="s">
        <v>30</v>
      </c>
      <c r="D67" s="36"/>
      <c r="E67" s="106">
        <v>9.6</v>
      </c>
      <c r="F67" s="34">
        <f>SUM(E67)</f>
        <v>9.6</v>
      </c>
      <c r="G67" s="34">
        <v>56.66</v>
      </c>
      <c r="H67" s="75">
        <f t="shared" si="16"/>
        <v>0.54393599999999998</v>
      </c>
      <c r="I67" s="12">
        <f t="shared" si="17"/>
        <v>113.32</v>
      </c>
      <c r="J67" s="22"/>
      <c r="L67" s="18"/>
      <c r="M67" s="19"/>
      <c r="N67" s="20"/>
    </row>
    <row r="68" spans="1:14" ht="15.75" customHeight="1">
      <c r="A68" s="26">
        <v>19</v>
      </c>
      <c r="B68" s="36" t="s">
        <v>54</v>
      </c>
      <c r="C68" s="37" t="s">
        <v>55</v>
      </c>
      <c r="D68" s="36" t="s">
        <v>166</v>
      </c>
      <c r="E68" s="16">
        <v>4</v>
      </c>
      <c r="F68" s="34">
        <f>SUM(E68)</f>
        <v>4</v>
      </c>
      <c r="G68" s="34">
        <v>74.37</v>
      </c>
      <c r="H68" s="75">
        <f t="shared" si="16"/>
        <v>0.29748000000000002</v>
      </c>
      <c r="I68" s="12">
        <f>G68*4</f>
        <v>297.48</v>
      </c>
      <c r="J68" s="22"/>
      <c r="L68" s="18"/>
      <c r="M68" s="19"/>
      <c r="N68" s="20"/>
    </row>
    <row r="69" spans="1:14" ht="35.25" customHeight="1">
      <c r="A69" s="26">
        <v>20</v>
      </c>
      <c r="B69" s="36" t="s">
        <v>141</v>
      </c>
      <c r="C69" s="135" t="s">
        <v>142</v>
      </c>
      <c r="D69" s="36"/>
      <c r="E69" s="16">
        <v>3181</v>
      </c>
      <c r="F69" s="31">
        <f>SUM(E69)*12</f>
        <v>38172</v>
      </c>
      <c r="G69" s="34">
        <v>2.6</v>
      </c>
      <c r="H69" s="75">
        <f t="shared" si="16"/>
        <v>99.247199999999992</v>
      </c>
      <c r="I69" s="12">
        <f>F69/12*G69</f>
        <v>8270.6</v>
      </c>
      <c r="J69" s="22"/>
      <c r="L69" s="18"/>
      <c r="M69" s="19"/>
      <c r="N69" s="20"/>
    </row>
    <row r="70" spans="1:14" ht="19.5" customHeight="1">
      <c r="A70" s="26"/>
      <c r="B70" s="55" t="s">
        <v>64</v>
      </c>
      <c r="C70" s="15"/>
      <c r="D70" s="13"/>
      <c r="E70" s="17"/>
      <c r="F70" s="12"/>
      <c r="G70" s="12"/>
      <c r="H70" s="75" t="s">
        <v>98</v>
      </c>
      <c r="I70" s="12"/>
      <c r="J70" s="22"/>
      <c r="L70" s="18"/>
      <c r="M70" s="19"/>
      <c r="N70" s="20"/>
    </row>
    <row r="71" spans="1:14" ht="19.5" hidden="1" customHeight="1">
      <c r="A71" s="26">
        <v>18</v>
      </c>
      <c r="B71" s="13" t="s">
        <v>143</v>
      </c>
      <c r="C71" s="15" t="s">
        <v>28</v>
      </c>
      <c r="D71" s="13" t="s">
        <v>60</v>
      </c>
      <c r="E71" s="17">
        <v>1</v>
      </c>
      <c r="F71" s="61">
        <f t="shared" ref="F71" si="18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8.75" hidden="1" customHeight="1">
      <c r="A72" s="26"/>
      <c r="B72" s="50" t="s">
        <v>144</v>
      </c>
      <c r="C72" s="54" t="s">
        <v>90</v>
      </c>
      <c r="D72" s="13" t="s">
        <v>60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v>0</v>
      </c>
      <c r="J72" s="22"/>
      <c r="L72" s="18"/>
      <c r="M72" s="19"/>
      <c r="N72" s="20"/>
    </row>
    <row r="73" spans="1:14" ht="21" hidden="1" customHeight="1">
      <c r="A73" s="26"/>
      <c r="B73" s="13" t="s">
        <v>65</v>
      </c>
      <c r="C73" s="15" t="s">
        <v>67</v>
      </c>
      <c r="D73" s="13" t="s">
        <v>60</v>
      </c>
      <c r="E73" s="17">
        <v>3</v>
      </c>
      <c r="F73" s="61">
        <f>E73/10</f>
        <v>0.3</v>
      </c>
      <c r="G73" s="12">
        <v>657.87</v>
      </c>
      <c r="H73" s="75">
        <f t="shared" ref="H73:H76" si="19">SUM(F73*G73/1000)</f>
        <v>0.19736099999999998</v>
      </c>
      <c r="I73" s="12">
        <v>0</v>
      </c>
      <c r="J73" s="22"/>
      <c r="L73" s="18"/>
      <c r="M73" s="19"/>
      <c r="N73" s="20"/>
    </row>
    <row r="74" spans="1:14" ht="18" hidden="1" customHeight="1">
      <c r="A74" s="26"/>
      <c r="B74" s="13" t="s">
        <v>66</v>
      </c>
      <c r="C74" s="15" t="s">
        <v>28</v>
      </c>
      <c r="D74" s="13" t="s">
        <v>60</v>
      </c>
      <c r="E74" s="17">
        <v>1</v>
      </c>
      <c r="F74" s="61">
        <f>E74</f>
        <v>1</v>
      </c>
      <c r="G74" s="12">
        <v>1118.72</v>
      </c>
      <c r="H74" s="75">
        <f t="shared" si="19"/>
        <v>1.1187199999999999</v>
      </c>
      <c r="I74" s="12">
        <v>0</v>
      </c>
      <c r="J74" s="22"/>
      <c r="L74" s="18"/>
      <c r="M74" s="19"/>
      <c r="N74" s="20"/>
    </row>
    <row r="75" spans="1:14" ht="16.5" hidden="1" customHeight="1">
      <c r="A75" s="26"/>
      <c r="B75" s="50" t="s">
        <v>145</v>
      </c>
      <c r="C75" s="54" t="s">
        <v>90</v>
      </c>
      <c r="D75" s="13" t="s">
        <v>60</v>
      </c>
      <c r="E75" s="17">
        <v>1</v>
      </c>
      <c r="F75" s="61">
        <f>E75</f>
        <v>1</v>
      </c>
      <c r="G75" s="12">
        <v>1605.83</v>
      </c>
      <c r="H75" s="75">
        <f t="shared" si="19"/>
        <v>1.6058299999999999</v>
      </c>
      <c r="I75" s="12">
        <v>0</v>
      </c>
      <c r="J75" s="22"/>
      <c r="L75" s="18"/>
      <c r="M75" s="19"/>
      <c r="N75" s="20"/>
    </row>
    <row r="76" spans="1:14" ht="29.25" customHeight="1">
      <c r="A76" s="26">
        <v>21</v>
      </c>
      <c r="B76" s="121" t="s">
        <v>146</v>
      </c>
      <c r="C76" s="122" t="s">
        <v>90</v>
      </c>
      <c r="D76" s="36" t="s">
        <v>166</v>
      </c>
      <c r="E76" s="16">
        <v>2</v>
      </c>
      <c r="F76" s="31">
        <f>E76*12</f>
        <v>24</v>
      </c>
      <c r="G76" s="34">
        <v>425</v>
      </c>
      <c r="H76" s="75">
        <f t="shared" si="19"/>
        <v>10.199999999999999</v>
      </c>
      <c r="I76" s="12">
        <f>G76*2</f>
        <v>850</v>
      </c>
      <c r="J76" s="22"/>
      <c r="L76" s="18"/>
      <c r="M76" s="19"/>
      <c r="N76" s="20"/>
    </row>
    <row r="77" spans="1:14" ht="15.75" hidden="1" customHeight="1">
      <c r="A77" s="26"/>
      <c r="B77" s="77" t="s">
        <v>68</v>
      </c>
      <c r="C77" s="15"/>
      <c r="D77" s="13"/>
      <c r="E77" s="17"/>
      <c r="F77" s="12"/>
      <c r="G77" s="12" t="s">
        <v>98</v>
      </c>
      <c r="H77" s="75" t="s">
        <v>98</v>
      </c>
      <c r="I77" s="12"/>
      <c r="J77" s="22"/>
      <c r="L77" s="18"/>
      <c r="M77" s="19"/>
      <c r="N77" s="20"/>
    </row>
    <row r="78" spans="1:14" ht="20.25" hidden="1" customHeight="1">
      <c r="A78" s="26"/>
      <c r="B78" s="45" t="s">
        <v>97</v>
      </c>
      <c r="C78" s="15" t="s">
        <v>69</v>
      </c>
      <c r="D78" s="13"/>
      <c r="E78" s="17"/>
      <c r="F78" s="12">
        <v>1</v>
      </c>
      <c r="G78" s="12">
        <v>3370.89</v>
      </c>
      <c r="H78" s="75">
        <f t="shared" ref="H78" si="20">SUM(F78*G78/1000)</f>
        <v>3.3708899999999997</v>
      </c>
      <c r="I78" s="12">
        <v>0</v>
      </c>
      <c r="J78" s="22"/>
      <c r="L78" s="18"/>
      <c r="M78" s="19"/>
      <c r="N78" s="20"/>
    </row>
    <row r="79" spans="1:14" ht="15" hidden="1" customHeight="1">
      <c r="A79" s="26"/>
      <c r="B79" s="55" t="s">
        <v>95</v>
      </c>
      <c r="C79" s="77"/>
      <c r="D79" s="27"/>
      <c r="E79" s="30"/>
      <c r="F79" s="66"/>
      <c r="G79" s="66"/>
      <c r="H79" s="78">
        <f>SUM(H55:H78)</f>
        <v>265.85467757999999</v>
      </c>
      <c r="I79" s="66"/>
      <c r="J79" s="22"/>
      <c r="L79" s="18"/>
      <c r="M79" s="19"/>
      <c r="N79" s="20"/>
    </row>
    <row r="80" spans="1:14" ht="15" hidden="1" customHeight="1">
      <c r="A80" s="104">
        <v>22</v>
      </c>
      <c r="B80" s="53" t="s">
        <v>96</v>
      </c>
      <c r="C80" s="109"/>
      <c r="D80" s="110"/>
      <c r="E80" s="110"/>
      <c r="F80" s="111">
        <v>1</v>
      </c>
      <c r="G80" s="111">
        <v>24665.200000000001</v>
      </c>
      <c r="H80" s="112">
        <f>G80*F80/1000</f>
        <v>24.665200000000002</v>
      </c>
      <c r="I80" s="79">
        <f>G80</f>
        <v>24665.200000000001</v>
      </c>
      <c r="J80" s="22"/>
      <c r="L80" s="18"/>
      <c r="M80" s="19"/>
      <c r="N80" s="20"/>
    </row>
    <row r="81" spans="1:14" ht="14.25" hidden="1" customHeight="1">
      <c r="A81" s="49"/>
      <c r="B81" s="113" t="s">
        <v>147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4">
        <v>0</v>
      </c>
      <c r="J81" s="22"/>
      <c r="L81" s="18"/>
      <c r="M81" s="19"/>
      <c r="N81" s="20"/>
    </row>
    <row r="82" spans="1:14" ht="15.75" customHeight="1">
      <c r="A82" s="192" t="s">
        <v>118</v>
      </c>
      <c r="B82" s="216"/>
      <c r="C82" s="216"/>
      <c r="D82" s="216"/>
      <c r="E82" s="216"/>
      <c r="F82" s="216"/>
      <c r="G82" s="216"/>
      <c r="H82" s="216"/>
      <c r="I82" s="217"/>
      <c r="J82" s="22"/>
      <c r="L82" s="18"/>
      <c r="M82" s="19"/>
      <c r="N82" s="20"/>
    </row>
    <row r="83" spans="1:14" ht="15.75" customHeight="1">
      <c r="A83" s="99">
        <v>22</v>
      </c>
      <c r="B83" s="32" t="s">
        <v>112</v>
      </c>
      <c r="C83" s="37" t="s">
        <v>52</v>
      </c>
      <c r="D83" s="162"/>
      <c r="E83" s="34">
        <v>3181</v>
      </c>
      <c r="F83" s="34">
        <f>SUM(E83*12)</f>
        <v>38172</v>
      </c>
      <c r="G83" s="34">
        <v>3.5</v>
      </c>
      <c r="H83" s="105">
        <f>SUM(F83*G83/1000)</f>
        <v>133.602</v>
      </c>
      <c r="I83" s="100">
        <f>F83/12*G83</f>
        <v>11133.5</v>
      </c>
      <c r="J83" s="22"/>
      <c r="L83" s="18"/>
      <c r="M83" s="19"/>
      <c r="N83" s="20"/>
    </row>
    <row r="84" spans="1:14" ht="31.5" customHeight="1">
      <c r="A84" s="26">
        <v>23</v>
      </c>
      <c r="B84" s="36" t="s">
        <v>181</v>
      </c>
      <c r="C84" s="37" t="s">
        <v>152</v>
      </c>
      <c r="D84" s="163"/>
      <c r="E84" s="106">
        <f>E83</f>
        <v>3181</v>
      </c>
      <c r="F84" s="34">
        <f>E84*12</f>
        <v>38172</v>
      </c>
      <c r="G84" s="34">
        <v>3.2</v>
      </c>
      <c r="H84" s="75">
        <f>F84*G84/1000</f>
        <v>122.1504</v>
      </c>
      <c r="I84" s="12">
        <f>F84/12*G84</f>
        <v>10179.200000000001</v>
      </c>
      <c r="J84" s="22"/>
      <c r="L84" s="18"/>
      <c r="M84" s="19"/>
      <c r="N84" s="20"/>
    </row>
    <row r="85" spans="1:14" ht="31.5" hidden="1" customHeight="1">
      <c r="A85" s="49">
        <v>26</v>
      </c>
      <c r="B85" s="36" t="s">
        <v>182</v>
      </c>
      <c r="C85" s="37" t="s">
        <v>152</v>
      </c>
      <c r="D85" s="163"/>
      <c r="E85" s="164">
        <v>3181</v>
      </c>
      <c r="F85" s="34">
        <f>E85*1</f>
        <v>3181</v>
      </c>
      <c r="G85" s="34">
        <v>3.2</v>
      </c>
      <c r="H85" s="75"/>
      <c r="I85" s="12">
        <f>G85*F85/1</f>
        <v>10179.200000000001</v>
      </c>
      <c r="J85" s="22"/>
      <c r="L85" s="18"/>
      <c r="M85" s="19"/>
      <c r="N85" s="20"/>
    </row>
    <row r="86" spans="1:14" ht="15.75" customHeight="1">
      <c r="A86" s="49"/>
      <c r="B86" s="38" t="s">
        <v>71</v>
      </c>
      <c r="C86" s="15"/>
      <c r="D86" s="45"/>
      <c r="E86" s="12"/>
      <c r="F86" s="12"/>
      <c r="G86" s="12"/>
      <c r="H86" s="75">
        <f>H84</f>
        <v>122.1504</v>
      </c>
      <c r="I86" s="66">
        <f>I84+I83+I76+I69+I68+I62+I59+I56+I50+I49+I48+I47+I46+I45+I44+I43+I30+I29+I21+I20+I18+I17+I16</f>
        <v>62323.308025999999</v>
      </c>
      <c r="J86" s="22"/>
      <c r="L86" s="18"/>
      <c r="M86" s="19"/>
      <c r="N86" s="20"/>
    </row>
    <row r="87" spans="1:14" ht="15.75" customHeight="1">
      <c r="A87" s="202" t="s">
        <v>56</v>
      </c>
      <c r="B87" s="203"/>
      <c r="C87" s="203"/>
      <c r="D87" s="203"/>
      <c r="E87" s="203"/>
      <c r="F87" s="203"/>
      <c r="G87" s="203"/>
      <c r="H87" s="203"/>
      <c r="I87" s="204"/>
      <c r="J87" s="22"/>
      <c r="L87" s="18"/>
      <c r="M87" s="19"/>
      <c r="N87" s="20"/>
    </row>
    <row r="88" spans="1:14" ht="15.75" customHeight="1">
      <c r="A88" s="49">
        <v>24</v>
      </c>
      <c r="B88" s="121" t="s">
        <v>290</v>
      </c>
      <c r="C88" s="122" t="s">
        <v>90</v>
      </c>
      <c r="D88" s="163" t="s">
        <v>291</v>
      </c>
      <c r="E88" s="34"/>
      <c r="F88" s="34">
        <v>1</v>
      </c>
      <c r="G88" s="34">
        <v>498.43</v>
      </c>
      <c r="H88" s="180"/>
      <c r="I88" s="181">
        <f>G88</f>
        <v>498.43</v>
      </c>
      <c r="J88" s="22"/>
      <c r="L88" s="18"/>
      <c r="M88" s="19"/>
      <c r="N88" s="20"/>
    </row>
    <row r="89" spans="1:14" ht="30" customHeight="1">
      <c r="A89" s="49">
        <v>25</v>
      </c>
      <c r="B89" s="173" t="s">
        <v>292</v>
      </c>
      <c r="C89" s="26" t="s">
        <v>156</v>
      </c>
      <c r="D89" s="36" t="s">
        <v>293</v>
      </c>
      <c r="E89" s="34"/>
      <c r="F89" s="34">
        <v>3</v>
      </c>
      <c r="G89" s="34">
        <v>1584.54</v>
      </c>
      <c r="H89" s="180"/>
      <c r="I89" s="182">
        <f>G89*3</f>
        <v>4753.62</v>
      </c>
      <c r="J89" s="22"/>
      <c r="L89" s="18"/>
      <c r="M89" s="19"/>
      <c r="N89" s="20"/>
    </row>
    <row r="90" spans="1:14" ht="18" customHeight="1">
      <c r="A90" s="49">
        <v>26</v>
      </c>
      <c r="B90" s="177" t="s">
        <v>234</v>
      </c>
      <c r="C90" s="135" t="s">
        <v>81</v>
      </c>
      <c r="D90" s="163" t="s">
        <v>295</v>
      </c>
      <c r="E90" s="34"/>
      <c r="F90" s="34">
        <v>0.08</v>
      </c>
      <c r="G90" s="34">
        <v>36554.97</v>
      </c>
      <c r="H90" s="180"/>
      <c r="I90" s="182">
        <f>G90*0.01</f>
        <v>365.54970000000003</v>
      </c>
      <c r="J90" s="22"/>
      <c r="L90" s="18"/>
      <c r="M90" s="19"/>
      <c r="N90" s="20"/>
    </row>
    <row r="91" spans="1:14" ht="18" customHeight="1">
      <c r="A91" s="49">
        <v>27</v>
      </c>
      <c r="B91" s="174" t="s">
        <v>294</v>
      </c>
      <c r="C91" s="122" t="s">
        <v>212</v>
      </c>
      <c r="D91" s="163" t="s">
        <v>295</v>
      </c>
      <c r="E91" s="34"/>
      <c r="F91" s="34">
        <v>0.1</v>
      </c>
      <c r="G91" s="34">
        <v>6841.18</v>
      </c>
      <c r="H91" s="180"/>
      <c r="I91" s="182">
        <f>G91*0.1</f>
        <v>684.11800000000005</v>
      </c>
      <c r="J91" s="22"/>
      <c r="L91" s="18"/>
      <c r="M91" s="19"/>
      <c r="N91" s="20"/>
    </row>
    <row r="92" spans="1:14" ht="15.75" customHeight="1">
      <c r="A92" s="26"/>
      <c r="B92" s="27" t="s">
        <v>49</v>
      </c>
      <c r="C92" s="40"/>
      <c r="D92" s="46"/>
      <c r="E92" s="40">
        <v>1</v>
      </c>
      <c r="F92" s="40"/>
      <c r="G92" s="40"/>
      <c r="H92" s="40"/>
      <c r="I92" s="30">
        <f>SUM(I88:I91)</f>
        <v>6301.7177000000011</v>
      </c>
      <c r="J92" s="22"/>
      <c r="L92" s="18"/>
      <c r="M92" s="19"/>
      <c r="N92" s="20"/>
    </row>
    <row r="93" spans="1:14" ht="15.75" customHeight="1">
      <c r="A93" s="26"/>
      <c r="B93" s="45" t="s">
        <v>70</v>
      </c>
      <c r="C93" s="14"/>
      <c r="D93" s="14"/>
      <c r="E93" s="41"/>
      <c r="F93" s="41"/>
      <c r="G93" s="42"/>
      <c r="H93" s="42"/>
      <c r="I93" s="16">
        <v>0</v>
      </c>
      <c r="J93" s="22"/>
      <c r="L93" s="18"/>
      <c r="M93" s="19"/>
      <c r="N93" s="20"/>
    </row>
    <row r="94" spans="1:14" ht="15.75" customHeight="1">
      <c r="A94" s="47"/>
      <c r="B94" s="44" t="s">
        <v>137</v>
      </c>
      <c r="C94" s="33"/>
      <c r="D94" s="33"/>
      <c r="E94" s="33"/>
      <c r="F94" s="33"/>
      <c r="G94" s="33"/>
      <c r="H94" s="33"/>
      <c r="I94" s="43">
        <f>I86+I92</f>
        <v>68625.025725999993</v>
      </c>
      <c r="J94" s="22"/>
      <c r="L94" s="18"/>
      <c r="M94" s="19"/>
      <c r="N94" s="20"/>
    </row>
    <row r="95" spans="1:14" ht="15.75" customHeight="1">
      <c r="A95" s="191" t="s">
        <v>297</v>
      </c>
      <c r="B95" s="191"/>
      <c r="C95" s="191"/>
      <c r="D95" s="191"/>
      <c r="E95" s="191"/>
      <c r="F95" s="191"/>
      <c r="G95" s="191"/>
      <c r="H95" s="191"/>
      <c r="I95" s="191"/>
      <c r="J95" s="22"/>
      <c r="L95" s="18"/>
      <c r="M95" s="19"/>
      <c r="N95" s="20"/>
    </row>
    <row r="96" spans="1:14" ht="15.75" customHeight="1">
      <c r="A96" s="8"/>
      <c r="B96" s="205" t="s">
        <v>298</v>
      </c>
      <c r="C96" s="205"/>
      <c r="D96" s="205"/>
      <c r="E96" s="205"/>
      <c r="F96" s="205"/>
      <c r="G96" s="205"/>
      <c r="H96" s="82"/>
      <c r="I96" s="3"/>
      <c r="J96" s="22"/>
      <c r="L96" s="18"/>
      <c r="M96" s="19"/>
      <c r="N96" s="20"/>
    </row>
    <row r="97" spans="1:22" ht="15.75" customHeight="1">
      <c r="A97" s="84"/>
      <c r="B97" s="206" t="s">
        <v>5</v>
      </c>
      <c r="C97" s="206"/>
      <c r="D97" s="206"/>
      <c r="E97" s="206"/>
      <c r="F97" s="206"/>
      <c r="G97" s="206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207" t="s">
        <v>6</v>
      </c>
      <c r="B99" s="207"/>
      <c r="C99" s="207"/>
      <c r="D99" s="207"/>
      <c r="E99" s="207"/>
      <c r="F99" s="207"/>
      <c r="G99" s="207"/>
      <c r="H99" s="207"/>
      <c r="I99" s="207"/>
      <c r="J99" s="22"/>
      <c r="K99" s="22"/>
      <c r="L99" s="22"/>
    </row>
    <row r="100" spans="1:22" ht="15.75" customHeight="1">
      <c r="A100" s="207" t="s">
        <v>7</v>
      </c>
      <c r="B100" s="207"/>
      <c r="C100" s="207"/>
      <c r="D100" s="207"/>
      <c r="E100" s="207"/>
      <c r="F100" s="207"/>
      <c r="G100" s="207"/>
      <c r="H100" s="207"/>
      <c r="I100" s="207"/>
      <c r="J100" s="22"/>
      <c r="K100" s="22"/>
      <c r="L100" s="22"/>
    </row>
    <row r="101" spans="1:22" ht="15.75" customHeight="1">
      <c r="A101" s="191" t="s">
        <v>8</v>
      </c>
      <c r="B101" s="191"/>
      <c r="C101" s="191"/>
      <c r="D101" s="191"/>
      <c r="E101" s="191"/>
      <c r="F101" s="191"/>
      <c r="G101" s="191"/>
      <c r="H101" s="191"/>
      <c r="I101" s="191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209" t="s">
        <v>9</v>
      </c>
      <c r="B103" s="209"/>
      <c r="C103" s="209"/>
      <c r="D103" s="209"/>
      <c r="E103" s="209"/>
      <c r="F103" s="209"/>
      <c r="G103" s="209"/>
      <c r="H103" s="209"/>
      <c r="I103" s="209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91" t="s">
        <v>10</v>
      </c>
      <c r="B105" s="191"/>
      <c r="C105" s="210" t="s">
        <v>187</v>
      </c>
      <c r="D105" s="210"/>
      <c r="E105" s="210"/>
      <c r="F105" s="57"/>
      <c r="I105" s="87"/>
      <c r="J105" s="5"/>
      <c r="K105" s="5"/>
      <c r="L105" s="5"/>
      <c r="M105" s="5"/>
      <c r="N105" s="5"/>
      <c r="O105" s="5"/>
      <c r="P105" s="5"/>
      <c r="Q105" s="5"/>
      <c r="R105" s="211"/>
      <c r="S105" s="211"/>
      <c r="T105" s="211"/>
      <c r="U105" s="211"/>
    </row>
    <row r="106" spans="1:22" ht="15.75" customHeight="1">
      <c r="A106" s="84"/>
      <c r="C106" s="206" t="s">
        <v>11</v>
      </c>
      <c r="D106" s="206"/>
      <c r="E106" s="206"/>
      <c r="F106" s="23"/>
      <c r="I106" s="85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91" t="s">
        <v>13</v>
      </c>
      <c r="B108" s="191"/>
      <c r="C108" s="212"/>
      <c r="D108" s="212"/>
      <c r="E108" s="212"/>
      <c r="F108" s="58"/>
      <c r="I108" s="87"/>
    </row>
    <row r="109" spans="1:22" ht="15.75" customHeight="1">
      <c r="A109" s="84"/>
      <c r="C109" s="211" t="s">
        <v>11</v>
      </c>
      <c r="D109" s="211"/>
      <c r="E109" s="211"/>
      <c r="F109" s="84"/>
      <c r="I109" s="85" t="s">
        <v>12</v>
      </c>
    </row>
    <row r="110" spans="1:22" ht="15.75" customHeight="1">
      <c r="A110" s="4" t="s">
        <v>14</v>
      </c>
    </row>
    <row r="111" spans="1:22" ht="15" customHeight="1">
      <c r="A111" s="213" t="s">
        <v>15</v>
      </c>
      <c r="B111" s="213"/>
      <c r="C111" s="213"/>
      <c r="D111" s="213"/>
      <c r="E111" s="213"/>
      <c r="F111" s="213"/>
      <c r="G111" s="213"/>
      <c r="H111" s="213"/>
      <c r="I111" s="213"/>
    </row>
    <row r="112" spans="1:22" ht="45" customHeight="1">
      <c r="A112" s="208" t="s">
        <v>16</v>
      </c>
      <c r="B112" s="208"/>
      <c r="C112" s="208"/>
      <c r="D112" s="208"/>
      <c r="E112" s="208"/>
      <c r="F112" s="208"/>
      <c r="G112" s="208"/>
      <c r="H112" s="208"/>
      <c r="I112" s="208"/>
    </row>
    <row r="113" spans="1:9" ht="30" customHeight="1">
      <c r="A113" s="208" t="s">
        <v>17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30" customHeight="1">
      <c r="A114" s="208" t="s">
        <v>21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15" customHeight="1">
      <c r="A115" s="208" t="s">
        <v>20</v>
      </c>
      <c r="B115" s="208"/>
      <c r="C115" s="208"/>
      <c r="D115" s="208"/>
      <c r="E115" s="208"/>
      <c r="F115" s="208"/>
      <c r="G115" s="208"/>
      <c r="H115" s="208"/>
      <c r="I115" s="208"/>
    </row>
  </sheetData>
  <autoFilter ref="I12:I101"/>
  <mergeCells count="31"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7:I27"/>
    <mergeCell ref="A42:I42"/>
    <mergeCell ref="A53:I53"/>
    <mergeCell ref="A82:I82"/>
    <mergeCell ref="A87:I87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2021-02-16T10:56:43Z</cp:lastPrinted>
  <dcterms:created xsi:type="dcterms:W3CDTF">2016-03-25T08:33:47Z</dcterms:created>
  <dcterms:modified xsi:type="dcterms:W3CDTF">2022-01-17T07:08:50Z</dcterms:modified>
</cp:coreProperties>
</file>