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2"/>
  </bookViews>
  <sheets>
    <sheet name="01.17" sheetId="17" r:id="rId1"/>
    <sheet name="02.17" sheetId="18" r:id="rId2"/>
    <sheet name="03.17" sheetId="19" r:id="rId3"/>
    <sheet name="04.17" sheetId="20" r:id="rId4"/>
    <sheet name="05.17" sheetId="21" r:id="rId5"/>
    <sheet name="06.17" sheetId="22" r:id="rId6"/>
    <sheet name="07.17" sheetId="23" r:id="rId7"/>
    <sheet name="08.17" sheetId="24" r:id="rId8"/>
    <sheet name="09.17" sheetId="25" r:id="rId9"/>
    <sheet name="10.17" sheetId="26" r:id="rId10"/>
    <sheet name="10а.17" sheetId="27" r:id="rId11"/>
    <sheet name="11.17" sheetId="28" r:id="rId12"/>
    <sheet name="12.17" sheetId="29" r:id="rId13"/>
  </sheets>
  <definedNames>
    <definedName name="_xlnm._FilterDatabase" localSheetId="0" hidden="1">'01.17'!$I$12:$I$62</definedName>
    <definedName name="_xlnm._FilterDatabase" localSheetId="1" hidden="1">'02.17'!$I$12:$I$62</definedName>
    <definedName name="_xlnm._FilterDatabase" localSheetId="2" hidden="1">'03.17'!$I$12:$I$62</definedName>
    <definedName name="_xlnm._FilterDatabase" localSheetId="3" hidden="1">'04.17'!$I$12:$I$62</definedName>
    <definedName name="_xlnm._FilterDatabase" localSheetId="4" hidden="1">'05.17'!$I$12:$I$62</definedName>
    <definedName name="_xlnm._FilterDatabase" localSheetId="5" hidden="1">'06.17'!$I$12:$I$62</definedName>
    <definedName name="_xlnm._FilterDatabase" localSheetId="6" hidden="1">'07.17'!$I$12:$I$62</definedName>
    <definedName name="_xlnm._FilterDatabase" localSheetId="7" hidden="1">'08.17'!$I$12:$I$62</definedName>
    <definedName name="_xlnm._FilterDatabase" localSheetId="8" hidden="1">'09.17'!$I$12:$I$62</definedName>
    <definedName name="_xlnm._FilterDatabase" localSheetId="9" hidden="1">'10.17'!$I$12:$I$62</definedName>
    <definedName name="_xlnm._FilterDatabase" localSheetId="10" hidden="1">'10а.17'!$I$12:$I$62</definedName>
    <definedName name="_xlnm._FilterDatabase" localSheetId="11" hidden="1">'11.17'!$I$12:$I$62</definedName>
    <definedName name="_xlnm._FilterDatabase" localSheetId="12" hidden="1">'12.17'!$I$12:$I$62</definedName>
    <definedName name="_xlnm.Print_Area" localSheetId="0">'01.17'!$A$1:$I$116</definedName>
    <definedName name="_xlnm.Print_Area" localSheetId="1">'02.17'!$A$1:$I$116</definedName>
    <definedName name="_xlnm.Print_Area" localSheetId="2">'03.17'!$A$1:$I$117</definedName>
    <definedName name="_xlnm.Print_Area" localSheetId="3">'04.17'!$A$1:$I$118</definedName>
    <definedName name="_xlnm.Print_Area" localSheetId="4">'05.17'!$A$1:$I$127</definedName>
    <definedName name="_xlnm.Print_Area" localSheetId="5">'06.17'!$A$1:$I$115</definedName>
    <definedName name="_xlnm.Print_Area" localSheetId="6">'07.17'!$A$1:$I$112</definedName>
    <definedName name="_xlnm.Print_Area" localSheetId="7">'08.17'!$A$1:$I$116</definedName>
    <definedName name="_xlnm.Print_Area" localSheetId="8">'09.17'!$A$1:$I$113</definedName>
    <definedName name="_xlnm.Print_Area" localSheetId="9">'10.17'!$A$1:$I$134</definedName>
    <definedName name="_xlnm.Print_Area" localSheetId="10">'10а.17'!$A$1:$I$110</definedName>
    <definedName name="_xlnm.Print_Area" localSheetId="11">'11.17'!$A$1:$I$113</definedName>
    <definedName name="_xlnm.Print_Area" localSheetId="12">'12.17'!$A$1:$I$114</definedName>
  </definedNames>
  <calcPr calcId="124519"/>
</workbook>
</file>

<file path=xl/calcChain.xml><?xml version="1.0" encoding="utf-8"?>
<calcChain xmlns="http://schemas.openxmlformats.org/spreadsheetml/2006/main">
  <c r="I91" i="29"/>
  <c r="I90"/>
  <c r="H90"/>
  <c r="F90"/>
  <c r="I84"/>
  <c r="I84" i="28"/>
  <c r="I92" i="22"/>
  <c r="I91"/>
  <c r="F91"/>
  <c r="H91" s="1"/>
  <c r="F43" i="20"/>
  <c r="H43" s="1"/>
  <c r="I43" i="19"/>
  <c r="F43"/>
  <c r="H43" s="1"/>
  <c r="I84" i="18"/>
  <c r="I84" i="17"/>
  <c r="I43" i="20" l="1"/>
  <c r="I89" i="29" l="1"/>
  <c r="H89"/>
  <c r="I88"/>
  <c r="H88"/>
  <c r="I86"/>
  <c r="I87"/>
  <c r="H87"/>
  <c r="H86"/>
  <c r="E83"/>
  <c r="F83" s="1"/>
  <c r="F82"/>
  <c r="I82" s="1"/>
  <c r="H80"/>
  <c r="H78"/>
  <c r="H76"/>
  <c r="F75"/>
  <c r="H75" s="1"/>
  <c r="I74"/>
  <c r="F72"/>
  <c r="I72" s="1"/>
  <c r="F71"/>
  <c r="H71" s="1"/>
  <c r="F70"/>
  <c r="I70" s="1"/>
  <c r="F69"/>
  <c r="H69" s="1"/>
  <c r="F68"/>
  <c r="I68" s="1"/>
  <c r="F67"/>
  <c r="H67" s="1"/>
  <c r="H66"/>
  <c r="I65"/>
  <c r="H65"/>
  <c r="I61"/>
  <c r="H61"/>
  <c r="F60"/>
  <c r="H60" s="1"/>
  <c r="F58"/>
  <c r="H58" s="1"/>
  <c r="I55"/>
  <c r="F55"/>
  <c r="H55" s="1"/>
  <c r="I54"/>
  <c r="H54"/>
  <c r="F53"/>
  <c r="H53" s="1"/>
  <c r="F52"/>
  <c r="I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89" i="28"/>
  <c r="F89"/>
  <c r="H89" s="1"/>
  <c r="I87"/>
  <c r="H88"/>
  <c r="H87"/>
  <c r="I86"/>
  <c r="F86"/>
  <c r="H86" s="1"/>
  <c r="I88"/>
  <c r="E83"/>
  <c r="F83" s="1"/>
  <c r="F82"/>
  <c r="I82" s="1"/>
  <c r="H80"/>
  <c r="H78"/>
  <c r="H76"/>
  <c r="F75"/>
  <c r="H75" s="1"/>
  <c r="I74"/>
  <c r="F72"/>
  <c r="I72" s="1"/>
  <c r="F71"/>
  <c r="H71" s="1"/>
  <c r="F70"/>
  <c r="I70" s="1"/>
  <c r="F69"/>
  <c r="H69" s="1"/>
  <c r="F68"/>
  <c r="I68" s="1"/>
  <c r="F67"/>
  <c r="H67" s="1"/>
  <c r="H66"/>
  <c r="I65"/>
  <c r="H65"/>
  <c r="I61"/>
  <c r="H61"/>
  <c r="F60"/>
  <c r="H60" s="1"/>
  <c r="F58"/>
  <c r="H58" s="1"/>
  <c r="I55"/>
  <c r="F55"/>
  <c r="H55" s="1"/>
  <c r="I54"/>
  <c r="H54"/>
  <c r="F53"/>
  <c r="H53" s="1"/>
  <c r="F52"/>
  <c r="I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110" i="26"/>
  <c r="I109"/>
  <c r="I107"/>
  <c r="I108"/>
  <c r="I106"/>
  <c r="I105"/>
  <c r="I104"/>
  <c r="I102"/>
  <c r="I103"/>
  <c r="I101"/>
  <c r="I100"/>
  <c r="I99"/>
  <c r="I98"/>
  <c r="I97"/>
  <c r="I96"/>
  <c r="I95"/>
  <c r="I94"/>
  <c r="I93"/>
  <c r="I92"/>
  <c r="I91"/>
  <c r="G110"/>
  <c r="H110" s="1"/>
  <c r="H109"/>
  <c r="F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I89"/>
  <c r="I90"/>
  <c r="H90"/>
  <c r="H89"/>
  <c r="I88"/>
  <c r="H88"/>
  <c r="I87"/>
  <c r="H87"/>
  <c r="I86"/>
  <c r="H86"/>
  <c r="I74"/>
  <c r="I65"/>
  <c r="I84" i="23"/>
  <c r="I84" i="22"/>
  <c r="I94" i="20"/>
  <c r="F94"/>
  <c r="H94" s="1"/>
  <c r="I95"/>
  <c r="H18" i="29" l="1"/>
  <c r="I18"/>
  <c r="I83"/>
  <c r="H83"/>
  <c r="H16"/>
  <c r="I17"/>
  <c r="H20"/>
  <c r="I21"/>
  <c r="I26"/>
  <c r="H27"/>
  <c r="I30"/>
  <c r="H31"/>
  <c r="I32"/>
  <c r="H39"/>
  <c r="H41"/>
  <c r="I42"/>
  <c r="H43"/>
  <c r="I51"/>
  <c r="H52"/>
  <c r="I53"/>
  <c r="I58"/>
  <c r="I67"/>
  <c r="H68"/>
  <c r="I69"/>
  <c r="H70"/>
  <c r="I71"/>
  <c r="H72"/>
  <c r="H82"/>
  <c r="I83" i="28"/>
  <c r="H83"/>
  <c r="H18"/>
  <c r="I18"/>
  <c r="H16"/>
  <c r="I17"/>
  <c r="H20"/>
  <c r="I21"/>
  <c r="I26"/>
  <c r="H27"/>
  <c r="I30"/>
  <c r="H31"/>
  <c r="I32"/>
  <c r="H39"/>
  <c r="H41"/>
  <c r="I42"/>
  <c r="H43"/>
  <c r="I51"/>
  <c r="H52"/>
  <c r="I53"/>
  <c r="I58"/>
  <c r="I67"/>
  <c r="H68"/>
  <c r="I69"/>
  <c r="H70"/>
  <c r="I71"/>
  <c r="H72"/>
  <c r="H82"/>
  <c r="I90"/>
  <c r="I111" i="26"/>
  <c r="H79" i="29" l="1"/>
  <c r="I93"/>
  <c r="H79" i="28"/>
  <c r="I92"/>
  <c r="I89" i="25" l="1"/>
  <c r="H89"/>
  <c r="I88"/>
  <c r="H88"/>
  <c r="I87"/>
  <c r="H87"/>
  <c r="I90"/>
  <c r="I86"/>
  <c r="F86"/>
  <c r="H86" s="1"/>
  <c r="I84"/>
  <c r="I65"/>
  <c r="I93" i="24"/>
  <c r="I92"/>
  <c r="I91"/>
  <c r="I90"/>
  <c r="I89"/>
  <c r="H92"/>
  <c r="H91"/>
  <c r="H90"/>
  <c r="H89"/>
  <c r="I88"/>
  <c r="H88"/>
  <c r="H87"/>
  <c r="I86"/>
  <c r="H86"/>
  <c r="F86"/>
  <c r="I84"/>
  <c r="I65"/>
  <c r="I89" i="23"/>
  <c r="I87"/>
  <c r="H88"/>
  <c r="H87"/>
  <c r="I86"/>
  <c r="H86"/>
  <c r="I89" i="22"/>
  <c r="H90"/>
  <c r="F89"/>
  <c r="H89" s="1"/>
  <c r="H88"/>
  <c r="I87"/>
  <c r="H87"/>
  <c r="I86"/>
  <c r="F86"/>
  <c r="H86" s="1"/>
  <c r="I65"/>
  <c r="I88" i="21"/>
  <c r="F88"/>
  <c r="H88" s="1"/>
  <c r="I87"/>
  <c r="H87"/>
  <c r="H86"/>
  <c r="I93" i="20"/>
  <c r="I92"/>
  <c r="I91"/>
  <c r="I90"/>
  <c r="F93"/>
  <c r="H93" s="1"/>
  <c r="H92"/>
  <c r="H91"/>
  <c r="F90"/>
  <c r="H90" s="1"/>
  <c r="I89"/>
  <c r="H89"/>
  <c r="I88"/>
  <c r="I87"/>
  <c r="I86"/>
  <c r="H88"/>
  <c r="H87"/>
  <c r="H86"/>
  <c r="F86"/>
  <c r="I84"/>
  <c r="I94" i="19"/>
  <c r="I93"/>
  <c r="I92"/>
  <c r="I91"/>
  <c r="I90"/>
  <c r="I88"/>
  <c r="I89"/>
  <c r="F93"/>
  <c r="H93" s="1"/>
  <c r="H92"/>
  <c r="H91"/>
  <c r="H90"/>
  <c r="H89"/>
  <c r="H88"/>
  <c r="H87"/>
  <c r="I86"/>
  <c r="F86"/>
  <c r="H86" s="1"/>
  <c r="I65"/>
  <c r="I92" i="18"/>
  <c r="I90"/>
  <c r="I91"/>
  <c r="I89"/>
  <c r="I88"/>
  <c r="H92"/>
  <c r="H91"/>
  <c r="H90"/>
  <c r="H89"/>
  <c r="H88"/>
  <c r="I87"/>
  <c r="I86"/>
  <c r="H87"/>
  <c r="H86"/>
  <c r="I93" i="17"/>
  <c r="I92"/>
  <c r="H92"/>
  <c r="I91"/>
  <c r="H91"/>
  <c r="I90"/>
  <c r="H90"/>
  <c r="I89"/>
  <c r="H89"/>
  <c r="I88"/>
  <c r="H88"/>
  <c r="I87"/>
  <c r="H87"/>
  <c r="I86"/>
  <c r="F86"/>
  <c r="H86" s="1"/>
  <c r="I89" i="27" l="1"/>
  <c r="G86"/>
  <c r="H86" s="1"/>
  <c r="E83"/>
  <c r="F83" s="1"/>
  <c r="F82"/>
  <c r="I82" s="1"/>
  <c r="H80"/>
  <c r="H78"/>
  <c r="H76"/>
  <c r="F75"/>
  <c r="H75" s="1"/>
  <c r="F72"/>
  <c r="H72" s="1"/>
  <c r="F71"/>
  <c r="I71" s="1"/>
  <c r="F70"/>
  <c r="H70" s="1"/>
  <c r="F69"/>
  <c r="I69" s="1"/>
  <c r="F68"/>
  <c r="H68" s="1"/>
  <c r="F67"/>
  <c r="I67" s="1"/>
  <c r="H66"/>
  <c r="H65"/>
  <c r="I61"/>
  <c r="H61"/>
  <c r="F60"/>
  <c r="H60" s="1"/>
  <c r="F58"/>
  <c r="H58" s="1"/>
  <c r="I55"/>
  <c r="F55"/>
  <c r="H55" s="1"/>
  <c r="I54"/>
  <c r="H54"/>
  <c r="F53"/>
  <c r="H53" s="1"/>
  <c r="F52"/>
  <c r="I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I32" s="1"/>
  <c r="F31"/>
  <c r="I31" s="1"/>
  <c r="F30"/>
  <c r="I30" s="1"/>
  <c r="F27"/>
  <c r="I27" s="1"/>
  <c r="F26"/>
  <c r="I26" s="1"/>
  <c r="F25"/>
  <c r="H25" s="1"/>
  <c r="H24"/>
  <c r="F23"/>
  <c r="H23" s="1"/>
  <c r="F22"/>
  <c r="H22" s="1"/>
  <c r="F21"/>
  <c r="I21" s="1"/>
  <c r="F20"/>
  <c r="I20" s="1"/>
  <c r="F19"/>
  <c r="H19" s="1"/>
  <c r="E18"/>
  <c r="F18" s="1"/>
  <c r="F17"/>
  <c r="I17" s="1"/>
  <c r="F16"/>
  <c r="I16" s="1"/>
  <c r="I54" i="26"/>
  <c r="E83"/>
  <c r="F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I17" s="1"/>
  <c r="F16"/>
  <c r="I16" s="1"/>
  <c r="E83" i="25"/>
  <c r="F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87" i="24"/>
  <c r="I86" i="27" l="1"/>
  <c r="I87" s="1"/>
  <c r="H17"/>
  <c r="H26"/>
  <c r="H32"/>
  <c r="H21"/>
  <c r="H30"/>
  <c r="I83"/>
  <c r="H83"/>
  <c r="H18"/>
  <c r="I18"/>
  <c r="H79"/>
  <c r="H16"/>
  <c r="H20"/>
  <c r="H27"/>
  <c r="H31"/>
  <c r="H39"/>
  <c r="H41"/>
  <c r="I42"/>
  <c r="H43"/>
  <c r="I51"/>
  <c r="H52"/>
  <c r="I53"/>
  <c r="I58"/>
  <c r="H67"/>
  <c r="I68"/>
  <c r="H69"/>
  <c r="I70"/>
  <c r="H71"/>
  <c r="I72"/>
  <c r="H82"/>
  <c r="H70" i="26"/>
  <c r="H17"/>
  <c r="H68"/>
  <c r="H72"/>
  <c r="I52"/>
  <c r="I53"/>
  <c r="H18"/>
  <c r="I18"/>
  <c r="I84" s="1"/>
  <c r="H83"/>
  <c r="I83"/>
  <c r="H16"/>
  <c r="H20"/>
  <c r="I21"/>
  <c r="I26"/>
  <c r="H27"/>
  <c r="I30"/>
  <c r="H31"/>
  <c r="I32"/>
  <c r="H39"/>
  <c r="H41"/>
  <c r="I42"/>
  <c r="H43"/>
  <c r="I51"/>
  <c r="H58"/>
  <c r="H79" s="1"/>
  <c r="I67"/>
  <c r="I69"/>
  <c r="I71"/>
  <c r="I82"/>
  <c r="I49" i="25"/>
  <c r="I47"/>
  <c r="I50"/>
  <c r="I48"/>
  <c r="I46"/>
  <c r="H70"/>
  <c r="H68"/>
  <c r="H72"/>
  <c r="H18"/>
  <c r="I18"/>
  <c r="H83"/>
  <c r="I83"/>
  <c r="H16"/>
  <c r="I17"/>
  <c r="H20"/>
  <c r="I21"/>
  <c r="I26"/>
  <c r="H27"/>
  <c r="I30"/>
  <c r="H31"/>
  <c r="I32"/>
  <c r="H39"/>
  <c r="H41"/>
  <c r="I42"/>
  <c r="H43"/>
  <c r="I51"/>
  <c r="H58"/>
  <c r="H79" s="1"/>
  <c r="I67"/>
  <c r="I69"/>
  <c r="I71"/>
  <c r="I82"/>
  <c r="E83" i="24"/>
  <c r="F83" s="1"/>
  <c r="H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I88" i="23"/>
  <c r="I80"/>
  <c r="I65"/>
  <c r="E83"/>
  <c r="F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I17" s="1"/>
  <c r="F16"/>
  <c r="I16" s="1"/>
  <c r="I90" i="22"/>
  <c r="I88"/>
  <c r="I74"/>
  <c r="E83"/>
  <c r="F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84" i="21"/>
  <c r="I84" i="27" l="1"/>
  <c r="I113" i="26"/>
  <c r="I92" i="25"/>
  <c r="H16" i="24"/>
  <c r="H70"/>
  <c r="H20"/>
  <c r="H27"/>
  <c r="H39"/>
  <c r="H68"/>
  <c r="H72"/>
  <c r="H58"/>
  <c r="H41"/>
  <c r="H43"/>
  <c r="H31"/>
  <c r="I17"/>
  <c r="I18"/>
  <c r="I21"/>
  <c r="I26"/>
  <c r="I30"/>
  <c r="I32"/>
  <c r="I42"/>
  <c r="I51"/>
  <c r="I67"/>
  <c r="I69"/>
  <c r="I71"/>
  <c r="I82"/>
  <c r="I83"/>
  <c r="H17" i="23"/>
  <c r="H72"/>
  <c r="H18"/>
  <c r="I18"/>
  <c r="H83"/>
  <c r="I83"/>
  <c r="H16"/>
  <c r="H20"/>
  <c r="I21"/>
  <c r="I26"/>
  <c r="H27"/>
  <c r="I30"/>
  <c r="H31"/>
  <c r="I32"/>
  <c r="H39"/>
  <c r="H41"/>
  <c r="I42"/>
  <c r="H43"/>
  <c r="I51"/>
  <c r="H58"/>
  <c r="I67"/>
  <c r="H68"/>
  <c r="I69"/>
  <c r="H70"/>
  <c r="I71"/>
  <c r="I82"/>
  <c r="H72" i="22"/>
  <c r="H70"/>
  <c r="H83"/>
  <c r="I83"/>
  <c r="H18"/>
  <c r="I18"/>
  <c r="H16"/>
  <c r="I17"/>
  <c r="H20"/>
  <c r="I21"/>
  <c r="I26"/>
  <c r="H27"/>
  <c r="I30"/>
  <c r="H31"/>
  <c r="I32"/>
  <c r="H39"/>
  <c r="H41"/>
  <c r="I42"/>
  <c r="H43"/>
  <c r="I51"/>
  <c r="H58"/>
  <c r="I67"/>
  <c r="H68"/>
  <c r="I69"/>
  <c r="I71"/>
  <c r="I82"/>
  <c r="I94" l="1"/>
  <c r="H79" i="24"/>
  <c r="I95"/>
  <c r="I91" i="23"/>
  <c r="H79"/>
  <c r="H79" i="22"/>
  <c r="I86" i="21" l="1"/>
  <c r="I104" s="1"/>
  <c r="I54"/>
  <c r="I24"/>
  <c r="H103"/>
  <c r="H102"/>
  <c r="H101"/>
  <c r="H100"/>
  <c r="H99"/>
  <c r="H98"/>
  <c r="F97"/>
  <c r="H97" s="1"/>
  <c r="H96"/>
  <c r="H95"/>
  <c r="F94"/>
  <c r="H94" s="1"/>
  <c r="F93"/>
  <c r="H93" s="1"/>
  <c r="F92"/>
  <c r="H92" s="1"/>
  <c r="H91"/>
  <c r="H90"/>
  <c r="H89"/>
  <c r="E83"/>
  <c r="F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E83" i="20"/>
  <c r="F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I17" s="1"/>
  <c r="F16"/>
  <c r="I16" s="1"/>
  <c r="I87" i="19"/>
  <c r="E83"/>
  <c r="F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I84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74" i="18"/>
  <c r="I93"/>
  <c r="E83"/>
  <c r="F83" s="1"/>
  <c r="F82"/>
  <c r="H82" s="1"/>
  <c r="H80"/>
  <c r="H78"/>
  <c r="H76"/>
  <c r="F75"/>
  <c r="H75" s="1"/>
  <c r="F72"/>
  <c r="I72" s="1"/>
  <c r="F71"/>
  <c r="H71" s="1"/>
  <c r="F70"/>
  <c r="I70" s="1"/>
  <c r="F69"/>
  <c r="H69" s="1"/>
  <c r="F68"/>
  <c r="I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22" i="21" l="1"/>
  <c r="I49"/>
  <c r="I47"/>
  <c r="I50"/>
  <c r="I19"/>
  <c r="I25"/>
  <c r="I23"/>
  <c r="I48"/>
  <c r="I46"/>
  <c r="I52"/>
  <c r="I53"/>
  <c r="H83"/>
  <c r="I83"/>
  <c r="H18"/>
  <c r="I18"/>
  <c r="H16"/>
  <c r="I17"/>
  <c r="H20"/>
  <c r="I21"/>
  <c r="I26"/>
  <c r="H27"/>
  <c r="I30"/>
  <c r="H31"/>
  <c r="I32"/>
  <c r="H39"/>
  <c r="H41"/>
  <c r="I42"/>
  <c r="H43"/>
  <c r="I51"/>
  <c r="H58"/>
  <c r="I67"/>
  <c r="H68"/>
  <c r="I69"/>
  <c r="H70"/>
  <c r="I71"/>
  <c r="H72"/>
  <c r="I82"/>
  <c r="H70" i="20"/>
  <c r="H68"/>
  <c r="H72"/>
  <c r="H17"/>
  <c r="H18"/>
  <c r="I18"/>
  <c r="H83"/>
  <c r="I83"/>
  <c r="H16"/>
  <c r="H20"/>
  <c r="I21"/>
  <c r="I26"/>
  <c r="H27"/>
  <c r="I30"/>
  <c r="H31"/>
  <c r="I32"/>
  <c r="H39"/>
  <c r="H41"/>
  <c r="I42"/>
  <c r="I51"/>
  <c r="H58"/>
  <c r="H79" s="1"/>
  <c r="I67"/>
  <c r="I69"/>
  <c r="I71"/>
  <c r="I82"/>
  <c r="H18" i="19"/>
  <c r="I18"/>
  <c r="H83"/>
  <c r="I83"/>
  <c r="H16"/>
  <c r="I17"/>
  <c r="H20"/>
  <c r="I21"/>
  <c r="I26"/>
  <c r="H27"/>
  <c r="I30"/>
  <c r="H31"/>
  <c r="I32"/>
  <c r="H39"/>
  <c r="H41"/>
  <c r="I42"/>
  <c r="I51"/>
  <c r="H58"/>
  <c r="I67"/>
  <c r="H68"/>
  <c r="I69"/>
  <c r="H70"/>
  <c r="I71"/>
  <c r="H72"/>
  <c r="I82"/>
  <c r="H70" i="18"/>
  <c r="H68"/>
  <c r="H72"/>
  <c r="H18"/>
  <c r="I18"/>
  <c r="H83"/>
  <c r="I83"/>
  <c r="H16"/>
  <c r="I17"/>
  <c r="H20"/>
  <c r="I21"/>
  <c r="I26"/>
  <c r="H27"/>
  <c r="I30"/>
  <c r="H31"/>
  <c r="I32"/>
  <c r="H39"/>
  <c r="H41"/>
  <c r="I42"/>
  <c r="H43"/>
  <c r="I51"/>
  <c r="H58"/>
  <c r="H79" s="1"/>
  <c r="I67"/>
  <c r="I69"/>
  <c r="I71"/>
  <c r="I82"/>
  <c r="I106" i="21" l="1"/>
  <c r="H79"/>
  <c r="I97" i="20"/>
  <c r="I96" i="19"/>
  <c r="H79"/>
  <c r="I95" i="18"/>
  <c r="I33" i="17" l="1"/>
  <c r="E83"/>
  <c r="F83" s="1"/>
  <c r="F82"/>
  <c r="I82" s="1"/>
  <c r="H80"/>
  <c r="H78"/>
  <c r="H76"/>
  <c r="F75"/>
  <c r="H75" s="1"/>
  <c r="F72"/>
  <c r="H72" s="1"/>
  <c r="F71"/>
  <c r="H71" s="1"/>
  <c r="F70"/>
  <c r="H70" s="1"/>
  <c r="F69"/>
  <c r="H69" s="1"/>
  <c r="F68"/>
  <c r="H68" s="1"/>
  <c r="F67"/>
  <c r="H67" s="1"/>
  <c r="H66"/>
  <c r="H65"/>
  <c r="I61"/>
  <c r="H61"/>
  <c r="F60"/>
  <c r="H60" s="1"/>
  <c r="F58"/>
  <c r="I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F27"/>
  <c r="I27" s="1"/>
  <c r="H36"/>
  <c r="H35"/>
  <c r="F26"/>
  <c r="H26" s="1"/>
  <c r="H34"/>
  <c r="F34"/>
  <c r="I34" s="1"/>
  <c r="F32"/>
  <c r="H32" s="1"/>
  <c r="F31"/>
  <c r="H31" s="1"/>
  <c r="F30"/>
  <c r="H30" s="1"/>
  <c r="F25"/>
  <c r="H25" s="1"/>
  <c r="H24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72" l="1"/>
  <c r="I70"/>
  <c r="I68"/>
  <c r="I67"/>
  <c r="I71"/>
  <c r="I69"/>
  <c r="I30"/>
  <c r="I32"/>
  <c r="I31"/>
  <c r="H82"/>
  <c r="H27"/>
  <c r="H39"/>
  <c r="I18"/>
  <c r="H18"/>
  <c r="I83"/>
  <c r="H83"/>
  <c r="I16"/>
  <c r="H17"/>
  <c r="I20"/>
  <c r="H21"/>
  <c r="I26"/>
  <c r="H41"/>
  <c r="I42"/>
  <c r="H43"/>
  <c r="H51"/>
  <c r="H58"/>
  <c r="H79" s="1"/>
  <c r="I95" l="1"/>
</calcChain>
</file>

<file path=xl/sharedStrings.xml><?xml version="1.0" encoding="utf-8"?>
<sst xmlns="http://schemas.openxmlformats.org/spreadsheetml/2006/main" count="2964" uniqueCount="286">
  <si>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</si>
  <si>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</si>
  <si>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</si>
  <si>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</si>
  <si>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</si>
  <si>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</si>
  <si>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</si>
  <si>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</si>
  <si>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</si>
  <si>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</si>
  <si>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</si>
  <si>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</si>
  <si>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</si>
  <si>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</si>
  <si>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</si>
  <si>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</si>
  <si>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</si>
  <si>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</si>
  <si>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</si>
  <si>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</si>
  <si>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</si>
  <si>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</si>
  <si>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</si>
  <si>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</si>
  <si>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</si>
  <si>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</si>
  <si>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</si>
  <si>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</si>
  <si>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</si>
  <si>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</si>
  <si>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</si>
  <si>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</si>
  <si>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10 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</si>
  <si>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</si>
  <si>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</si>
  <si>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</si>
  <si>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</si>
  <si>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</si>
  <si>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</si>
  <si>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</si>
  <si>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</si>
  <si>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</si>
  <si>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</si>
  <si>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</si>
  <si>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</si>
  <si>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</si>
  <si>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</si>
  <si>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</si>
  <si>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</si>
  <si>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</si>
  <si>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</si>
  <si>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</si>
  <si>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</si>
  <si>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</si>
  <si>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</si>
  <si>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</si>
  <si>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</si>
  <si>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</si>
  <si>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10 м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</si>
  <si>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</si>
  <si>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</si>
  <si>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</si>
  <si>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</si>
  <si>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</si>
  <si>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</si>
  <si>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</si>
  <si>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</si>
  <si>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</si>
  <si>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</si>
  <si>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</si>
  <si>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</si>
  <si>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</si>
  <si>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</si>
  <si>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</si>
  <si>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</si>
  <si>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</si>
  <si>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</si>
  <si>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</si>
  <si>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</si>
  <si>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</si>
  <si>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</si>
  <si>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</si>
  <si>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</si>
  <si>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</si>
  <si>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</si>
  <si>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</si>
  <si>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</si>
  <si>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</si>
  <si>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</si>
  <si>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</si>
  <si>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</si>
  <si>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</si>
  <si>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ООО «Жилсервис»</t>
  </si>
  <si>
    <t>Влажное подметание лестничных клеток 1 этажа</t>
  </si>
  <si>
    <t>Работа автовышки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</si>
  <si>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</si>
  <si>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</si>
  <si>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</si>
  <si>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Прочистка засоров ГВС, XВC</t>
  </si>
  <si>
    <t>3м</t>
  </si>
  <si>
    <t xml:space="preserve">Смена сосков у трубопроводов диаметром до 20 мм </t>
  </si>
  <si>
    <t>1 шт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</si>
  <si>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</si>
  <si>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</si>
  <si>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</si>
  <si>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Дератизация</t>
  </si>
  <si>
    <t>10 м2</t>
  </si>
  <si>
    <t>Влажная протирка перил</t>
  </si>
  <si>
    <t>Влажная протирка почтовых ящиков</t>
  </si>
  <si>
    <t>маш/час</t>
  </si>
  <si>
    <t>Влажная протирка подоконников</t>
  </si>
  <si>
    <t>Влажная протирка отопительных приборов</t>
  </si>
  <si>
    <t>1 соединение</t>
  </si>
  <si>
    <t>Внеплановая проверка вентканалов</t>
  </si>
  <si>
    <t>Смена светодиодных светильников</t>
  </si>
  <si>
    <t>1 раз в 2 месяца</t>
  </si>
  <si>
    <t>100м2</t>
  </si>
  <si>
    <t>156 раз в год</t>
  </si>
  <si>
    <t xml:space="preserve">24 раза в год 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</si>
  <si>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</si>
  <si>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</si>
  <si>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</si>
  <si>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</si>
  <si>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</si>
  <si>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</si>
  <si>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</si>
  <si>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</si>
  <si>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</si>
  <si>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</si>
  <si>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30 раз за сезон</t>
  </si>
  <si>
    <t>1м3</t>
  </si>
  <si>
    <t>155 раз за сезон</t>
  </si>
  <si>
    <t>35 раз за сезон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</si>
  <si>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</si>
  <si>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</si>
  <si>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</si>
  <si>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</si>
  <si>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</si>
  <si>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100м3</t>
  </si>
  <si>
    <t>1000м3</t>
  </si>
  <si>
    <t>Вода для промывки СО</t>
  </si>
  <si>
    <t>Спуск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</si>
  <si>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</si>
  <si>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</si>
  <si>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</si>
  <si>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</si>
  <si>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</si>
  <si>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№13 по ул.Нефтяников пгт.Ярега
</t>
  </si>
  <si>
    <t>Осмотр шиферной кровли</t>
  </si>
  <si>
    <t>Лестничная клетка</t>
  </si>
  <si>
    <t>Установка пружин на входных дверях</t>
  </si>
  <si>
    <t>Смена трубопроводов на металл-полимерные трубы д=20 (без учёта материала)</t>
  </si>
  <si>
    <t>Смена вентиля диаметром до 32 мм (без стоимости материалов)</t>
  </si>
  <si>
    <t>Прогрев XВC</t>
  </si>
  <si>
    <t>III. Проведение технических осмотров</t>
  </si>
  <si>
    <t>IV. Содержание общего имущества МКД</t>
  </si>
  <si>
    <t>V. Прочие услуги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</si>
  <si>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13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д.13</t>
    </r>
  </si>
  <si>
    <r>
      <t xml:space="preserve">    Собственники помещений в многоквартирном доме,  расположенном по адресу:  пгт.Ярега, ул.Нефтяников, д.13,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28.02.2014г. стороны,  и ООО «Жилсервис»,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</si>
  <si>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АКТ №1</t>
  </si>
  <si>
    <t>Очистка урн от мусора</t>
  </si>
  <si>
    <t>ежедневно 365 раз</t>
  </si>
  <si>
    <t>Сдвигание снега в дни снегопада (тротуар, крыльца)</t>
  </si>
  <si>
    <t>Ремонт и регулировка доводчика (со стоимостью доводчика)</t>
  </si>
  <si>
    <t>1шт.</t>
  </si>
  <si>
    <t>Ремонт и регулировка доводчика (без стоимости доводчика)</t>
  </si>
  <si>
    <t>Ремонт силового предохранительного шкафа (без стоимости материалов)</t>
  </si>
  <si>
    <t>Ремонт ступеней деревянных</t>
  </si>
  <si>
    <t>10 ступ.</t>
  </si>
  <si>
    <t>Смена вентилей диаметром до 20 мм (без материала)</t>
  </si>
  <si>
    <t>Смена тройника 20</t>
  </si>
  <si>
    <t>Смена тройника 25</t>
  </si>
  <si>
    <t>Внеплановый осмотр элекгросетей, арматуры и электрооборудования на чердаках и подвалах</t>
  </si>
  <si>
    <t>Внеплановый осмотр вводных электрических щитков</t>
  </si>
  <si>
    <t>100шт</t>
  </si>
  <si>
    <t>Внеплановый осмотр электросетей, армазуры и электрооборудования на лестничных клетках</t>
  </si>
  <si>
    <t>Ремонт венткороба</t>
  </si>
  <si>
    <t>тыс.руб.</t>
  </si>
  <si>
    <t>Ремонт оголовков</t>
  </si>
  <si>
    <t>Ремонт отдельных мест покрытия из асбоцементных листов обыкновенного профиля</t>
  </si>
  <si>
    <t>Смена внутренних трубопроводов из стальных труб диаметром до 20 мм (без стоимости материалов)</t>
  </si>
  <si>
    <t>104 раза в год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</si>
  <si>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</si>
  <si>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</si>
  <si>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</si>
  <si>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</si>
  <si>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</si>
  <si>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</si>
  <si>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</si>
  <si>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</si>
  <si>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</si>
  <si>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</si>
  <si>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</si>
  <si>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</si>
  <si>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</si>
  <si>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t>АКТ №10а</t>
  </si>
  <si>
    <t>Объем</t>
  </si>
  <si>
    <t>п.м.</t>
  </si>
  <si>
    <t>2. Всего за период с 02.10.2017 по 06.10.2017 выполнено работ (оказано услуг) на общую сумму: 5131,49 руб.</t>
  </si>
  <si>
    <t>(пять тысяч сто тридцать один рубль 49 копеек)</t>
  </si>
  <si>
    <t>Герметизация температурного шва (кв.28)</t>
  </si>
  <si>
    <t>за период с 02.10.2017 г. по 06.10.2017 г.</t>
  </si>
  <si>
    <t>за период с 01.01.2017 г. по 31.01.2017 г.</t>
  </si>
  <si>
    <t>Итого месячные затраты</t>
  </si>
  <si>
    <t>Прочистка засоров канализации</t>
  </si>
  <si>
    <t>Смена центр.вентилей диаметром до 32 мм (без учёта материала и оборудования)</t>
  </si>
  <si>
    <t>Смена плавкой вставки</t>
  </si>
  <si>
    <t>Смена трубопроводов на полипропиленовые трубы PN25 диаметром 20мм</t>
  </si>
  <si>
    <t>за период с 01.02.2017 г. по 28.02.2017 г.</t>
  </si>
  <si>
    <t>Смена деталей крепления для светильников (без стоимости креплений)</t>
  </si>
  <si>
    <t>за период с 01.03.2017 г. по 31.03.2017 г.</t>
  </si>
  <si>
    <t>Установка заглушек диаметром трубопроводов до 100 мм</t>
  </si>
  <si>
    <t>заглушка</t>
  </si>
  <si>
    <t>Установка байпаса</t>
  </si>
  <si>
    <t xml:space="preserve">Работа автовышки </t>
  </si>
  <si>
    <t>маш/ч</t>
  </si>
  <si>
    <t>Смена дверных приборов (замки навесные)</t>
  </si>
  <si>
    <t>2. Всего за период с 01.03.2017 по 31.03.2017 выполнено работ (оказано услуг) на общую сумму: 104208,32 руб.</t>
  </si>
  <si>
    <t>(сто четыре тысячи двести восемь рублей 32 копейки)</t>
  </si>
  <si>
    <t>за период с 01.04.2017 г. по 30.04.2017 г.</t>
  </si>
  <si>
    <t>Испытание сети на напряжение</t>
  </si>
  <si>
    <t>Измерение тока по фазам</t>
  </si>
  <si>
    <t>линия</t>
  </si>
  <si>
    <t>за период с 01.05.2017 г. по 31.05.2017 г.</t>
  </si>
  <si>
    <t>Смена обделок из листовой стали, примыканий к оголовкам</t>
  </si>
  <si>
    <t>2. Всего за период с 01.05.2017 по 31.05.2017 выполнено работ (оказано услуг) на общую сумму: 216803,05 руб.</t>
  </si>
  <si>
    <t>(двести шестнадцать тысяч восемьсот три рубля 05 копеек)</t>
  </si>
  <si>
    <t>за период с 01.06.2017 г. по 30.06.2017 г.</t>
  </si>
  <si>
    <t>Устройство хомутов д=51-75 мм</t>
  </si>
  <si>
    <t>за период с 01.07.2017 г. по 31.07.2017 г.</t>
  </si>
  <si>
    <t>Смена пакетных выключателей</t>
  </si>
  <si>
    <t>за период с 01.08.2017 г. по 31.08.2017 г.</t>
  </si>
  <si>
    <t>Смена вентилей ПП диаметром до 20 мм</t>
  </si>
  <si>
    <t>Смена трубопроводов на полипропиленовые трубы PN25 диаметром 25мм</t>
  </si>
  <si>
    <t xml:space="preserve">Уплотнение сгонов с применением льняной пряди или асбестового шнура (без разборки сгонов) </t>
  </si>
  <si>
    <t>2. Всего за период с 01.08.2017 по 31.08.2017 выполнено работ (оказано услуг) на общую сумму: 93959,91 руб.</t>
  </si>
  <si>
    <t>(девяносто три тысячи девятьсот пятьдесят девять рублей 91 копейка)</t>
  </si>
  <si>
    <t>за период с 01.09.2017 г. по 30.09.2017 г.</t>
  </si>
  <si>
    <t>2. Всего за период с 01.09.2017 по 30.09.2017 выполнено работ (оказано услуг) на общую сумму: 92848,87 руб.</t>
  </si>
  <si>
    <t>(девяносто две тысячи восемьсот сорок восемь рублей 87 копеек)</t>
  </si>
  <si>
    <t>за период с 01.10.2017 г. по 31.10.2017 г.</t>
  </si>
  <si>
    <t>Ремонт штукатурки внутренних стен по камню и бетону цементно-известковым раствором площадью до 10 м2 толщиной слоя до 20 мм (Vпод., тамбур и 1этаж)</t>
  </si>
  <si>
    <t>2. Всего за период с 01.04.2017 по 30.04.2017 выполнено работ (оказано услуг) на общую сумму: 99380,97 руб.</t>
  </si>
  <si>
    <t>(девяносто девять тысяч триста восемьдесят рублей 97 копеек)</t>
  </si>
  <si>
    <t>2. Всего за период с 01.07.2017 по 31.07.2017 выполнено работ (оказано услуг) на общую сумму: 73988,17 руб.</t>
  </si>
  <si>
    <t>(семьдесят три тысячи девятьсот воемьдесят восемь рублей 17 копеек)</t>
  </si>
  <si>
    <t xml:space="preserve">ежедневно </t>
  </si>
  <si>
    <t>Смена арматуры - задвижек диаметром 100 мм</t>
  </si>
  <si>
    <t xml:space="preserve">Смена трубопроводов на металл-полимерные трубы д=15 </t>
  </si>
  <si>
    <t xml:space="preserve">Смена трубопроводов на металл-полимерные трубы д=25 </t>
  </si>
  <si>
    <t>Переход чугун-пластик Ду 50 с манжетой</t>
  </si>
  <si>
    <t>Установка заглушек диаметром трубопроводов 50 мм</t>
  </si>
  <si>
    <t>Отвод 50*90°</t>
  </si>
  <si>
    <t>Устройство хомута диаметром до 50мм</t>
  </si>
  <si>
    <t>Смена полиэтиленовых канализационных труб 110×2000 мм</t>
  </si>
  <si>
    <t>Переход чугун-пластик Ду 110 с манжетой</t>
  </si>
  <si>
    <t>Ревизия 110</t>
  </si>
  <si>
    <t>Манжета 100</t>
  </si>
  <si>
    <t>Муфта 50</t>
  </si>
  <si>
    <t>Муфта 110</t>
  </si>
  <si>
    <t>Смена светодиодных светильников в.о.</t>
  </si>
  <si>
    <t>Патрубок компенсационный ПП Ду 100</t>
  </si>
  <si>
    <t xml:space="preserve">Смена полипропиленовых канализационных труб 50×2000 мм </t>
  </si>
  <si>
    <t>Тройник 50×50/90°</t>
  </si>
  <si>
    <t>Тройник 100×50/90°</t>
  </si>
  <si>
    <t>2. Всего за период с 01.10.2017 по 31.10.2017 выполнено работ (оказано услуг) на общую сумму: 131749,38 руб.</t>
  </si>
  <si>
    <t>(сто тридцать ода тысяча семьсот сорок девять рублей 38 копеек)</t>
  </si>
  <si>
    <t>АКТ №11</t>
  </si>
  <si>
    <t>за период с 01.11.2017 г. по 30.11.2017 г.</t>
  </si>
  <si>
    <t>Заделка слуховых окон железом</t>
  </si>
  <si>
    <t>АКТ №12</t>
  </si>
  <si>
    <t>за период с 01.12.2017 г. по 31.12.2017 г.</t>
  </si>
  <si>
    <t>2. Всего за период с 01.01.2016 по 31.01.2016 выполнено работ (оказано услуг) на общую сумму: 113131,34 руб.</t>
  </si>
  <si>
    <t>(сто тринадцать тысяч сто тридцать один рубль 34 копейки)</t>
  </si>
  <si>
    <t>2. Всего за период с 01.02.2017 по 28.02.2017 выполнено работ (оказано услуг) на общую сумму: 100259,18 руб.</t>
  </si>
  <si>
    <t>(сто тысяч двести пятьдесят девять рублей 18 копеек)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</si>
  <si>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д.13</t>
    </r>
  </si>
  <si>
    <t>15 раз за сезон</t>
  </si>
  <si>
    <t>Сверхнормативы по ОДП за 1 полугодие</t>
  </si>
  <si>
    <t>2. Всего за период с 01.06.2017 по 30.06.2017 выполнено работ (оказано услуг) на общую сумму: 108788,66 руб.</t>
  </si>
  <si>
    <t>(сто восемь тысяч семьсот восемьдесят восемь рублей 66 копеек)</t>
  </si>
  <si>
    <t>2. Всего за период с 01.11.2017 по 30.11.2017 выполнено работ (оказано услуг) на общую сумму: 89565,55 руб.</t>
  </si>
  <si>
    <t>(восемьдесят девять тысяч пятьсот шестьдесят пять рублей 55 копеек)</t>
  </si>
  <si>
    <t>Сверхнормативы по ОДП за 2 полугодие</t>
  </si>
  <si>
    <t>2. Всего за период с 01.12.2017 по 31.12.2017 выполнено работ (оказано услуг) на общую сумму: 99302,70 руб.</t>
  </si>
  <si>
    <t>(девяносто девять тысяч триста два рубля 70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</si>
</sst>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5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5" borderId="3" xfId="0" applyNumberFormat="1" applyFont="1" applyFill="1" applyBorder="1" applyAlignment="1" applyProtection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9" fillId="0" borderId="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92</v>
      </c>
      <c r="I1" s="27"/>
      <c r="J1" s="1"/>
      <c r="K1" s="1"/>
      <c r="L1" s="1"/>
      <c r="M1" s="1"/>
    </row>
    <row r="2" spans="1:13" ht="15.75" customHeight="1">
      <c r="A2" s="29" t="s">
        <v>67</v>
      </c>
      <c r="J2" s="2"/>
      <c r="K2" s="2"/>
      <c r="L2" s="2"/>
      <c r="M2" s="2"/>
    </row>
    <row r="3" spans="1:13" ht="15.75" customHeight="1">
      <c r="A3" s="143" t="s">
        <v>159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147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202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 customHeight="1">
      <c r="A6" s="2"/>
      <c r="B6" s="63"/>
      <c r="C6" s="63"/>
      <c r="D6" s="63"/>
      <c r="E6" s="63"/>
      <c r="F6" s="63"/>
      <c r="G6" s="63"/>
      <c r="H6" s="63"/>
      <c r="I6" s="31">
        <v>42766</v>
      </c>
      <c r="J6" s="2"/>
      <c r="K6" s="2"/>
      <c r="L6" s="2"/>
      <c r="M6" s="2"/>
    </row>
    <row r="7" spans="1:13" ht="15.75" customHeight="1">
      <c r="B7" s="62"/>
      <c r="C7" s="62"/>
      <c r="D7" s="6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158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47" t="s">
        <v>276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64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30" t="s">
        <v>4</v>
      </c>
      <c r="B15" s="130"/>
      <c r="C15" s="130"/>
      <c r="D15" s="130"/>
      <c r="E15" s="130"/>
      <c r="F15" s="130"/>
      <c r="G15" s="130"/>
      <c r="H15" s="130"/>
      <c r="I15" s="130"/>
      <c r="J15" s="8"/>
      <c r="K15" s="8"/>
      <c r="L15" s="8"/>
      <c r="M15" s="8"/>
    </row>
    <row r="16" spans="1:13" ht="15.75" customHeight="1">
      <c r="A16" s="30">
        <v>1</v>
      </c>
      <c r="B16" s="82" t="s">
        <v>93</v>
      </c>
      <c r="C16" s="83" t="s">
        <v>116</v>
      </c>
      <c r="D16" s="82" t="s">
        <v>117</v>
      </c>
      <c r="E16" s="56">
        <v>127.9</v>
      </c>
      <c r="F16" s="84">
        <f>SUM(E16*156/100)</f>
        <v>199.524</v>
      </c>
      <c r="G16" s="84">
        <v>187.48</v>
      </c>
      <c r="H16" s="85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82" t="s">
        <v>102</v>
      </c>
      <c r="C17" s="83" t="s">
        <v>116</v>
      </c>
      <c r="D17" s="82" t="s">
        <v>181</v>
      </c>
      <c r="E17" s="56">
        <v>511.6</v>
      </c>
      <c r="F17" s="84">
        <f>SUM(E17*104/100)</f>
        <v>532.06399999999996</v>
      </c>
      <c r="G17" s="84">
        <v>185.48</v>
      </c>
      <c r="H17" s="85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82" t="s">
        <v>103</v>
      </c>
      <c r="C18" s="83" t="s">
        <v>116</v>
      </c>
      <c r="D18" s="82" t="s">
        <v>118</v>
      </c>
      <c r="E18" s="56">
        <f>SUM(E16+E17)</f>
        <v>639.5</v>
      </c>
      <c r="F18" s="84">
        <f>SUM(E18*24/100)</f>
        <v>153.47999999999999</v>
      </c>
      <c r="G18" s="84">
        <v>539.30999999999995</v>
      </c>
      <c r="H18" s="85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82" t="s">
        <v>119</v>
      </c>
      <c r="C19" s="83" t="s">
        <v>120</v>
      </c>
      <c r="D19" s="82" t="s">
        <v>121</v>
      </c>
      <c r="E19" s="56">
        <v>38.4</v>
      </c>
      <c r="F19" s="84">
        <f>SUM(E19/10)</f>
        <v>3.84</v>
      </c>
      <c r="G19" s="84">
        <v>181.91</v>
      </c>
      <c r="H19" s="85">
        <f t="shared" si="0"/>
        <v>0.6985344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82" t="s">
        <v>107</v>
      </c>
      <c r="C20" s="83" t="s">
        <v>116</v>
      </c>
      <c r="D20" s="82" t="s">
        <v>30</v>
      </c>
      <c r="E20" s="56">
        <v>58.4</v>
      </c>
      <c r="F20" s="84">
        <f>SUM(E20*12/100)</f>
        <v>7.0079999999999991</v>
      </c>
      <c r="G20" s="84">
        <v>232.92</v>
      </c>
      <c r="H20" s="85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customHeight="1">
      <c r="A21" s="30">
        <v>5</v>
      </c>
      <c r="B21" s="82" t="s">
        <v>108</v>
      </c>
      <c r="C21" s="83" t="s">
        <v>116</v>
      </c>
      <c r="D21" s="82" t="s">
        <v>115</v>
      </c>
      <c r="E21" s="56">
        <v>9.08</v>
      </c>
      <c r="F21" s="84">
        <f>SUM(E21*6/100)</f>
        <v>0.54480000000000006</v>
      </c>
      <c r="G21" s="84">
        <v>231.03</v>
      </c>
      <c r="H21" s="85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82" t="s">
        <v>122</v>
      </c>
      <c r="C22" s="83" t="s">
        <v>56</v>
      </c>
      <c r="D22" s="82" t="s">
        <v>121</v>
      </c>
      <c r="E22" s="56">
        <v>714</v>
      </c>
      <c r="F22" s="84">
        <f>SUM(E22/100)</f>
        <v>7.14</v>
      </c>
      <c r="G22" s="84">
        <v>287.83999999999997</v>
      </c>
      <c r="H22" s="85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82" t="s">
        <v>123</v>
      </c>
      <c r="C23" s="83" t="s">
        <v>56</v>
      </c>
      <c r="D23" s="82" t="s">
        <v>121</v>
      </c>
      <c r="E23" s="77">
        <v>96.6</v>
      </c>
      <c r="F23" s="84">
        <f>SUM(E23/100)</f>
        <v>0.96599999999999997</v>
      </c>
      <c r="G23" s="84">
        <v>47.34</v>
      </c>
      <c r="H23" s="85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82" t="s">
        <v>110</v>
      </c>
      <c r="C24" s="83" t="s">
        <v>56</v>
      </c>
      <c r="D24" s="82" t="s">
        <v>121</v>
      </c>
      <c r="E24" s="19">
        <v>40</v>
      </c>
      <c r="F24" s="86">
        <v>4.8</v>
      </c>
      <c r="G24" s="84">
        <v>416.62</v>
      </c>
      <c r="H24" s="85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82" t="s">
        <v>111</v>
      </c>
      <c r="C25" s="83" t="s">
        <v>56</v>
      </c>
      <c r="D25" s="82" t="s">
        <v>121</v>
      </c>
      <c r="E25" s="56">
        <v>17</v>
      </c>
      <c r="F25" s="84">
        <f>SUM(E25/100)</f>
        <v>0.17</v>
      </c>
      <c r="G25" s="84">
        <v>556.74</v>
      </c>
      <c r="H25" s="85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customHeight="1">
      <c r="A26" s="30">
        <v>6</v>
      </c>
      <c r="B26" s="82" t="s">
        <v>69</v>
      </c>
      <c r="C26" s="83" t="s">
        <v>34</v>
      </c>
      <c r="D26" s="82" t="s">
        <v>161</v>
      </c>
      <c r="E26" s="56">
        <v>0.1</v>
      </c>
      <c r="F26" s="84">
        <f>SUM(E26*365)</f>
        <v>36.5</v>
      </c>
      <c r="G26" s="84">
        <v>157.18</v>
      </c>
      <c r="H26" s="85">
        <f>SUM(F26*G26/1000)</f>
        <v>5.737070000000001</v>
      </c>
      <c r="I26" s="13">
        <f>F26/12*G26</f>
        <v>478.08916666666664</v>
      </c>
      <c r="J26" s="24"/>
    </row>
    <row r="27" spans="1:13" ht="15.75" customHeight="1">
      <c r="A27" s="30">
        <v>7</v>
      </c>
      <c r="B27" s="90" t="s">
        <v>23</v>
      </c>
      <c r="C27" s="83" t="s">
        <v>24</v>
      </c>
      <c r="D27" s="90" t="s">
        <v>161</v>
      </c>
      <c r="E27" s="56">
        <v>4591.2</v>
      </c>
      <c r="F27" s="84">
        <f>SUM(E27*12)</f>
        <v>55094.399999999994</v>
      </c>
      <c r="G27" s="84">
        <v>5.85</v>
      </c>
      <c r="H27" s="85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30" t="s">
        <v>91</v>
      </c>
      <c r="B28" s="130"/>
      <c r="C28" s="130"/>
      <c r="D28" s="130"/>
      <c r="E28" s="130"/>
      <c r="F28" s="130"/>
      <c r="G28" s="130"/>
      <c r="H28" s="130"/>
      <c r="I28" s="130"/>
      <c r="J28" s="23"/>
      <c r="K28" s="8"/>
      <c r="L28" s="8"/>
      <c r="M28" s="8"/>
    </row>
    <row r="29" spans="1:13" ht="15.75" hidden="1" customHeight="1">
      <c r="A29" s="30"/>
      <c r="B29" s="106" t="s">
        <v>28</v>
      </c>
      <c r="C29" s="83"/>
      <c r="D29" s="82"/>
      <c r="E29" s="56"/>
      <c r="F29" s="84"/>
      <c r="G29" s="84"/>
      <c r="H29" s="85"/>
      <c r="I29" s="13"/>
      <c r="J29" s="23"/>
      <c r="K29" s="8"/>
      <c r="L29" s="8"/>
      <c r="M29" s="8"/>
    </row>
    <row r="30" spans="1:13" ht="15.75" hidden="1" customHeight="1">
      <c r="A30" s="30">
        <v>7</v>
      </c>
      <c r="B30" s="82" t="s">
        <v>124</v>
      </c>
      <c r="C30" s="83" t="s">
        <v>125</v>
      </c>
      <c r="D30" s="82" t="s">
        <v>126</v>
      </c>
      <c r="E30" s="84">
        <v>844.95</v>
      </c>
      <c r="F30" s="84">
        <f>SUM(E30*52/1000)</f>
        <v>43.937400000000004</v>
      </c>
      <c r="G30" s="84">
        <v>166.65</v>
      </c>
      <c r="H30" s="85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hidden="1" customHeight="1">
      <c r="A31" s="30">
        <v>8</v>
      </c>
      <c r="B31" s="82" t="s">
        <v>182</v>
      </c>
      <c r="C31" s="83" t="s">
        <v>125</v>
      </c>
      <c r="D31" s="82" t="s">
        <v>127</v>
      </c>
      <c r="E31" s="84">
        <v>260.13</v>
      </c>
      <c r="F31" s="84">
        <f>SUM(E31*78/1000)</f>
        <v>20.290140000000001</v>
      </c>
      <c r="G31" s="84">
        <v>276.48</v>
      </c>
      <c r="H31" s="85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82" t="s">
        <v>27</v>
      </c>
      <c r="C32" s="83" t="s">
        <v>125</v>
      </c>
      <c r="D32" s="82" t="s">
        <v>57</v>
      </c>
      <c r="E32" s="84">
        <v>844.95</v>
      </c>
      <c r="F32" s="84">
        <f>SUM(E32/1000)</f>
        <v>0.84495000000000009</v>
      </c>
      <c r="G32" s="84">
        <v>3228.73</v>
      </c>
      <c r="H32" s="85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hidden="1" customHeight="1">
      <c r="A33" s="30">
        <v>9</v>
      </c>
      <c r="B33" s="82" t="s">
        <v>160</v>
      </c>
      <c r="C33" s="83" t="s">
        <v>42</v>
      </c>
      <c r="D33" s="82" t="s">
        <v>68</v>
      </c>
      <c r="E33" s="84">
        <v>8</v>
      </c>
      <c r="F33" s="84">
        <v>12.4</v>
      </c>
      <c r="G33" s="84">
        <v>1391.86</v>
      </c>
      <c r="H33" s="85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hidden="1" customHeight="1">
      <c r="A34" s="30">
        <v>10</v>
      </c>
      <c r="B34" s="82" t="s">
        <v>128</v>
      </c>
      <c r="C34" s="83" t="s">
        <v>31</v>
      </c>
      <c r="D34" s="82" t="s">
        <v>68</v>
      </c>
      <c r="E34" s="89">
        <v>0.33333333333333331</v>
      </c>
      <c r="F34" s="84">
        <f>155/3</f>
        <v>51.666666666666664</v>
      </c>
      <c r="G34" s="84">
        <v>60.6</v>
      </c>
      <c r="H34" s="85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82" t="s">
        <v>70</v>
      </c>
      <c r="C35" s="83" t="s">
        <v>34</v>
      </c>
      <c r="D35" s="82" t="s">
        <v>72</v>
      </c>
      <c r="E35" s="56"/>
      <c r="F35" s="84">
        <v>3</v>
      </c>
      <c r="G35" s="84">
        <v>204.32</v>
      </c>
      <c r="H35" s="85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82" t="s">
        <v>71</v>
      </c>
      <c r="C36" s="83" t="s">
        <v>33</v>
      </c>
      <c r="D36" s="82" t="s">
        <v>72</v>
      </c>
      <c r="E36" s="56"/>
      <c r="F36" s="84">
        <v>2</v>
      </c>
      <c r="G36" s="84">
        <v>1214.73</v>
      </c>
      <c r="H36" s="85">
        <f t="shared" si="1"/>
        <v>2.4294600000000002</v>
      </c>
      <c r="I36" s="13">
        <v>0</v>
      </c>
      <c r="J36" s="24"/>
    </row>
    <row r="37" spans="1:14" ht="15.75" customHeight="1">
      <c r="A37" s="30"/>
      <c r="B37" s="106" t="s">
        <v>5</v>
      </c>
      <c r="C37" s="83"/>
      <c r="D37" s="82"/>
      <c r="E37" s="56"/>
      <c r="F37" s="84"/>
      <c r="G37" s="84"/>
      <c r="H37" s="85" t="s">
        <v>144</v>
      </c>
      <c r="I37" s="13"/>
      <c r="J37" s="24"/>
    </row>
    <row r="38" spans="1:14" ht="15.75" customHeight="1">
      <c r="A38" s="30">
        <v>8</v>
      </c>
      <c r="B38" s="82" t="s">
        <v>26</v>
      </c>
      <c r="C38" s="83" t="s">
        <v>33</v>
      </c>
      <c r="D38" s="82"/>
      <c r="E38" s="56"/>
      <c r="F38" s="84">
        <v>10</v>
      </c>
      <c r="G38" s="84">
        <v>1632.6</v>
      </c>
      <c r="H38" s="85">
        <f t="shared" ref="H38:H44" si="3">SUM(F38*G38/1000)</f>
        <v>16.326000000000001</v>
      </c>
      <c r="I38" s="13">
        <f>F38/6*G38</f>
        <v>2721</v>
      </c>
      <c r="J38" s="24"/>
    </row>
    <row r="39" spans="1:14" ht="15.75" customHeight="1">
      <c r="A39" s="30">
        <v>9</v>
      </c>
      <c r="B39" s="82" t="s">
        <v>162</v>
      </c>
      <c r="C39" s="83" t="s">
        <v>29</v>
      </c>
      <c r="D39" s="82" t="s">
        <v>129</v>
      </c>
      <c r="E39" s="84">
        <v>254.8</v>
      </c>
      <c r="F39" s="84">
        <f>SUM(E39*30/1000)</f>
        <v>7.6440000000000001</v>
      </c>
      <c r="G39" s="84">
        <v>2247.8000000000002</v>
      </c>
      <c r="H39" s="85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82" t="s">
        <v>104</v>
      </c>
      <c r="C40" s="83" t="s">
        <v>130</v>
      </c>
      <c r="D40" s="82" t="s">
        <v>72</v>
      </c>
      <c r="E40" s="56"/>
      <c r="F40" s="84">
        <v>40</v>
      </c>
      <c r="G40" s="84">
        <v>213.2</v>
      </c>
      <c r="H40" s="85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customHeight="1">
      <c r="A41" s="30">
        <v>10</v>
      </c>
      <c r="B41" s="82" t="s">
        <v>73</v>
      </c>
      <c r="C41" s="83" t="s">
        <v>29</v>
      </c>
      <c r="D41" s="82" t="s">
        <v>131</v>
      </c>
      <c r="E41" s="84">
        <v>260.13</v>
      </c>
      <c r="F41" s="84">
        <f>SUM(E41*155/1000)</f>
        <v>40.320149999999998</v>
      </c>
      <c r="G41" s="84">
        <v>374.95</v>
      </c>
      <c r="H41" s="85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customHeight="1">
      <c r="A42" s="30">
        <v>11</v>
      </c>
      <c r="B42" s="82" t="s">
        <v>89</v>
      </c>
      <c r="C42" s="83" t="s">
        <v>125</v>
      </c>
      <c r="D42" s="82" t="s">
        <v>132</v>
      </c>
      <c r="E42" s="84">
        <v>132.72999999999999</v>
      </c>
      <c r="F42" s="84">
        <f>SUM(E42*35/1000)</f>
        <v>4.6455499999999992</v>
      </c>
      <c r="G42" s="84">
        <v>6203.7</v>
      </c>
      <c r="H42" s="85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hidden="1" customHeight="1">
      <c r="A43" s="30">
        <v>12</v>
      </c>
      <c r="B43" s="82" t="s">
        <v>133</v>
      </c>
      <c r="C43" s="83" t="s">
        <v>125</v>
      </c>
      <c r="D43" s="82" t="s">
        <v>74</v>
      </c>
      <c r="E43" s="84">
        <v>254.8</v>
      </c>
      <c r="F43" s="84">
        <f>SUM(E43*45/1000)</f>
        <v>11.465999999999999</v>
      </c>
      <c r="G43" s="84">
        <v>458.28</v>
      </c>
      <c r="H43" s="85">
        <f t="shared" si="3"/>
        <v>5.2546384799999997</v>
      </c>
      <c r="I43" s="13">
        <f>F43/6*G43</f>
        <v>875.77307999999982</v>
      </c>
      <c r="J43" s="24"/>
      <c r="L43" s="20"/>
      <c r="M43" s="21"/>
      <c r="N43" s="22"/>
    </row>
    <row r="44" spans="1:14" ht="15.75" customHeight="1">
      <c r="A44" s="30">
        <v>12</v>
      </c>
      <c r="B44" s="82" t="s">
        <v>75</v>
      </c>
      <c r="C44" s="83" t="s">
        <v>34</v>
      </c>
      <c r="D44" s="82"/>
      <c r="E44" s="56"/>
      <c r="F44" s="84">
        <v>0.9</v>
      </c>
      <c r="G44" s="84">
        <v>853.06</v>
      </c>
      <c r="H44" s="85">
        <f t="shared" si="3"/>
        <v>0.76775400000000005</v>
      </c>
      <c r="I44" s="13">
        <f>F44/6*G44</f>
        <v>127.95899999999999</v>
      </c>
      <c r="J44" s="24"/>
      <c r="L44" s="20"/>
      <c r="M44" s="21"/>
      <c r="N44" s="22"/>
    </row>
    <row r="45" spans="1:14" ht="15.75" customHeight="1">
      <c r="A45" s="131" t="s">
        <v>154</v>
      </c>
      <c r="B45" s="132"/>
      <c r="C45" s="132"/>
      <c r="D45" s="132"/>
      <c r="E45" s="132"/>
      <c r="F45" s="132"/>
      <c r="G45" s="132"/>
      <c r="H45" s="132"/>
      <c r="I45" s="133"/>
      <c r="J45" s="24"/>
      <c r="L45" s="20"/>
      <c r="M45" s="21"/>
      <c r="N45" s="22"/>
    </row>
    <row r="46" spans="1:14" ht="15.75" hidden="1" customHeight="1">
      <c r="A46" s="30"/>
      <c r="B46" s="82" t="s">
        <v>148</v>
      </c>
      <c r="C46" s="83" t="s">
        <v>125</v>
      </c>
      <c r="D46" s="82" t="s">
        <v>44</v>
      </c>
      <c r="E46" s="56">
        <v>1795.9</v>
      </c>
      <c r="F46" s="84">
        <f>SUM(E46*2/1000)</f>
        <v>3.5918000000000001</v>
      </c>
      <c r="G46" s="13">
        <v>865.61</v>
      </c>
      <c r="H46" s="85">
        <f t="shared" ref="H46:H55" si="4">SUM(F46*G46/1000)</f>
        <v>3.1090979980000002</v>
      </c>
      <c r="I46" s="13">
        <v>0</v>
      </c>
      <c r="J46" s="24"/>
      <c r="L46" s="20"/>
      <c r="M46" s="21"/>
      <c r="N46" s="22"/>
    </row>
    <row r="47" spans="1:14" ht="15.75" hidden="1" customHeight="1">
      <c r="A47" s="30"/>
      <c r="B47" s="82" t="s">
        <v>37</v>
      </c>
      <c r="C47" s="83" t="s">
        <v>125</v>
      </c>
      <c r="D47" s="82" t="s">
        <v>44</v>
      </c>
      <c r="E47" s="56">
        <v>104</v>
      </c>
      <c r="F47" s="84">
        <f>SUM(E47*2/1000)</f>
        <v>0.20799999999999999</v>
      </c>
      <c r="G47" s="13">
        <v>619.46</v>
      </c>
      <c r="H47" s="85">
        <f t="shared" si="4"/>
        <v>0.12884767999999999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30"/>
      <c r="B48" s="82" t="s">
        <v>38</v>
      </c>
      <c r="C48" s="83" t="s">
        <v>125</v>
      </c>
      <c r="D48" s="82" t="s">
        <v>44</v>
      </c>
      <c r="E48" s="56">
        <v>1996.87</v>
      </c>
      <c r="F48" s="84">
        <f>SUM(E48*2/1000)</f>
        <v>3.9937399999999998</v>
      </c>
      <c r="G48" s="13">
        <v>619.46</v>
      </c>
      <c r="H48" s="85">
        <f t="shared" si="4"/>
        <v>2.4739621804</v>
      </c>
      <c r="I48" s="13">
        <v>0</v>
      </c>
      <c r="J48" s="24"/>
      <c r="L48" s="20"/>
      <c r="M48" s="21"/>
      <c r="N48" s="22"/>
    </row>
    <row r="49" spans="1:22" ht="15.75" hidden="1" customHeight="1">
      <c r="A49" s="30"/>
      <c r="B49" s="82" t="s">
        <v>39</v>
      </c>
      <c r="C49" s="83" t="s">
        <v>125</v>
      </c>
      <c r="D49" s="82" t="s">
        <v>44</v>
      </c>
      <c r="E49" s="56">
        <v>2630.35</v>
      </c>
      <c r="F49" s="84">
        <f>SUM(E49*2/1000)</f>
        <v>5.2606999999999999</v>
      </c>
      <c r="G49" s="13">
        <v>648.64</v>
      </c>
      <c r="H49" s="85">
        <f t="shared" si="4"/>
        <v>3.4123004479999999</v>
      </c>
      <c r="I49" s="13">
        <v>0</v>
      </c>
      <c r="J49" s="24"/>
      <c r="L49" s="20"/>
      <c r="M49" s="21"/>
      <c r="N49" s="22"/>
    </row>
    <row r="50" spans="1:22" ht="15.75" hidden="1" customHeight="1">
      <c r="A50" s="30"/>
      <c r="B50" s="82" t="s">
        <v>35</v>
      </c>
      <c r="C50" s="83" t="s">
        <v>36</v>
      </c>
      <c r="D50" s="82" t="s">
        <v>44</v>
      </c>
      <c r="E50" s="56">
        <v>131.47</v>
      </c>
      <c r="F50" s="84">
        <f>SUM(E50*2/100)</f>
        <v>2.6294</v>
      </c>
      <c r="G50" s="13">
        <v>77.84</v>
      </c>
      <c r="H50" s="85">
        <f t="shared" si="4"/>
        <v>0.20467249599999998</v>
      </c>
      <c r="I50" s="13">
        <v>0</v>
      </c>
      <c r="J50" s="24"/>
      <c r="L50" s="20"/>
      <c r="M50" s="21"/>
      <c r="N50" s="22"/>
    </row>
    <row r="51" spans="1:22" ht="15.75" customHeight="1">
      <c r="A51" s="30">
        <v>13</v>
      </c>
      <c r="B51" s="82" t="s">
        <v>61</v>
      </c>
      <c r="C51" s="83" t="s">
        <v>125</v>
      </c>
      <c r="D51" s="82" t="s">
        <v>183</v>
      </c>
      <c r="E51" s="56">
        <v>2872.4</v>
      </c>
      <c r="F51" s="84">
        <f>SUM(E51*5/1000)</f>
        <v>14.362</v>
      </c>
      <c r="G51" s="13">
        <v>1297.28</v>
      </c>
      <c r="H51" s="85">
        <f t="shared" si="4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22" ht="31.5" hidden="1" customHeight="1">
      <c r="A52" s="30"/>
      <c r="B52" s="82" t="s">
        <v>134</v>
      </c>
      <c r="C52" s="83" t="s">
        <v>125</v>
      </c>
      <c r="D52" s="82" t="s">
        <v>44</v>
      </c>
      <c r="E52" s="56">
        <v>2872.4</v>
      </c>
      <c r="F52" s="84">
        <f>SUM(E52*2/1000)</f>
        <v>5.7448000000000006</v>
      </c>
      <c r="G52" s="13">
        <v>1297.28</v>
      </c>
      <c r="H52" s="85">
        <f t="shared" si="4"/>
        <v>7.4526141440000009</v>
      </c>
      <c r="I52" s="13">
        <v>0</v>
      </c>
      <c r="J52" s="24"/>
      <c r="L52" s="20"/>
      <c r="M52" s="21"/>
      <c r="N52" s="22"/>
    </row>
    <row r="53" spans="1:22" ht="31.5" hidden="1" customHeight="1">
      <c r="A53" s="30"/>
      <c r="B53" s="82" t="s">
        <v>135</v>
      </c>
      <c r="C53" s="83" t="s">
        <v>40</v>
      </c>
      <c r="D53" s="82" t="s">
        <v>44</v>
      </c>
      <c r="E53" s="56">
        <v>40</v>
      </c>
      <c r="F53" s="84">
        <f>SUM(E53*2/100)</f>
        <v>0.8</v>
      </c>
      <c r="G53" s="13">
        <v>2918.89</v>
      </c>
      <c r="H53" s="85">
        <f t="shared" si="4"/>
        <v>2.3351120000000001</v>
      </c>
      <c r="I53" s="13">
        <v>0</v>
      </c>
      <c r="J53" s="24"/>
      <c r="L53" s="20"/>
      <c r="M53" s="21"/>
      <c r="N53" s="22"/>
    </row>
    <row r="54" spans="1:22" ht="15.75" hidden="1" customHeight="1">
      <c r="A54" s="30"/>
      <c r="B54" s="82" t="s">
        <v>41</v>
      </c>
      <c r="C54" s="83" t="s">
        <v>42</v>
      </c>
      <c r="D54" s="82" t="s">
        <v>44</v>
      </c>
      <c r="E54" s="56">
        <v>1</v>
      </c>
      <c r="F54" s="84">
        <v>0.02</v>
      </c>
      <c r="G54" s="13">
        <v>6042.12</v>
      </c>
      <c r="H54" s="85">
        <f t="shared" si="4"/>
        <v>0.1208424</v>
      </c>
      <c r="I54" s="13">
        <v>0</v>
      </c>
      <c r="J54" s="24"/>
      <c r="L54" s="20"/>
      <c r="M54" s="21"/>
      <c r="N54" s="22"/>
    </row>
    <row r="55" spans="1:22" ht="15.75" customHeight="1">
      <c r="A55" s="30">
        <v>14</v>
      </c>
      <c r="B55" s="82" t="s">
        <v>43</v>
      </c>
      <c r="C55" s="83" t="s">
        <v>31</v>
      </c>
      <c r="D55" s="82" t="s">
        <v>76</v>
      </c>
      <c r="E55" s="56">
        <v>160</v>
      </c>
      <c r="F55" s="84">
        <f>SUM(E55)*3</f>
        <v>480</v>
      </c>
      <c r="G55" s="13">
        <v>70.209999999999994</v>
      </c>
      <c r="H55" s="85">
        <f t="shared" si="4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22" ht="15.75" customHeight="1">
      <c r="A56" s="131" t="s">
        <v>155</v>
      </c>
      <c r="B56" s="132"/>
      <c r="C56" s="132"/>
      <c r="D56" s="132"/>
      <c r="E56" s="132"/>
      <c r="F56" s="132"/>
      <c r="G56" s="132"/>
      <c r="H56" s="132"/>
      <c r="I56" s="133"/>
      <c r="J56" s="24"/>
      <c r="L56" s="20"/>
      <c r="M56" s="21"/>
      <c r="N56" s="22"/>
    </row>
    <row r="57" spans="1:22" ht="15.75" customHeight="1">
      <c r="A57" s="30"/>
      <c r="B57" s="106" t="s">
        <v>45</v>
      </c>
      <c r="C57" s="83"/>
      <c r="D57" s="82"/>
      <c r="E57" s="56"/>
      <c r="F57" s="84"/>
      <c r="G57" s="84"/>
      <c r="H57" s="85"/>
      <c r="I57" s="13"/>
      <c r="J57" s="24"/>
      <c r="L57" s="20"/>
      <c r="M57" s="21"/>
      <c r="N57" s="22"/>
    </row>
    <row r="58" spans="1:22" ht="31.5" customHeight="1">
      <c r="A58" s="30">
        <v>15</v>
      </c>
      <c r="B58" s="82" t="s">
        <v>137</v>
      </c>
      <c r="C58" s="83" t="s">
        <v>116</v>
      </c>
      <c r="D58" s="82" t="s">
        <v>77</v>
      </c>
      <c r="E58" s="56">
        <v>239.59</v>
      </c>
      <c r="F58" s="84">
        <f>E58*6/100</f>
        <v>14.375399999999999</v>
      </c>
      <c r="G58" s="91">
        <v>1654.04</v>
      </c>
      <c r="H58" s="85">
        <f>F58*G58/1000</f>
        <v>23.777486615999997</v>
      </c>
      <c r="I58" s="13">
        <f>F58/6*G58</f>
        <v>3962.9144359999996</v>
      </c>
      <c r="J58" s="24"/>
      <c r="L58" s="20"/>
      <c r="M58" s="21"/>
      <c r="N58" s="22"/>
    </row>
    <row r="59" spans="1:22" ht="15.75" customHeight="1">
      <c r="A59" s="30"/>
      <c r="B59" s="107" t="s">
        <v>46</v>
      </c>
      <c r="C59" s="92"/>
      <c r="D59" s="93"/>
      <c r="E59" s="94"/>
      <c r="F59" s="96"/>
      <c r="G59" s="13"/>
      <c r="H59" s="98"/>
      <c r="I59" s="13"/>
      <c r="J59" s="24"/>
      <c r="L59" s="20"/>
      <c r="M59" s="21"/>
      <c r="N59" s="22"/>
    </row>
    <row r="60" spans="1:22" ht="15.75" hidden="1" customHeight="1">
      <c r="A60" s="30"/>
      <c r="B60" s="93" t="s">
        <v>47</v>
      </c>
      <c r="C60" s="92" t="s">
        <v>56</v>
      </c>
      <c r="D60" s="93" t="s">
        <v>57</v>
      </c>
      <c r="E60" s="94">
        <v>2686</v>
      </c>
      <c r="F60" s="96">
        <f>E60/100</f>
        <v>26.86</v>
      </c>
      <c r="G60" s="13">
        <v>848.37</v>
      </c>
      <c r="H60" s="98">
        <f>G60*F60/1000</f>
        <v>22.787218199999998</v>
      </c>
      <c r="I60" s="13">
        <v>0</v>
      </c>
      <c r="J60" s="24"/>
      <c r="L60" s="20"/>
    </row>
    <row r="61" spans="1:22" ht="15.75" customHeight="1">
      <c r="A61" s="30">
        <v>16</v>
      </c>
      <c r="B61" s="93" t="s">
        <v>105</v>
      </c>
      <c r="C61" s="92" t="s">
        <v>25</v>
      </c>
      <c r="D61" s="93" t="s">
        <v>30</v>
      </c>
      <c r="E61" s="94">
        <v>343</v>
      </c>
      <c r="F61" s="96">
        <v>4116</v>
      </c>
      <c r="G61" s="13">
        <v>2.6</v>
      </c>
      <c r="H61" s="98">
        <f>F61*G61</f>
        <v>10701.6</v>
      </c>
      <c r="I61" s="13">
        <f>F61/12*G61</f>
        <v>891.80000000000007</v>
      </c>
    </row>
    <row r="62" spans="1:22" ht="15.75" hidden="1" customHeight="1">
      <c r="A62" s="30"/>
      <c r="B62" s="107" t="s">
        <v>149</v>
      </c>
      <c r="C62" s="92"/>
      <c r="D62" s="93"/>
      <c r="E62" s="94"/>
      <c r="F62" s="96"/>
      <c r="G62" s="13"/>
      <c r="H62" s="98"/>
      <c r="I62" s="13"/>
    </row>
    <row r="63" spans="1:22" ht="15.75" hidden="1" customHeight="1">
      <c r="A63" s="30"/>
      <c r="B63" s="93" t="s">
        <v>150</v>
      </c>
      <c r="C63" s="92" t="s">
        <v>31</v>
      </c>
      <c r="D63" s="93" t="s">
        <v>72</v>
      </c>
      <c r="E63" s="94">
        <v>3</v>
      </c>
      <c r="F63" s="95">
        <v>3</v>
      </c>
      <c r="G63" s="97">
        <v>254.16</v>
      </c>
      <c r="H63" s="96">
        <v>0.76200000000000001</v>
      </c>
      <c r="I63" s="13">
        <v>0</v>
      </c>
    </row>
    <row r="64" spans="1:22" ht="15.75" hidden="1" customHeight="1">
      <c r="A64" s="30"/>
      <c r="B64" s="107" t="s">
        <v>48</v>
      </c>
      <c r="C64" s="92"/>
      <c r="D64" s="93"/>
      <c r="E64" s="94"/>
      <c r="F64" s="95"/>
      <c r="G64" s="95"/>
      <c r="H64" s="96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0"/>
      <c r="B65" s="14" t="s">
        <v>49</v>
      </c>
      <c r="C65" s="16" t="s">
        <v>136</v>
      </c>
      <c r="D65" s="93" t="s">
        <v>72</v>
      </c>
      <c r="E65" s="19">
        <v>15</v>
      </c>
      <c r="F65" s="84">
        <v>15</v>
      </c>
      <c r="G65" s="13">
        <v>237.74</v>
      </c>
      <c r="H65" s="99">
        <f t="shared" ref="H65:H78" si="5">SUM(F65*G65/1000)</f>
        <v>3.5661000000000005</v>
      </c>
      <c r="I65" s="13">
        <v>0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14" t="s">
        <v>50</v>
      </c>
      <c r="C66" s="16" t="s">
        <v>136</v>
      </c>
      <c r="D66" s="93" t="s">
        <v>72</v>
      </c>
      <c r="E66" s="19">
        <v>5</v>
      </c>
      <c r="F66" s="84">
        <v>5</v>
      </c>
      <c r="G66" s="13">
        <v>81.510000000000005</v>
      </c>
      <c r="H66" s="99">
        <f t="shared" si="5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14" t="s">
        <v>51</v>
      </c>
      <c r="C67" s="16" t="s">
        <v>138</v>
      </c>
      <c r="D67" s="14" t="s">
        <v>57</v>
      </c>
      <c r="E67" s="56">
        <v>24123</v>
      </c>
      <c r="F67" s="13">
        <f>SUM(E67/100)</f>
        <v>241.23</v>
      </c>
      <c r="G67" s="13">
        <v>226.79</v>
      </c>
      <c r="H67" s="99">
        <f t="shared" si="5"/>
        <v>54.708551699999994</v>
      </c>
      <c r="I67" s="13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127"/>
      <c r="S67" s="127"/>
      <c r="T67" s="127"/>
      <c r="U67" s="127"/>
    </row>
    <row r="68" spans="1:21" ht="15.75" hidden="1" customHeight="1">
      <c r="A68" s="30"/>
      <c r="B68" s="14" t="s">
        <v>52</v>
      </c>
      <c r="C68" s="16" t="s">
        <v>139</v>
      </c>
      <c r="D68" s="14"/>
      <c r="E68" s="56">
        <v>24123</v>
      </c>
      <c r="F68" s="13">
        <f>SUM(E68/1000)</f>
        <v>24.123000000000001</v>
      </c>
      <c r="G68" s="13">
        <v>176.61</v>
      </c>
      <c r="H68" s="99">
        <f t="shared" si="5"/>
        <v>4.2603630300000006</v>
      </c>
      <c r="I68" s="13">
        <f t="shared" ref="I68:I72" si="6">F68*G68</f>
        <v>4260.3630300000004</v>
      </c>
    </row>
    <row r="69" spans="1:21" ht="15.75" hidden="1" customHeight="1">
      <c r="A69" s="30"/>
      <c r="B69" s="14" t="s">
        <v>53</v>
      </c>
      <c r="C69" s="16" t="s">
        <v>82</v>
      </c>
      <c r="D69" s="14" t="s">
        <v>57</v>
      </c>
      <c r="E69" s="56">
        <v>2730</v>
      </c>
      <c r="F69" s="13">
        <f>SUM(E69/100)</f>
        <v>27.3</v>
      </c>
      <c r="G69" s="13">
        <v>2217.7800000000002</v>
      </c>
      <c r="H69" s="99">
        <f t="shared" si="5"/>
        <v>60.545394000000009</v>
      </c>
      <c r="I69" s="13">
        <f t="shared" si="6"/>
        <v>60545.394000000008</v>
      </c>
    </row>
    <row r="70" spans="1:21" ht="15.75" hidden="1" customHeight="1">
      <c r="A70" s="30"/>
      <c r="B70" s="100" t="s">
        <v>140</v>
      </c>
      <c r="C70" s="16" t="s">
        <v>34</v>
      </c>
      <c r="D70" s="14"/>
      <c r="E70" s="56">
        <v>23</v>
      </c>
      <c r="F70" s="13">
        <f>SUM(E70)</f>
        <v>23</v>
      </c>
      <c r="G70" s="13">
        <v>42.67</v>
      </c>
      <c r="H70" s="99">
        <f t="shared" si="5"/>
        <v>0.98141000000000012</v>
      </c>
      <c r="I70" s="13">
        <f t="shared" si="6"/>
        <v>981.41000000000008</v>
      </c>
    </row>
    <row r="71" spans="1:21" ht="15.75" hidden="1" customHeight="1">
      <c r="A71" s="30"/>
      <c r="B71" s="100" t="s">
        <v>141</v>
      </c>
      <c r="C71" s="16" t="s">
        <v>34</v>
      </c>
      <c r="D71" s="14"/>
      <c r="E71" s="56">
        <v>23</v>
      </c>
      <c r="F71" s="13">
        <f>SUM(E71)</f>
        <v>23</v>
      </c>
      <c r="G71" s="13">
        <v>39.81</v>
      </c>
      <c r="H71" s="99">
        <f t="shared" si="5"/>
        <v>0.91563000000000005</v>
      </c>
      <c r="I71" s="13">
        <f t="shared" si="6"/>
        <v>915.63000000000011</v>
      </c>
    </row>
    <row r="72" spans="1:21" ht="15.75" hidden="1" customHeight="1">
      <c r="A72" s="30"/>
      <c r="B72" s="14" t="s">
        <v>62</v>
      </c>
      <c r="C72" s="16" t="s">
        <v>63</v>
      </c>
      <c r="D72" s="14" t="s">
        <v>57</v>
      </c>
      <c r="E72" s="19">
        <v>10</v>
      </c>
      <c r="F72" s="84">
        <f>SUM(E72)</f>
        <v>10</v>
      </c>
      <c r="G72" s="13">
        <v>53.32</v>
      </c>
      <c r="H72" s="99">
        <f t="shared" si="5"/>
        <v>0.53320000000000001</v>
      </c>
      <c r="I72" s="13">
        <f t="shared" si="6"/>
        <v>533.20000000000005</v>
      </c>
    </row>
    <row r="73" spans="1:21" ht="15.75" hidden="1" customHeight="1">
      <c r="A73" s="30"/>
      <c r="B73" s="64" t="s">
        <v>78</v>
      </c>
      <c r="C73" s="16"/>
      <c r="D73" s="14"/>
      <c r="E73" s="19"/>
      <c r="F73" s="13"/>
      <c r="G73" s="13"/>
      <c r="H73" s="99" t="s">
        <v>144</v>
      </c>
      <c r="I73" s="13"/>
    </row>
    <row r="74" spans="1:21" ht="15.75" hidden="1" customHeight="1">
      <c r="A74" s="30"/>
      <c r="B74" s="14" t="s">
        <v>79</v>
      </c>
      <c r="C74" s="16" t="s">
        <v>32</v>
      </c>
      <c r="D74" s="14"/>
      <c r="E74" s="19">
        <v>2</v>
      </c>
      <c r="F74" s="75">
        <v>0.2</v>
      </c>
      <c r="G74" s="13">
        <v>536.23</v>
      </c>
      <c r="H74" s="99">
        <v>0.251</v>
      </c>
      <c r="I74" s="13">
        <v>0</v>
      </c>
    </row>
    <row r="75" spans="1:21" ht="15.75" hidden="1" customHeight="1">
      <c r="A75" s="30"/>
      <c r="B75" s="14" t="s">
        <v>95</v>
      </c>
      <c r="C75" s="16" t="s">
        <v>31</v>
      </c>
      <c r="D75" s="14"/>
      <c r="E75" s="19">
        <v>1</v>
      </c>
      <c r="F75" s="84">
        <f>SUM(E75)</f>
        <v>1</v>
      </c>
      <c r="G75" s="13">
        <v>383.25</v>
      </c>
      <c r="H75" s="99">
        <f t="shared" si="5"/>
        <v>0.38324999999999998</v>
      </c>
      <c r="I75" s="13">
        <v>0</v>
      </c>
    </row>
    <row r="76" spans="1:21" ht="15.75" hidden="1" customHeight="1">
      <c r="A76" s="30"/>
      <c r="B76" s="14" t="s">
        <v>80</v>
      </c>
      <c r="C76" s="16" t="s">
        <v>31</v>
      </c>
      <c r="D76" s="14"/>
      <c r="E76" s="19">
        <v>2</v>
      </c>
      <c r="F76" s="13">
        <v>2</v>
      </c>
      <c r="G76" s="13">
        <v>911.85</v>
      </c>
      <c r="H76" s="99">
        <f>F76*G76/1000</f>
        <v>1.8237000000000001</v>
      </c>
      <c r="I76" s="13">
        <v>0</v>
      </c>
    </row>
    <row r="77" spans="1:21" ht="15.75" hidden="1" customHeight="1">
      <c r="A77" s="30"/>
      <c r="B77" s="101" t="s">
        <v>81</v>
      </c>
      <c r="C77" s="16"/>
      <c r="D77" s="14"/>
      <c r="E77" s="19"/>
      <c r="F77" s="13"/>
      <c r="G77" s="13" t="s">
        <v>144</v>
      </c>
      <c r="H77" s="99" t="s">
        <v>144</v>
      </c>
      <c r="I77" s="13"/>
    </row>
    <row r="78" spans="1:21" ht="15.75" hidden="1" customHeight="1">
      <c r="A78" s="30"/>
      <c r="B78" s="49" t="s">
        <v>145</v>
      </c>
      <c r="C78" s="16" t="s">
        <v>82</v>
      </c>
      <c r="D78" s="14"/>
      <c r="E78" s="19"/>
      <c r="F78" s="13">
        <v>1.35</v>
      </c>
      <c r="G78" s="13">
        <v>2949.85</v>
      </c>
      <c r="H78" s="99">
        <f t="shared" si="5"/>
        <v>3.9822975</v>
      </c>
      <c r="I78" s="13">
        <v>0</v>
      </c>
    </row>
    <row r="79" spans="1:21" ht="15.75" hidden="1" customHeight="1">
      <c r="A79" s="30"/>
      <c r="B79" s="87" t="s">
        <v>142</v>
      </c>
      <c r="C79" s="101"/>
      <c r="D79" s="32"/>
      <c r="E79" s="33"/>
      <c r="F79" s="88"/>
      <c r="G79" s="88"/>
      <c r="H79" s="102">
        <f>SUM(H58:H78)</f>
        <v>10881.285151046004</v>
      </c>
      <c r="I79" s="88"/>
    </row>
    <row r="80" spans="1:21" ht="15.75" hidden="1" customHeight="1">
      <c r="A80" s="30"/>
      <c r="B80" s="82" t="s">
        <v>143</v>
      </c>
      <c r="C80" s="16"/>
      <c r="D80" s="14"/>
      <c r="E80" s="76"/>
      <c r="F80" s="13">
        <v>1</v>
      </c>
      <c r="G80" s="13">
        <v>19342.2</v>
      </c>
      <c r="H80" s="99">
        <f>G80*F80/1000</f>
        <v>19.342200000000002</v>
      </c>
      <c r="I80" s="13">
        <v>0</v>
      </c>
    </row>
    <row r="81" spans="1:9" ht="15.75" customHeight="1">
      <c r="A81" s="140" t="s">
        <v>156</v>
      </c>
      <c r="B81" s="141"/>
      <c r="C81" s="141"/>
      <c r="D81" s="141"/>
      <c r="E81" s="141"/>
      <c r="F81" s="141"/>
      <c r="G81" s="141"/>
      <c r="H81" s="141"/>
      <c r="I81" s="142"/>
    </row>
    <row r="82" spans="1:9" ht="15.75" customHeight="1">
      <c r="A82" s="30">
        <v>17</v>
      </c>
      <c r="B82" s="82" t="s">
        <v>146</v>
      </c>
      <c r="C82" s="16" t="s">
        <v>59</v>
      </c>
      <c r="D82" s="103" t="s">
        <v>60</v>
      </c>
      <c r="E82" s="13">
        <v>4591.2</v>
      </c>
      <c r="F82" s="13">
        <f>SUM(E82*12)</f>
        <v>55094.399999999994</v>
      </c>
      <c r="G82" s="13">
        <v>2.54</v>
      </c>
      <c r="H82" s="99">
        <f>SUM(F82*G82/1000)</f>
        <v>139.93977599999999</v>
      </c>
      <c r="I82" s="13">
        <f>F82/12*G82</f>
        <v>11661.647999999999</v>
      </c>
    </row>
    <row r="83" spans="1:9" ht="31.5" customHeight="1">
      <c r="A83" s="30">
        <v>18</v>
      </c>
      <c r="B83" s="14" t="s">
        <v>83</v>
      </c>
      <c r="C83" s="16"/>
      <c r="D83" s="103" t="s">
        <v>60</v>
      </c>
      <c r="E83" s="56">
        <f>E82</f>
        <v>4591.2</v>
      </c>
      <c r="F83" s="13">
        <f>E83*12</f>
        <v>55094.399999999994</v>
      </c>
      <c r="G83" s="13">
        <v>2.0499999999999998</v>
      </c>
      <c r="H83" s="99">
        <f>F83*G83/1000</f>
        <v>112.94351999999998</v>
      </c>
      <c r="I83" s="13">
        <f>F83/12*G83</f>
        <v>9411.9599999999991</v>
      </c>
    </row>
    <row r="84" spans="1:9" ht="15.75" customHeight="1">
      <c r="A84" s="50"/>
      <c r="B84" s="40" t="s">
        <v>86</v>
      </c>
      <c r="C84" s="42"/>
      <c r="D84" s="15"/>
      <c r="E84" s="15"/>
      <c r="F84" s="15"/>
      <c r="G84" s="19"/>
      <c r="H84" s="19"/>
      <c r="I84" s="33">
        <f>SUM(I16+I17+I18+I20+I21+I26+I27+I38+I39+I41+I42+I44+I51+I55+I58+I61+I82+I83)</f>
        <v>99656.378228250018</v>
      </c>
    </row>
    <row r="85" spans="1:9" ht="15.75" customHeight="1">
      <c r="A85" s="137" t="s">
        <v>65</v>
      </c>
      <c r="B85" s="138"/>
      <c r="C85" s="138"/>
      <c r="D85" s="138"/>
      <c r="E85" s="138"/>
      <c r="F85" s="138"/>
      <c r="G85" s="138"/>
      <c r="H85" s="138"/>
      <c r="I85" s="139"/>
    </row>
    <row r="86" spans="1:9" ht="15.75" customHeight="1">
      <c r="A86" s="30">
        <v>19</v>
      </c>
      <c r="B86" s="66" t="s">
        <v>204</v>
      </c>
      <c r="C86" s="67" t="s">
        <v>99</v>
      </c>
      <c r="D86" s="49"/>
      <c r="E86" s="13"/>
      <c r="F86" s="13">
        <f>124/3</f>
        <v>41.333333333333336</v>
      </c>
      <c r="G86" s="13">
        <v>1120.8900000000001</v>
      </c>
      <c r="H86" s="99">
        <f t="shared" ref="H86:H92" si="7">G86*F86/1000</f>
        <v>46.330120000000008</v>
      </c>
      <c r="I86" s="13">
        <f>G86*((3+15)/3)</f>
        <v>6725.34</v>
      </c>
    </row>
    <row r="87" spans="1:9" ht="31.5" customHeight="1">
      <c r="A87" s="30">
        <v>20</v>
      </c>
      <c r="B87" s="53" t="s">
        <v>205</v>
      </c>
      <c r="C87" s="58" t="s">
        <v>101</v>
      </c>
      <c r="D87" s="49"/>
      <c r="E87" s="13"/>
      <c r="F87" s="13">
        <v>6</v>
      </c>
      <c r="G87" s="13">
        <v>666.24</v>
      </c>
      <c r="H87" s="99">
        <f t="shared" si="7"/>
        <v>3.9974400000000001</v>
      </c>
      <c r="I87" s="13">
        <f>G87*4</f>
        <v>2664.96</v>
      </c>
    </row>
    <row r="88" spans="1:9" ht="31.5" customHeight="1">
      <c r="A88" s="30">
        <v>21</v>
      </c>
      <c r="B88" s="53" t="s">
        <v>175</v>
      </c>
      <c r="C88" s="58" t="s">
        <v>40</v>
      </c>
      <c r="D88" s="49"/>
      <c r="E88" s="13"/>
      <c r="F88" s="13">
        <v>0.06</v>
      </c>
      <c r="G88" s="13">
        <v>3581.13</v>
      </c>
      <c r="H88" s="99">
        <f t="shared" si="7"/>
        <v>0.2148678</v>
      </c>
      <c r="I88" s="13">
        <f>G88*0.01</f>
        <v>35.811300000000003</v>
      </c>
    </row>
    <row r="89" spans="1:9" ht="31.5" customHeight="1">
      <c r="A89" s="30">
        <v>22</v>
      </c>
      <c r="B89" s="53" t="s">
        <v>85</v>
      </c>
      <c r="C89" s="58" t="s">
        <v>136</v>
      </c>
      <c r="D89" s="49"/>
      <c r="E89" s="13"/>
      <c r="F89" s="13">
        <v>3</v>
      </c>
      <c r="G89" s="13">
        <v>83.36</v>
      </c>
      <c r="H89" s="99">
        <f t="shared" si="7"/>
        <v>0.25007999999999997</v>
      </c>
      <c r="I89" s="13">
        <f>G89*2</f>
        <v>166.72</v>
      </c>
    </row>
    <row r="90" spans="1:9" ht="15.75" customHeight="1">
      <c r="A90" s="30">
        <v>23</v>
      </c>
      <c r="B90" s="53" t="s">
        <v>114</v>
      </c>
      <c r="C90" s="58" t="s">
        <v>136</v>
      </c>
      <c r="D90" s="49"/>
      <c r="E90" s="13"/>
      <c r="F90" s="13">
        <v>1</v>
      </c>
      <c r="G90" s="13">
        <v>1012.53</v>
      </c>
      <c r="H90" s="99">
        <f t="shared" si="7"/>
        <v>1.0125299999999999</v>
      </c>
      <c r="I90" s="13">
        <f>G90</f>
        <v>1012.53</v>
      </c>
    </row>
    <row r="91" spans="1:9" ht="31.5" customHeight="1">
      <c r="A91" s="30">
        <v>24</v>
      </c>
      <c r="B91" s="53" t="s">
        <v>166</v>
      </c>
      <c r="C91" s="58" t="s">
        <v>136</v>
      </c>
      <c r="D91" s="49"/>
      <c r="E91" s="13"/>
      <c r="F91" s="13">
        <v>1</v>
      </c>
      <c r="G91" s="13">
        <v>2297.02</v>
      </c>
      <c r="H91" s="99">
        <f t="shared" si="7"/>
        <v>2.2970199999999998</v>
      </c>
      <c r="I91" s="13">
        <f>G91</f>
        <v>2297.02</v>
      </c>
    </row>
    <row r="92" spans="1:9" ht="15.75" customHeight="1">
      <c r="A92" s="30">
        <v>25</v>
      </c>
      <c r="B92" s="53" t="s">
        <v>206</v>
      </c>
      <c r="C92" s="58" t="s">
        <v>136</v>
      </c>
      <c r="D92" s="49"/>
      <c r="E92" s="13"/>
      <c r="F92" s="13">
        <v>3</v>
      </c>
      <c r="G92" s="13">
        <v>190.86</v>
      </c>
      <c r="H92" s="99">
        <f t="shared" si="7"/>
        <v>0.57258000000000009</v>
      </c>
      <c r="I92" s="13">
        <f>G92*3</f>
        <v>572.58000000000004</v>
      </c>
    </row>
    <row r="93" spans="1:9" ht="15.75" customHeight="1">
      <c r="A93" s="30"/>
      <c r="B93" s="47" t="s">
        <v>54</v>
      </c>
      <c r="C93" s="43"/>
      <c r="D93" s="51"/>
      <c r="E93" s="43">
        <v>1</v>
      </c>
      <c r="F93" s="43"/>
      <c r="G93" s="43"/>
      <c r="H93" s="43"/>
      <c r="I93" s="33">
        <f>SUM(I86:I92)</f>
        <v>13474.961299999999</v>
      </c>
    </row>
    <row r="94" spans="1:9" ht="15.75" customHeight="1">
      <c r="A94" s="30"/>
      <c r="B94" s="49" t="s">
        <v>84</v>
      </c>
      <c r="C94" s="15"/>
      <c r="D94" s="15"/>
      <c r="E94" s="44"/>
      <c r="F94" s="44"/>
      <c r="G94" s="45"/>
      <c r="H94" s="45"/>
      <c r="I94" s="18">
        <v>0</v>
      </c>
    </row>
    <row r="95" spans="1:9" ht="15.75" customHeight="1">
      <c r="A95" s="52"/>
      <c r="B95" s="48" t="s">
        <v>203</v>
      </c>
      <c r="C95" s="36"/>
      <c r="D95" s="36"/>
      <c r="E95" s="36"/>
      <c r="F95" s="36"/>
      <c r="G95" s="36"/>
      <c r="H95" s="36"/>
      <c r="I95" s="46">
        <f>I84+I93</f>
        <v>113131.33952825001</v>
      </c>
    </row>
    <row r="96" spans="1:9" ht="15.75" customHeight="1">
      <c r="A96" s="134" t="s">
        <v>272</v>
      </c>
      <c r="B96" s="134"/>
      <c r="C96" s="134"/>
      <c r="D96" s="134"/>
      <c r="E96" s="134"/>
      <c r="F96" s="134"/>
      <c r="G96" s="134"/>
      <c r="H96" s="134"/>
      <c r="I96" s="134"/>
    </row>
    <row r="97" spans="1:9" ht="15.75" customHeight="1">
      <c r="A97" s="65"/>
      <c r="B97" s="135" t="s">
        <v>273</v>
      </c>
      <c r="C97" s="135"/>
      <c r="D97" s="135"/>
      <c r="E97" s="135"/>
      <c r="F97" s="135"/>
      <c r="G97" s="135"/>
      <c r="H97" s="80"/>
      <c r="I97" s="3"/>
    </row>
    <row r="98" spans="1:9" ht="15.75" customHeight="1">
      <c r="A98" s="59"/>
      <c r="B98" s="125" t="s">
        <v>6</v>
      </c>
      <c r="C98" s="125"/>
      <c r="D98" s="125"/>
      <c r="E98" s="125"/>
      <c r="F98" s="125"/>
      <c r="G98" s="125"/>
      <c r="H98" s="25"/>
      <c r="I98" s="5"/>
    </row>
    <row r="99" spans="1:9" ht="7.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36" t="s">
        <v>7</v>
      </c>
      <c r="B100" s="136"/>
      <c r="C100" s="136"/>
      <c r="D100" s="136"/>
      <c r="E100" s="136"/>
      <c r="F100" s="136"/>
      <c r="G100" s="136"/>
      <c r="H100" s="136"/>
      <c r="I100" s="136"/>
    </row>
    <row r="101" spans="1:9" ht="15.75" customHeight="1">
      <c r="A101" s="136" t="s">
        <v>8</v>
      </c>
      <c r="B101" s="136"/>
      <c r="C101" s="136"/>
      <c r="D101" s="136"/>
      <c r="E101" s="136"/>
      <c r="F101" s="136"/>
      <c r="G101" s="136"/>
      <c r="H101" s="136"/>
      <c r="I101" s="136"/>
    </row>
    <row r="102" spans="1:9" ht="15.75" customHeight="1">
      <c r="A102" s="129" t="s">
        <v>66</v>
      </c>
      <c r="B102" s="129"/>
      <c r="C102" s="129"/>
      <c r="D102" s="129"/>
      <c r="E102" s="129"/>
      <c r="F102" s="129"/>
      <c r="G102" s="129"/>
      <c r="H102" s="129"/>
      <c r="I102" s="129"/>
    </row>
    <row r="103" spans="1:9" ht="7.5" customHeight="1">
      <c r="A103" s="11"/>
    </row>
    <row r="104" spans="1:9" ht="15.75" customHeight="1">
      <c r="A104" s="123" t="s">
        <v>9</v>
      </c>
      <c r="B104" s="123"/>
      <c r="C104" s="123"/>
      <c r="D104" s="123"/>
      <c r="E104" s="123"/>
      <c r="F104" s="123"/>
      <c r="G104" s="123"/>
      <c r="H104" s="123"/>
      <c r="I104" s="123"/>
    </row>
    <row r="105" spans="1:9" ht="15.75" customHeight="1">
      <c r="A105" s="4"/>
    </row>
    <row r="106" spans="1:9" ht="15.75" customHeight="1">
      <c r="B106" s="62" t="s">
        <v>10</v>
      </c>
      <c r="C106" s="124" t="s">
        <v>97</v>
      </c>
      <c r="D106" s="124"/>
      <c r="E106" s="124"/>
      <c r="F106" s="78"/>
      <c r="I106" s="61"/>
    </row>
    <row r="107" spans="1:9" ht="15.75" customHeight="1">
      <c r="A107" s="59"/>
      <c r="C107" s="125" t="s">
        <v>11</v>
      </c>
      <c r="D107" s="125"/>
      <c r="E107" s="125"/>
      <c r="F107" s="25"/>
      <c r="I107" s="60" t="s">
        <v>12</v>
      </c>
    </row>
    <row r="108" spans="1:9" ht="15.75" customHeight="1">
      <c r="A108" s="26"/>
      <c r="C108" s="12"/>
      <c r="D108" s="12"/>
      <c r="G108" s="12"/>
      <c r="H108" s="12"/>
    </row>
    <row r="109" spans="1:9" ht="15.75" customHeight="1">
      <c r="B109" s="62" t="s">
        <v>13</v>
      </c>
      <c r="C109" s="126"/>
      <c r="D109" s="126"/>
      <c r="E109" s="126"/>
      <c r="F109" s="79"/>
      <c r="I109" s="61"/>
    </row>
    <row r="110" spans="1:9" ht="15.75" customHeight="1">
      <c r="A110" s="59"/>
      <c r="C110" s="127" t="s">
        <v>11</v>
      </c>
      <c r="D110" s="127"/>
      <c r="E110" s="127"/>
      <c r="F110" s="59"/>
      <c r="I110" s="60" t="s">
        <v>12</v>
      </c>
    </row>
    <row r="111" spans="1:9" ht="15.75" customHeight="1">
      <c r="A111" s="4" t="s">
        <v>14</v>
      </c>
    </row>
    <row r="112" spans="1:9" ht="15.75" customHeight="1">
      <c r="A112" s="128" t="s">
        <v>15</v>
      </c>
      <c r="B112" s="128"/>
      <c r="C112" s="128"/>
      <c r="D112" s="128"/>
      <c r="E112" s="128"/>
      <c r="F112" s="128"/>
      <c r="G112" s="128"/>
      <c r="H112" s="128"/>
      <c r="I112" s="128"/>
    </row>
    <row r="113" spans="1:9" ht="45" customHeight="1">
      <c r="A113" s="122" t="s">
        <v>16</v>
      </c>
      <c r="B113" s="122"/>
      <c r="C113" s="122"/>
      <c r="D113" s="122"/>
      <c r="E113" s="122"/>
      <c r="F113" s="122"/>
      <c r="G113" s="122"/>
      <c r="H113" s="122"/>
      <c r="I113" s="122"/>
    </row>
    <row r="114" spans="1:9" ht="30" customHeight="1">
      <c r="A114" s="122" t="s">
        <v>17</v>
      </c>
      <c r="B114" s="122"/>
      <c r="C114" s="122"/>
      <c r="D114" s="122"/>
      <c r="E114" s="122"/>
      <c r="F114" s="122"/>
      <c r="G114" s="122"/>
      <c r="H114" s="122"/>
      <c r="I114" s="122"/>
    </row>
    <row r="115" spans="1:9" ht="30" customHeight="1">
      <c r="A115" s="122" t="s">
        <v>21</v>
      </c>
      <c r="B115" s="122"/>
      <c r="C115" s="122"/>
      <c r="D115" s="122"/>
      <c r="E115" s="122"/>
      <c r="F115" s="122"/>
      <c r="G115" s="122"/>
      <c r="H115" s="122"/>
      <c r="I115" s="122"/>
    </row>
    <row r="116" spans="1:9" ht="15" customHeight="1">
      <c r="A116" s="122" t="s">
        <v>20</v>
      </c>
      <c r="B116" s="122"/>
      <c r="C116" s="122"/>
      <c r="D116" s="122"/>
      <c r="E116" s="122"/>
      <c r="F116" s="122"/>
      <c r="G116" s="122"/>
      <c r="H116" s="122"/>
      <c r="I116" s="122"/>
    </row>
  </sheetData>
  <autoFilter ref="I12:I62"/>
  <mergeCells count="29">
    <mergeCell ref="R67:U67"/>
    <mergeCell ref="A81:I81"/>
    <mergeCell ref="A3:I3"/>
    <mergeCell ref="A4:I4"/>
    <mergeCell ref="A5:I5"/>
    <mergeCell ref="A8:I8"/>
    <mergeCell ref="A10:I10"/>
    <mergeCell ref="A14:I14"/>
    <mergeCell ref="A102:I102"/>
    <mergeCell ref="A15:I15"/>
    <mergeCell ref="A28:I28"/>
    <mergeCell ref="A45:I45"/>
    <mergeCell ref="A56:I56"/>
    <mergeCell ref="A96:I96"/>
    <mergeCell ref="B97:G97"/>
    <mergeCell ref="B98:G98"/>
    <mergeCell ref="A100:I100"/>
    <mergeCell ref="A101:I101"/>
    <mergeCell ref="A85:I85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3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92</v>
      </c>
      <c r="I1" s="27"/>
      <c r="J1" s="1"/>
      <c r="K1" s="1"/>
      <c r="L1" s="1"/>
      <c r="M1" s="1"/>
    </row>
    <row r="2" spans="1:13" ht="15.75" customHeight="1">
      <c r="A2" s="29" t="s">
        <v>67</v>
      </c>
      <c r="J2" s="2"/>
      <c r="K2" s="2"/>
      <c r="L2" s="2"/>
      <c r="M2" s="2"/>
    </row>
    <row r="3" spans="1:13" ht="15.75" customHeight="1">
      <c r="A3" s="143" t="s">
        <v>194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147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240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 customHeight="1">
      <c r="A6" s="2"/>
      <c r="B6" s="63"/>
      <c r="C6" s="63"/>
      <c r="D6" s="63"/>
      <c r="E6" s="63"/>
      <c r="F6" s="63"/>
      <c r="G6" s="63"/>
      <c r="H6" s="63"/>
      <c r="I6" s="31">
        <v>43039</v>
      </c>
      <c r="J6" s="2"/>
      <c r="K6" s="2"/>
      <c r="L6" s="2"/>
      <c r="M6" s="2"/>
    </row>
    <row r="7" spans="1:13" ht="15.75" customHeight="1">
      <c r="B7" s="62"/>
      <c r="C7" s="62"/>
      <c r="D7" s="6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158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276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64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30" t="s">
        <v>4</v>
      </c>
      <c r="B15" s="130"/>
      <c r="C15" s="130"/>
      <c r="D15" s="130"/>
      <c r="E15" s="130"/>
      <c r="F15" s="130"/>
      <c r="G15" s="130"/>
      <c r="H15" s="130"/>
      <c r="I15" s="130"/>
      <c r="J15" s="8"/>
      <c r="K15" s="8"/>
      <c r="L15" s="8"/>
      <c r="M15" s="8"/>
    </row>
    <row r="16" spans="1:13" ht="15.75" customHeight="1">
      <c r="A16" s="30">
        <v>1</v>
      </c>
      <c r="B16" s="82" t="s">
        <v>93</v>
      </c>
      <c r="C16" s="83" t="s">
        <v>116</v>
      </c>
      <c r="D16" s="82" t="s">
        <v>117</v>
      </c>
      <c r="E16" s="56">
        <v>127.9</v>
      </c>
      <c r="F16" s="84">
        <f>SUM(E16*156/100)</f>
        <v>199.524</v>
      </c>
      <c r="G16" s="84">
        <v>187.48</v>
      </c>
      <c r="H16" s="85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82" t="s">
        <v>102</v>
      </c>
      <c r="C17" s="83" t="s">
        <v>116</v>
      </c>
      <c r="D17" s="82" t="s">
        <v>181</v>
      </c>
      <c r="E17" s="56">
        <v>511.6</v>
      </c>
      <c r="F17" s="84">
        <f>SUM(E17*104/100)</f>
        <v>532.06399999999996</v>
      </c>
      <c r="G17" s="84">
        <v>185.48</v>
      </c>
      <c r="H17" s="85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82" t="s">
        <v>103</v>
      </c>
      <c r="C18" s="83" t="s">
        <v>116</v>
      </c>
      <c r="D18" s="82" t="s">
        <v>118</v>
      </c>
      <c r="E18" s="56">
        <f>SUM(E16+E17)</f>
        <v>639.5</v>
      </c>
      <c r="F18" s="84">
        <f>SUM(E18*24/100)</f>
        <v>153.47999999999999</v>
      </c>
      <c r="G18" s="84">
        <v>539.30999999999995</v>
      </c>
      <c r="H18" s="85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82" t="s">
        <v>119</v>
      </c>
      <c r="C19" s="83" t="s">
        <v>120</v>
      </c>
      <c r="D19" s="82" t="s">
        <v>121</v>
      </c>
      <c r="E19" s="56">
        <v>38.4</v>
      </c>
      <c r="F19" s="84">
        <f>SUM(E19/10)</f>
        <v>3.84</v>
      </c>
      <c r="G19" s="84">
        <v>181.91</v>
      </c>
      <c r="H19" s="85">
        <f t="shared" si="0"/>
        <v>0.6985344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82" t="s">
        <v>107</v>
      </c>
      <c r="C20" s="83" t="s">
        <v>116</v>
      </c>
      <c r="D20" s="82" t="s">
        <v>30</v>
      </c>
      <c r="E20" s="56">
        <v>58.4</v>
      </c>
      <c r="F20" s="84">
        <f>SUM(E20*12/100)</f>
        <v>7.0079999999999991</v>
      </c>
      <c r="G20" s="84">
        <v>232.92</v>
      </c>
      <c r="H20" s="85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hidden="1" customHeight="1">
      <c r="A21" s="30">
        <v>5</v>
      </c>
      <c r="B21" s="82" t="s">
        <v>108</v>
      </c>
      <c r="C21" s="83" t="s">
        <v>116</v>
      </c>
      <c r="D21" s="82" t="s">
        <v>115</v>
      </c>
      <c r="E21" s="56">
        <v>9.08</v>
      </c>
      <c r="F21" s="84">
        <f>SUM(E21*6/100)</f>
        <v>0.54480000000000006</v>
      </c>
      <c r="G21" s="84">
        <v>231.03</v>
      </c>
      <c r="H21" s="85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82" t="s">
        <v>122</v>
      </c>
      <c r="C22" s="83" t="s">
        <v>56</v>
      </c>
      <c r="D22" s="82" t="s">
        <v>121</v>
      </c>
      <c r="E22" s="56">
        <v>714</v>
      </c>
      <c r="F22" s="84">
        <f>SUM(E22/100)</f>
        <v>7.14</v>
      </c>
      <c r="G22" s="84">
        <v>287.83999999999997</v>
      </c>
      <c r="H22" s="85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82" t="s">
        <v>123</v>
      </c>
      <c r="C23" s="83" t="s">
        <v>56</v>
      </c>
      <c r="D23" s="82" t="s">
        <v>121</v>
      </c>
      <c r="E23" s="77">
        <v>96.6</v>
      </c>
      <c r="F23" s="84">
        <f>SUM(E23/100)</f>
        <v>0.96599999999999997</v>
      </c>
      <c r="G23" s="84">
        <v>47.34</v>
      </c>
      <c r="H23" s="85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82" t="s">
        <v>110</v>
      </c>
      <c r="C24" s="83" t="s">
        <v>56</v>
      </c>
      <c r="D24" s="82" t="s">
        <v>121</v>
      </c>
      <c r="E24" s="19">
        <v>40</v>
      </c>
      <c r="F24" s="86">
        <v>4.8</v>
      </c>
      <c r="G24" s="84">
        <v>416.62</v>
      </c>
      <c r="H24" s="85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82" t="s">
        <v>111</v>
      </c>
      <c r="C25" s="83" t="s">
        <v>56</v>
      </c>
      <c r="D25" s="82" t="s">
        <v>121</v>
      </c>
      <c r="E25" s="56">
        <v>17</v>
      </c>
      <c r="F25" s="84">
        <f>SUM(E25/100)</f>
        <v>0.17</v>
      </c>
      <c r="G25" s="84">
        <v>556.74</v>
      </c>
      <c r="H25" s="85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customHeight="1">
      <c r="A26" s="30">
        <v>5</v>
      </c>
      <c r="B26" s="82" t="s">
        <v>69</v>
      </c>
      <c r="C26" s="83" t="s">
        <v>34</v>
      </c>
      <c r="D26" s="82" t="s">
        <v>246</v>
      </c>
      <c r="E26" s="56">
        <v>0.1</v>
      </c>
      <c r="F26" s="84">
        <f>SUM(E26*365)</f>
        <v>36.5</v>
      </c>
      <c r="G26" s="84">
        <v>157.18</v>
      </c>
      <c r="H26" s="85">
        <f>SUM(F26*G26/1000)</f>
        <v>5.737070000000001</v>
      </c>
      <c r="I26" s="13">
        <f>F26/12*G26</f>
        <v>478.08916666666664</v>
      </c>
      <c r="J26" s="24"/>
    </row>
    <row r="27" spans="1:13" ht="15.75" customHeight="1">
      <c r="A27" s="30">
        <v>6</v>
      </c>
      <c r="B27" s="90" t="s">
        <v>23</v>
      </c>
      <c r="C27" s="83" t="s">
        <v>24</v>
      </c>
      <c r="D27" s="82" t="s">
        <v>246</v>
      </c>
      <c r="E27" s="56">
        <v>4591.2</v>
      </c>
      <c r="F27" s="84">
        <f>SUM(E27*12)</f>
        <v>55094.399999999994</v>
      </c>
      <c r="G27" s="84">
        <v>5.85</v>
      </c>
      <c r="H27" s="85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30" t="s">
        <v>91</v>
      </c>
      <c r="B28" s="130"/>
      <c r="C28" s="130"/>
      <c r="D28" s="130"/>
      <c r="E28" s="130"/>
      <c r="F28" s="130"/>
      <c r="G28" s="130"/>
      <c r="H28" s="130"/>
      <c r="I28" s="130"/>
      <c r="J28" s="23"/>
      <c r="K28" s="8"/>
      <c r="L28" s="8"/>
      <c r="M28" s="8"/>
    </row>
    <row r="29" spans="1:13" ht="15.75" customHeight="1">
      <c r="A29" s="30"/>
      <c r="B29" s="106" t="s">
        <v>28</v>
      </c>
      <c r="C29" s="83"/>
      <c r="D29" s="82"/>
      <c r="E29" s="56"/>
      <c r="F29" s="84"/>
      <c r="G29" s="84"/>
      <c r="H29" s="85"/>
      <c r="I29" s="13"/>
      <c r="J29" s="23"/>
      <c r="K29" s="8"/>
      <c r="L29" s="8"/>
      <c r="M29" s="8"/>
    </row>
    <row r="30" spans="1:13" ht="15.75" customHeight="1">
      <c r="A30" s="30">
        <v>7</v>
      </c>
      <c r="B30" s="82" t="s">
        <v>124</v>
      </c>
      <c r="C30" s="83" t="s">
        <v>125</v>
      </c>
      <c r="D30" s="82" t="s">
        <v>126</v>
      </c>
      <c r="E30" s="84">
        <v>844.95</v>
      </c>
      <c r="F30" s="84">
        <f>SUM(E30*52/1000)</f>
        <v>43.937400000000004</v>
      </c>
      <c r="G30" s="84">
        <v>166.65</v>
      </c>
      <c r="H30" s="85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customHeight="1">
      <c r="A31" s="30">
        <v>8</v>
      </c>
      <c r="B31" s="82" t="s">
        <v>182</v>
      </c>
      <c r="C31" s="83" t="s">
        <v>125</v>
      </c>
      <c r="D31" s="82" t="s">
        <v>127</v>
      </c>
      <c r="E31" s="84">
        <v>260.13</v>
      </c>
      <c r="F31" s="84">
        <f>SUM(E31*78/1000)</f>
        <v>20.290140000000001</v>
      </c>
      <c r="G31" s="84">
        <v>276.48</v>
      </c>
      <c r="H31" s="85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82" t="s">
        <v>27</v>
      </c>
      <c r="C32" s="83" t="s">
        <v>125</v>
      </c>
      <c r="D32" s="82" t="s">
        <v>57</v>
      </c>
      <c r="E32" s="84">
        <v>844.95</v>
      </c>
      <c r="F32" s="84">
        <f>SUM(E32/1000)</f>
        <v>0.84495000000000009</v>
      </c>
      <c r="G32" s="84">
        <v>3228.73</v>
      </c>
      <c r="H32" s="85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customHeight="1">
      <c r="A33" s="30">
        <v>9</v>
      </c>
      <c r="B33" s="82" t="s">
        <v>160</v>
      </c>
      <c r="C33" s="83" t="s">
        <v>42</v>
      </c>
      <c r="D33" s="82" t="s">
        <v>68</v>
      </c>
      <c r="E33" s="84">
        <v>8</v>
      </c>
      <c r="F33" s="84">
        <v>12.4</v>
      </c>
      <c r="G33" s="84">
        <v>1391.86</v>
      </c>
      <c r="H33" s="85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customHeight="1">
      <c r="A34" s="30">
        <v>10</v>
      </c>
      <c r="B34" s="82" t="s">
        <v>128</v>
      </c>
      <c r="C34" s="83" t="s">
        <v>31</v>
      </c>
      <c r="D34" s="82" t="s">
        <v>68</v>
      </c>
      <c r="E34" s="89">
        <v>0.33333333333333331</v>
      </c>
      <c r="F34" s="84">
        <f>155/3</f>
        <v>51.666666666666664</v>
      </c>
      <c r="G34" s="84">
        <v>60.6</v>
      </c>
      <c r="H34" s="85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82" t="s">
        <v>70</v>
      </c>
      <c r="C35" s="83" t="s">
        <v>34</v>
      </c>
      <c r="D35" s="82" t="s">
        <v>72</v>
      </c>
      <c r="E35" s="56"/>
      <c r="F35" s="84">
        <v>3</v>
      </c>
      <c r="G35" s="84">
        <v>204.32</v>
      </c>
      <c r="H35" s="85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82" t="s">
        <v>71</v>
      </c>
      <c r="C36" s="83" t="s">
        <v>33</v>
      </c>
      <c r="D36" s="82" t="s">
        <v>72</v>
      </c>
      <c r="E36" s="56"/>
      <c r="F36" s="84">
        <v>2</v>
      </c>
      <c r="G36" s="84">
        <v>1214.73</v>
      </c>
      <c r="H36" s="85">
        <f t="shared" si="1"/>
        <v>2.4294600000000002</v>
      </c>
      <c r="I36" s="13">
        <v>0</v>
      </c>
      <c r="J36" s="24"/>
    </row>
    <row r="37" spans="1:14" ht="15.75" hidden="1" customHeight="1">
      <c r="A37" s="30"/>
      <c r="B37" s="106" t="s">
        <v>5</v>
      </c>
      <c r="C37" s="83"/>
      <c r="D37" s="82"/>
      <c r="E37" s="56"/>
      <c r="F37" s="84"/>
      <c r="G37" s="84"/>
      <c r="H37" s="85" t="s">
        <v>144</v>
      </c>
      <c r="I37" s="13"/>
      <c r="J37" s="24"/>
    </row>
    <row r="38" spans="1:14" ht="15.75" hidden="1" customHeight="1">
      <c r="A38" s="30">
        <v>8</v>
      </c>
      <c r="B38" s="82" t="s">
        <v>26</v>
      </c>
      <c r="C38" s="83" t="s">
        <v>33</v>
      </c>
      <c r="D38" s="82"/>
      <c r="E38" s="56"/>
      <c r="F38" s="84">
        <v>10</v>
      </c>
      <c r="G38" s="84">
        <v>1632.6</v>
      </c>
      <c r="H38" s="85">
        <f t="shared" ref="H38:H44" si="3">SUM(F38*G38/1000)</f>
        <v>16.326000000000001</v>
      </c>
      <c r="I38" s="13">
        <f>F38/6*G38</f>
        <v>2721</v>
      </c>
      <c r="J38" s="24"/>
    </row>
    <row r="39" spans="1:14" ht="15.75" hidden="1" customHeight="1">
      <c r="A39" s="30">
        <v>9</v>
      </c>
      <c r="B39" s="82" t="s">
        <v>162</v>
      </c>
      <c r="C39" s="83" t="s">
        <v>29</v>
      </c>
      <c r="D39" s="82" t="s">
        <v>129</v>
      </c>
      <c r="E39" s="84">
        <v>254.8</v>
      </c>
      <c r="F39" s="84">
        <f>SUM(E39*30/1000)</f>
        <v>7.6440000000000001</v>
      </c>
      <c r="G39" s="84">
        <v>2247.8000000000002</v>
      </c>
      <c r="H39" s="85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82" t="s">
        <v>104</v>
      </c>
      <c r="C40" s="83" t="s">
        <v>130</v>
      </c>
      <c r="D40" s="82" t="s">
        <v>72</v>
      </c>
      <c r="E40" s="56"/>
      <c r="F40" s="84">
        <v>40</v>
      </c>
      <c r="G40" s="84">
        <v>213.2</v>
      </c>
      <c r="H40" s="85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hidden="1" customHeight="1">
      <c r="A41" s="30">
        <v>10</v>
      </c>
      <c r="B41" s="82" t="s">
        <v>73</v>
      </c>
      <c r="C41" s="83" t="s">
        <v>29</v>
      </c>
      <c r="D41" s="82" t="s">
        <v>131</v>
      </c>
      <c r="E41" s="84">
        <v>260.13</v>
      </c>
      <c r="F41" s="84">
        <f>SUM(E41*155/1000)</f>
        <v>40.320149999999998</v>
      </c>
      <c r="G41" s="84">
        <v>374.95</v>
      </c>
      <c r="H41" s="85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hidden="1" customHeight="1">
      <c r="A42" s="30">
        <v>11</v>
      </c>
      <c r="B42" s="82" t="s">
        <v>89</v>
      </c>
      <c r="C42" s="83" t="s">
        <v>125</v>
      </c>
      <c r="D42" s="82" t="s">
        <v>132</v>
      </c>
      <c r="E42" s="84">
        <v>132.72999999999999</v>
      </c>
      <c r="F42" s="84">
        <f>SUM(E42*35/1000)</f>
        <v>4.6455499999999992</v>
      </c>
      <c r="G42" s="84">
        <v>6203.7</v>
      </c>
      <c r="H42" s="85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hidden="1" customHeight="1">
      <c r="A43" s="30">
        <v>12</v>
      </c>
      <c r="B43" s="82" t="s">
        <v>133</v>
      </c>
      <c r="C43" s="83" t="s">
        <v>125</v>
      </c>
      <c r="D43" s="82" t="s">
        <v>74</v>
      </c>
      <c r="E43" s="84">
        <v>254.8</v>
      </c>
      <c r="F43" s="84">
        <f>SUM(E43*45/1000)</f>
        <v>11.465999999999999</v>
      </c>
      <c r="G43" s="84">
        <v>458.28</v>
      </c>
      <c r="H43" s="85">
        <f t="shared" si="3"/>
        <v>5.2546384799999997</v>
      </c>
      <c r="I43" s="13">
        <f>F43/6*G43</f>
        <v>875.77307999999982</v>
      </c>
      <c r="J43" s="24"/>
      <c r="L43" s="20"/>
      <c r="M43" s="21"/>
      <c r="N43" s="22"/>
    </row>
    <row r="44" spans="1:14" ht="15.75" hidden="1" customHeight="1">
      <c r="A44" s="30">
        <v>13</v>
      </c>
      <c r="B44" s="82" t="s">
        <v>75</v>
      </c>
      <c r="C44" s="83" t="s">
        <v>34</v>
      </c>
      <c r="D44" s="82"/>
      <c r="E44" s="56"/>
      <c r="F44" s="84">
        <v>0.9</v>
      </c>
      <c r="G44" s="84">
        <v>853.06</v>
      </c>
      <c r="H44" s="85">
        <f t="shared" si="3"/>
        <v>0.76775400000000005</v>
      </c>
      <c r="I44" s="13">
        <f>F44/6*G44</f>
        <v>127.95899999999999</v>
      </c>
      <c r="J44" s="24"/>
      <c r="L44" s="20"/>
      <c r="M44" s="21"/>
      <c r="N44" s="22"/>
    </row>
    <row r="45" spans="1:14" ht="15.75" customHeight="1">
      <c r="A45" s="131" t="s">
        <v>154</v>
      </c>
      <c r="B45" s="132"/>
      <c r="C45" s="132"/>
      <c r="D45" s="132"/>
      <c r="E45" s="132"/>
      <c r="F45" s="132"/>
      <c r="G45" s="132"/>
      <c r="H45" s="132"/>
      <c r="I45" s="133"/>
      <c r="J45" s="24"/>
      <c r="L45" s="20"/>
      <c r="M45" s="21"/>
      <c r="N45" s="22"/>
    </row>
    <row r="46" spans="1:14" ht="15.75" hidden="1" customHeight="1">
      <c r="A46" s="30"/>
      <c r="B46" s="82" t="s">
        <v>148</v>
      </c>
      <c r="C46" s="83" t="s">
        <v>125</v>
      </c>
      <c r="D46" s="82" t="s">
        <v>44</v>
      </c>
      <c r="E46" s="56">
        <v>1795.9</v>
      </c>
      <c r="F46" s="84">
        <f>SUM(E46*2/1000)</f>
        <v>3.5918000000000001</v>
      </c>
      <c r="G46" s="13">
        <v>865.61</v>
      </c>
      <c r="H46" s="85">
        <f t="shared" ref="H46:H55" si="4">SUM(F46*G46/1000)</f>
        <v>3.1090979980000002</v>
      </c>
      <c r="I46" s="13">
        <v>0</v>
      </c>
      <c r="J46" s="24"/>
      <c r="L46" s="20"/>
      <c r="M46" s="21"/>
      <c r="N46" s="22"/>
    </row>
    <row r="47" spans="1:14" ht="15.75" hidden="1" customHeight="1">
      <c r="A47" s="30"/>
      <c r="B47" s="82" t="s">
        <v>37</v>
      </c>
      <c r="C47" s="83" t="s">
        <v>125</v>
      </c>
      <c r="D47" s="82" t="s">
        <v>44</v>
      </c>
      <c r="E47" s="56">
        <v>104</v>
      </c>
      <c r="F47" s="84">
        <f>SUM(E47*2/1000)</f>
        <v>0.20799999999999999</v>
      </c>
      <c r="G47" s="13">
        <v>619.46</v>
      </c>
      <c r="H47" s="85">
        <f t="shared" si="4"/>
        <v>0.12884767999999999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30"/>
      <c r="B48" s="82" t="s">
        <v>38</v>
      </c>
      <c r="C48" s="83" t="s">
        <v>125</v>
      </c>
      <c r="D48" s="82" t="s">
        <v>44</v>
      </c>
      <c r="E48" s="56">
        <v>1996.87</v>
      </c>
      <c r="F48" s="84">
        <f>SUM(E48*2/1000)</f>
        <v>3.9937399999999998</v>
      </c>
      <c r="G48" s="13">
        <v>619.46</v>
      </c>
      <c r="H48" s="85">
        <f t="shared" si="4"/>
        <v>2.4739621804</v>
      </c>
      <c r="I48" s="13">
        <v>0</v>
      </c>
      <c r="J48" s="24"/>
      <c r="L48" s="20"/>
      <c r="M48" s="21"/>
      <c r="N48" s="22"/>
    </row>
    <row r="49" spans="1:22" ht="15.75" hidden="1" customHeight="1">
      <c r="A49" s="30"/>
      <c r="B49" s="82" t="s">
        <v>39</v>
      </c>
      <c r="C49" s="83" t="s">
        <v>125</v>
      </c>
      <c r="D49" s="82" t="s">
        <v>44</v>
      </c>
      <c r="E49" s="56">
        <v>2630.35</v>
      </c>
      <c r="F49" s="84">
        <f>SUM(E49*2/1000)</f>
        <v>5.2606999999999999</v>
      </c>
      <c r="G49" s="13">
        <v>648.64</v>
      </c>
      <c r="H49" s="85">
        <f t="shared" si="4"/>
        <v>3.4123004479999999</v>
      </c>
      <c r="I49" s="13">
        <v>0</v>
      </c>
      <c r="J49" s="24"/>
      <c r="L49" s="20"/>
      <c r="M49" s="21"/>
      <c r="N49" s="22"/>
    </row>
    <row r="50" spans="1:22" ht="15.75" hidden="1" customHeight="1">
      <c r="A50" s="30"/>
      <c r="B50" s="82" t="s">
        <v>35</v>
      </c>
      <c r="C50" s="83" t="s">
        <v>36</v>
      </c>
      <c r="D50" s="82" t="s">
        <v>44</v>
      </c>
      <c r="E50" s="56">
        <v>131.47</v>
      </c>
      <c r="F50" s="84">
        <f>SUM(E50*2/100)</f>
        <v>2.6294</v>
      </c>
      <c r="G50" s="13">
        <v>77.84</v>
      </c>
      <c r="H50" s="85">
        <f t="shared" si="4"/>
        <v>0.20467249599999998</v>
      </c>
      <c r="I50" s="13">
        <v>0</v>
      </c>
      <c r="J50" s="24"/>
      <c r="L50" s="20"/>
      <c r="M50" s="21"/>
      <c r="N50" s="22"/>
    </row>
    <row r="51" spans="1:22" ht="15.75" hidden="1" customHeight="1">
      <c r="A51" s="30">
        <v>14</v>
      </c>
      <c r="B51" s="82" t="s">
        <v>61</v>
      </c>
      <c r="C51" s="83" t="s">
        <v>125</v>
      </c>
      <c r="D51" s="82" t="s">
        <v>183</v>
      </c>
      <c r="E51" s="56">
        <v>2872.4</v>
      </c>
      <c r="F51" s="84">
        <f>SUM(E51*5/1000)</f>
        <v>14.362</v>
      </c>
      <c r="G51" s="13">
        <v>1297.28</v>
      </c>
      <c r="H51" s="85">
        <f t="shared" si="4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22" ht="31.5" customHeight="1">
      <c r="A52" s="30">
        <v>11</v>
      </c>
      <c r="B52" s="82" t="s">
        <v>134</v>
      </c>
      <c r="C52" s="83" t="s">
        <v>125</v>
      </c>
      <c r="D52" s="82" t="s">
        <v>44</v>
      </c>
      <c r="E52" s="56">
        <v>2872.4</v>
      </c>
      <c r="F52" s="84">
        <f>SUM(E52*2/1000)</f>
        <v>5.7448000000000006</v>
      </c>
      <c r="G52" s="13">
        <v>1297.28</v>
      </c>
      <c r="H52" s="85">
        <f t="shared" si="4"/>
        <v>7.4526141440000009</v>
      </c>
      <c r="I52" s="13">
        <f>F52/2*G52</f>
        <v>3726.3070720000005</v>
      </c>
      <c r="J52" s="24"/>
      <c r="L52" s="20"/>
      <c r="M52" s="21"/>
      <c r="N52" s="22"/>
    </row>
    <row r="53" spans="1:22" ht="31.5" customHeight="1">
      <c r="A53" s="30">
        <v>12</v>
      </c>
      <c r="B53" s="82" t="s">
        <v>135</v>
      </c>
      <c r="C53" s="83" t="s">
        <v>40</v>
      </c>
      <c r="D53" s="82" t="s">
        <v>44</v>
      </c>
      <c r="E53" s="56">
        <v>40</v>
      </c>
      <c r="F53" s="84">
        <f>SUM(E53*2/100)</f>
        <v>0.8</v>
      </c>
      <c r="G53" s="13">
        <v>2918.89</v>
      </c>
      <c r="H53" s="85">
        <f t="shared" si="4"/>
        <v>2.3351120000000001</v>
      </c>
      <c r="I53" s="13">
        <f t="shared" ref="I53:I54" si="5">F53/2*G53</f>
        <v>1167.556</v>
      </c>
      <c r="J53" s="24"/>
      <c r="L53" s="20"/>
      <c r="M53" s="21"/>
      <c r="N53" s="22"/>
    </row>
    <row r="54" spans="1:22" ht="15.75" customHeight="1">
      <c r="A54" s="30">
        <v>13</v>
      </c>
      <c r="B54" s="82" t="s">
        <v>41</v>
      </c>
      <c r="C54" s="83" t="s">
        <v>42</v>
      </c>
      <c r="D54" s="82" t="s">
        <v>44</v>
      </c>
      <c r="E54" s="56">
        <v>1</v>
      </c>
      <c r="F54" s="84">
        <v>0.02</v>
      </c>
      <c r="G54" s="13">
        <v>6042.12</v>
      </c>
      <c r="H54" s="85">
        <f t="shared" si="4"/>
        <v>0.1208424</v>
      </c>
      <c r="I54" s="13">
        <f t="shared" si="5"/>
        <v>60.421199999999999</v>
      </c>
      <c r="J54" s="24"/>
      <c r="L54" s="20"/>
      <c r="M54" s="21"/>
      <c r="N54" s="22"/>
    </row>
    <row r="55" spans="1:22" ht="15.75" customHeight="1">
      <c r="A55" s="30">
        <v>14</v>
      </c>
      <c r="B55" s="82" t="s">
        <v>43</v>
      </c>
      <c r="C55" s="83" t="s">
        <v>31</v>
      </c>
      <c r="D55" s="82" t="s">
        <v>76</v>
      </c>
      <c r="E55" s="56">
        <v>160</v>
      </c>
      <c r="F55" s="84">
        <f>SUM(E55)*3</f>
        <v>480</v>
      </c>
      <c r="G55" s="13">
        <v>70.209999999999994</v>
      </c>
      <c r="H55" s="85">
        <f t="shared" si="4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22" ht="15.75" customHeight="1">
      <c r="A56" s="131" t="s">
        <v>155</v>
      </c>
      <c r="B56" s="132"/>
      <c r="C56" s="132"/>
      <c r="D56" s="132"/>
      <c r="E56" s="132"/>
      <c r="F56" s="132"/>
      <c r="G56" s="132"/>
      <c r="H56" s="132"/>
      <c r="I56" s="133"/>
      <c r="J56" s="24"/>
      <c r="L56" s="20"/>
      <c r="M56" s="21"/>
      <c r="N56" s="22"/>
    </row>
    <row r="57" spans="1:22" ht="15.75" hidden="1" customHeight="1">
      <c r="A57" s="30"/>
      <c r="B57" s="106" t="s">
        <v>45</v>
      </c>
      <c r="C57" s="83"/>
      <c r="D57" s="82"/>
      <c r="E57" s="56"/>
      <c r="F57" s="84"/>
      <c r="G57" s="84"/>
      <c r="H57" s="85"/>
      <c r="I57" s="13"/>
      <c r="J57" s="24"/>
      <c r="L57" s="20"/>
      <c r="M57" s="21"/>
      <c r="N57" s="22"/>
    </row>
    <row r="58" spans="1:22" ht="31.5" hidden="1" customHeight="1">
      <c r="A58" s="30">
        <v>16</v>
      </c>
      <c r="B58" s="82" t="s">
        <v>137</v>
      </c>
      <c r="C58" s="83" t="s">
        <v>116</v>
      </c>
      <c r="D58" s="82" t="s">
        <v>77</v>
      </c>
      <c r="E58" s="56">
        <v>239.59</v>
      </c>
      <c r="F58" s="84">
        <f>E58*6/100</f>
        <v>14.375399999999999</v>
      </c>
      <c r="G58" s="91">
        <v>1654.04</v>
      </c>
      <c r="H58" s="85">
        <f>F58*G58/1000</f>
        <v>23.777486615999997</v>
      </c>
      <c r="I58" s="13">
        <f>F58/6*G58</f>
        <v>3962.9144359999996</v>
      </c>
      <c r="J58" s="24"/>
      <c r="L58" s="20"/>
      <c r="M58" s="21"/>
      <c r="N58" s="22"/>
    </row>
    <row r="59" spans="1:22" ht="15.75" customHeight="1">
      <c r="A59" s="30"/>
      <c r="B59" s="107" t="s">
        <v>46</v>
      </c>
      <c r="C59" s="92"/>
      <c r="D59" s="93"/>
      <c r="E59" s="94"/>
      <c r="F59" s="96"/>
      <c r="G59" s="13"/>
      <c r="H59" s="98"/>
      <c r="I59" s="13"/>
      <c r="J59" s="24"/>
      <c r="L59" s="20"/>
      <c r="M59" s="21"/>
      <c r="N59" s="22"/>
    </row>
    <row r="60" spans="1:22" ht="15.75" hidden="1" customHeight="1">
      <c r="A60" s="30"/>
      <c r="B60" s="93" t="s">
        <v>47</v>
      </c>
      <c r="C60" s="92" t="s">
        <v>56</v>
      </c>
      <c r="D60" s="93" t="s">
        <v>57</v>
      </c>
      <c r="E60" s="94">
        <v>2686</v>
      </c>
      <c r="F60" s="96">
        <f>E60/100</f>
        <v>26.86</v>
      </c>
      <c r="G60" s="13">
        <v>848.37</v>
      </c>
      <c r="H60" s="98">
        <f>G60*F60/1000</f>
        <v>22.787218199999998</v>
      </c>
      <c r="I60" s="13">
        <v>0</v>
      </c>
      <c r="J60" s="24"/>
      <c r="L60" s="20"/>
    </row>
    <row r="61" spans="1:22" ht="15.75" customHeight="1">
      <c r="A61" s="30">
        <v>15</v>
      </c>
      <c r="B61" s="93" t="s">
        <v>105</v>
      </c>
      <c r="C61" s="92" t="s">
        <v>25</v>
      </c>
      <c r="D61" s="93" t="s">
        <v>30</v>
      </c>
      <c r="E61" s="94">
        <v>343</v>
      </c>
      <c r="F61" s="96">
        <v>4116</v>
      </c>
      <c r="G61" s="13">
        <v>2.6</v>
      </c>
      <c r="H61" s="98">
        <f>F61*G61</f>
        <v>10701.6</v>
      </c>
      <c r="I61" s="13">
        <f>F61/12*G61</f>
        <v>891.80000000000007</v>
      </c>
    </row>
    <row r="62" spans="1:22" ht="15.75" hidden="1" customHeight="1">
      <c r="A62" s="30"/>
      <c r="B62" s="107" t="s">
        <v>149</v>
      </c>
      <c r="C62" s="92"/>
      <c r="D62" s="93"/>
      <c r="E62" s="94"/>
      <c r="F62" s="96"/>
      <c r="G62" s="13"/>
      <c r="H62" s="98"/>
      <c r="I62" s="13"/>
    </row>
    <row r="63" spans="1:22" ht="15.75" hidden="1" customHeight="1">
      <c r="A63" s="30"/>
      <c r="B63" s="93" t="s">
        <v>150</v>
      </c>
      <c r="C63" s="92" t="s">
        <v>31</v>
      </c>
      <c r="D63" s="93" t="s">
        <v>72</v>
      </c>
      <c r="E63" s="94">
        <v>3</v>
      </c>
      <c r="F63" s="95">
        <v>3</v>
      </c>
      <c r="G63" s="97">
        <v>254.16</v>
      </c>
      <c r="H63" s="96">
        <v>0.76200000000000001</v>
      </c>
      <c r="I63" s="13">
        <v>0</v>
      </c>
    </row>
    <row r="64" spans="1:22" ht="15.75" customHeight="1">
      <c r="A64" s="30"/>
      <c r="B64" s="107" t="s">
        <v>48</v>
      </c>
      <c r="C64" s="92"/>
      <c r="D64" s="93"/>
      <c r="E64" s="94"/>
      <c r="F64" s="95"/>
      <c r="G64" s="95"/>
      <c r="H64" s="96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30">
        <v>16</v>
      </c>
      <c r="B65" s="14" t="s">
        <v>49</v>
      </c>
      <c r="C65" s="16" t="s">
        <v>136</v>
      </c>
      <c r="D65" s="93" t="s">
        <v>72</v>
      </c>
      <c r="E65" s="19">
        <v>15</v>
      </c>
      <c r="F65" s="84">
        <v>15</v>
      </c>
      <c r="G65" s="13">
        <v>237.74</v>
      </c>
      <c r="H65" s="99">
        <f t="shared" ref="H65:H78" si="6">SUM(F65*G65/1000)</f>
        <v>3.5661000000000005</v>
      </c>
      <c r="I65" s="13">
        <f>G65*2</f>
        <v>475.48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14" t="s">
        <v>50</v>
      </c>
      <c r="C66" s="16" t="s">
        <v>136</v>
      </c>
      <c r="D66" s="93" t="s">
        <v>72</v>
      </c>
      <c r="E66" s="19">
        <v>5</v>
      </c>
      <c r="F66" s="84">
        <v>5</v>
      </c>
      <c r="G66" s="13">
        <v>81.510000000000005</v>
      </c>
      <c r="H66" s="99">
        <f t="shared" si="6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14" t="s">
        <v>51</v>
      </c>
      <c r="C67" s="16" t="s">
        <v>138</v>
      </c>
      <c r="D67" s="14" t="s">
        <v>57</v>
      </c>
      <c r="E67" s="56">
        <v>24123</v>
      </c>
      <c r="F67" s="13">
        <f>SUM(E67/100)</f>
        <v>241.23</v>
      </c>
      <c r="G67" s="13">
        <v>226.79</v>
      </c>
      <c r="H67" s="99">
        <f t="shared" si="6"/>
        <v>54.708551699999994</v>
      </c>
      <c r="I67" s="13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127"/>
      <c r="S67" s="127"/>
      <c r="T67" s="127"/>
      <c r="U67" s="127"/>
    </row>
    <row r="68" spans="1:21" ht="15.75" hidden="1" customHeight="1">
      <c r="A68" s="30"/>
      <c r="B68" s="14" t="s">
        <v>52</v>
      </c>
      <c r="C68" s="16" t="s">
        <v>139</v>
      </c>
      <c r="D68" s="14"/>
      <c r="E68" s="56">
        <v>24123</v>
      </c>
      <c r="F68" s="13">
        <f>SUM(E68/1000)</f>
        <v>24.123000000000001</v>
      </c>
      <c r="G68" s="13">
        <v>176.61</v>
      </c>
      <c r="H68" s="99">
        <f t="shared" si="6"/>
        <v>4.2603630300000006</v>
      </c>
      <c r="I68" s="13">
        <f t="shared" ref="I68:I72" si="7">F68*G68</f>
        <v>4260.3630300000004</v>
      </c>
    </row>
    <row r="69" spans="1:21" ht="15.75" hidden="1" customHeight="1">
      <c r="A69" s="30"/>
      <c r="B69" s="14" t="s">
        <v>53</v>
      </c>
      <c r="C69" s="16" t="s">
        <v>82</v>
      </c>
      <c r="D69" s="14" t="s">
        <v>57</v>
      </c>
      <c r="E69" s="56">
        <v>2730</v>
      </c>
      <c r="F69" s="13">
        <f>SUM(E69/100)</f>
        <v>27.3</v>
      </c>
      <c r="G69" s="13">
        <v>2217.7800000000002</v>
      </c>
      <c r="H69" s="99">
        <f t="shared" si="6"/>
        <v>60.545394000000009</v>
      </c>
      <c r="I69" s="13">
        <f t="shared" si="7"/>
        <v>60545.394000000008</v>
      </c>
    </row>
    <row r="70" spans="1:21" ht="15.75" hidden="1" customHeight="1">
      <c r="A70" s="30"/>
      <c r="B70" s="100" t="s">
        <v>140</v>
      </c>
      <c r="C70" s="16" t="s">
        <v>34</v>
      </c>
      <c r="D70" s="14"/>
      <c r="E70" s="56">
        <v>23</v>
      </c>
      <c r="F70" s="13">
        <f>SUM(E70)</f>
        <v>23</v>
      </c>
      <c r="G70" s="13">
        <v>42.67</v>
      </c>
      <c r="H70" s="99">
        <f t="shared" si="6"/>
        <v>0.98141000000000012</v>
      </c>
      <c r="I70" s="13">
        <f t="shared" si="7"/>
        <v>981.41000000000008</v>
      </c>
    </row>
    <row r="71" spans="1:21" ht="15.75" hidden="1" customHeight="1">
      <c r="A71" s="30"/>
      <c r="B71" s="100" t="s">
        <v>141</v>
      </c>
      <c r="C71" s="16" t="s">
        <v>34</v>
      </c>
      <c r="D71" s="14"/>
      <c r="E71" s="56">
        <v>23</v>
      </c>
      <c r="F71" s="13">
        <f>SUM(E71)</f>
        <v>23</v>
      </c>
      <c r="G71" s="13">
        <v>39.81</v>
      </c>
      <c r="H71" s="99">
        <f t="shared" si="6"/>
        <v>0.91563000000000005</v>
      </c>
      <c r="I71" s="13">
        <f t="shared" si="7"/>
        <v>915.63000000000011</v>
      </c>
    </row>
    <row r="72" spans="1:21" ht="15.75" hidden="1" customHeight="1">
      <c r="A72" s="30"/>
      <c r="B72" s="14" t="s">
        <v>62</v>
      </c>
      <c r="C72" s="16" t="s">
        <v>63</v>
      </c>
      <c r="D72" s="14" t="s">
        <v>57</v>
      </c>
      <c r="E72" s="19">
        <v>10</v>
      </c>
      <c r="F72" s="84">
        <f>SUM(E72)</f>
        <v>10</v>
      </c>
      <c r="G72" s="13">
        <v>53.32</v>
      </c>
      <c r="H72" s="99">
        <f t="shared" si="6"/>
        <v>0.53320000000000001</v>
      </c>
      <c r="I72" s="13">
        <f t="shared" si="7"/>
        <v>533.20000000000005</v>
      </c>
    </row>
    <row r="73" spans="1:21" ht="15.75" customHeight="1">
      <c r="A73" s="30"/>
      <c r="B73" s="64" t="s">
        <v>78</v>
      </c>
      <c r="C73" s="16"/>
      <c r="D73" s="14"/>
      <c r="E73" s="19"/>
      <c r="F73" s="13"/>
      <c r="G73" s="13"/>
      <c r="H73" s="99" t="s">
        <v>144</v>
      </c>
      <c r="I73" s="13"/>
    </row>
    <row r="74" spans="1:21" ht="15.75" customHeight="1">
      <c r="A74" s="30">
        <v>17</v>
      </c>
      <c r="B74" s="14" t="s">
        <v>79</v>
      </c>
      <c r="C74" s="16" t="s">
        <v>32</v>
      </c>
      <c r="D74" s="14"/>
      <c r="E74" s="19">
        <v>2</v>
      </c>
      <c r="F74" s="75">
        <v>0.2</v>
      </c>
      <c r="G74" s="13">
        <v>536.23</v>
      </c>
      <c r="H74" s="99">
        <v>0.251</v>
      </c>
      <c r="I74" s="13">
        <f>G74*0.4</f>
        <v>214.49200000000002</v>
      </c>
    </row>
    <row r="75" spans="1:21" ht="15.75" hidden="1" customHeight="1">
      <c r="A75" s="30"/>
      <c r="B75" s="14" t="s">
        <v>95</v>
      </c>
      <c r="C75" s="16" t="s">
        <v>31</v>
      </c>
      <c r="D75" s="14"/>
      <c r="E75" s="19">
        <v>1</v>
      </c>
      <c r="F75" s="84">
        <f>SUM(E75)</f>
        <v>1</v>
      </c>
      <c r="G75" s="13">
        <v>383.25</v>
      </c>
      <c r="H75" s="99">
        <f t="shared" si="6"/>
        <v>0.38324999999999998</v>
      </c>
      <c r="I75" s="13">
        <v>0</v>
      </c>
    </row>
    <row r="76" spans="1:21" ht="15.75" hidden="1" customHeight="1">
      <c r="A76" s="30"/>
      <c r="B76" s="14" t="s">
        <v>80</v>
      </c>
      <c r="C76" s="16" t="s">
        <v>31</v>
      </c>
      <c r="D76" s="14"/>
      <c r="E76" s="19">
        <v>2</v>
      </c>
      <c r="F76" s="13">
        <v>2</v>
      </c>
      <c r="G76" s="13">
        <v>911.85</v>
      </c>
      <c r="H76" s="99">
        <f>F76*G76/1000</f>
        <v>1.8237000000000001</v>
      </c>
      <c r="I76" s="13">
        <v>0</v>
      </c>
    </row>
    <row r="77" spans="1:21" ht="15.75" hidden="1" customHeight="1">
      <c r="A77" s="30"/>
      <c r="B77" s="101" t="s">
        <v>81</v>
      </c>
      <c r="C77" s="16"/>
      <c r="D77" s="14"/>
      <c r="E77" s="19"/>
      <c r="F77" s="13"/>
      <c r="G77" s="13" t="s">
        <v>144</v>
      </c>
      <c r="H77" s="99" t="s">
        <v>144</v>
      </c>
      <c r="I77" s="13"/>
    </row>
    <row r="78" spans="1:21" ht="15.75" hidden="1" customHeight="1">
      <c r="A78" s="30"/>
      <c r="B78" s="49" t="s">
        <v>145</v>
      </c>
      <c r="C78" s="16" t="s">
        <v>82</v>
      </c>
      <c r="D78" s="14"/>
      <c r="E78" s="19"/>
      <c r="F78" s="13">
        <v>1.35</v>
      </c>
      <c r="G78" s="13">
        <v>2949.85</v>
      </c>
      <c r="H78" s="99">
        <f t="shared" si="6"/>
        <v>3.9822975</v>
      </c>
      <c r="I78" s="13">
        <v>0</v>
      </c>
    </row>
    <row r="79" spans="1:21" ht="15.75" hidden="1" customHeight="1">
      <c r="A79" s="30"/>
      <c r="B79" s="87" t="s">
        <v>142</v>
      </c>
      <c r="C79" s="101"/>
      <c r="D79" s="32"/>
      <c r="E79" s="33"/>
      <c r="F79" s="88"/>
      <c r="G79" s="88"/>
      <c r="H79" s="102">
        <f>SUM(H58:H78)</f>
        <v>10881.285151046004</v>
      </c>
      <c r="I79" s="88"/>
    </row>
    <row r="80" spans="1:21" ht="15.75" hidden="1" customHeight="1">
      <c r="A80" s="30"/>
      <c r="B80" s="82" t="s">
        <v>143</v>
      </c>
      <c r="C80" s="16"/>
      <c r="D80" s="14"/>
      <c r="E80" s="76"/>
      <c r="F80" s="13">
        <v>1</v>
      </c>
      <c r="G80" s="13">
        <v>19342.2</v>
      </c>
      <c r="H80" s="99">
        <f>G80*F80/1000</f>
        <v>19.342200000000002</v>
      </c>
      <c r="I80" s="13">
        <v>0</v>
      </c>
    </row>
    <row r="81" spans="1:9" ht="15.75" customHeight="1">
      <c r="A81" s="140" t="s">
        <v>156</v>
      </c>
      <c r="B81" s="141"/>
      <c r="C81" s="141"/>
      <c r="D81" s="141"/>
      <c r="E81" s="141"/>
      <c r="F81" s="141"/>
      <c r="G81" s="141"/>
      <c r="H81" s="141"/>
      <c r="I81" s="142"/>
    </row>
    <row r="82" spans="1:9" ht="15.75" customHeight="1">
      <c r="A82" s="30">
        <v>18</v>
      </c>
      <c r="B82" s="82" t="s">
        <v>146</v>
      </c>
      <c r="C82" s="16" t="s">
        <v>59</v>
      </c>
      <c r="D82" s="103" t="s">
        <v>60</v>
      </c>
      <c r="E82" s="13">
        <v>4591.2</v>
      </c>
      <c r="F82" s="13">
        <f>SUM(E82*12)</f>
        <v>55094.399999999994</v>
      </c>
      <c r="G82" s="13">
        <v>2.54</v>
      </c>
      <c r="H82" s="99">
        <f>SUM(F82*G82/1000)</f>
        <v>139.93977599999999</v>
      </c>
      <c r="I82" s="13">
        <f>F82/12*G82</f>
        <v>11661.647999999999</v>
      </c>
    </row>
    <row r="83" spans="1:9" ht="31.5" customHeight="1">
      <c r="A83" s="30">
        <v>19</v>
      </c>
      <c r="B83" s="14" t="s">
        <v>83</v>
      </c>
      <c r="C83" s="16"/>
      <c r="D83" s="103" t="s">
        <v>60</v>
      </c>
      <c r="E83" s="56">
        <f>E82</f>
        <v>4591.2</v>
      </c>
      <c r="F83" s="13">
        <f>E83*12</f>
        <v>55094.399999999994</v>
      </c>
      <c r="G83" s="13">
        <v>2.0499999999999998</v>
      </c>
      <c r="H83" s="99">
        <f>F83*G83/1000</f>
        <v>112.94351999999998</v>
      </c>
      <c r="I83" s="13">
        <f>F83/12*G83</f>
        <v>9411.9599999999991</v>
      </c>
    </row>
    <row r="84" spans="1:9" ht="15.75" customHeight="1">
      <c r="A84" s="50"/>
      <c r="B84" s="40" t="s">
        <v>86</v>
      </c>
      <c r="C84" s="42"/>
      <c r="D84" s="15"/>
      <c r="E84" s="15"/>
      <c r="F84" s="15"/>
      <c r="G84" s="19"/>
      <c r="H84" s="19"/>
      <c r="I84" s="33">
        <f>SUM(I16+I17+I18+I20+I26+I27+I30+I31+I33+I34+I52+I53+I54+I55+I61+I65+I74+I82+I83)</f>
        <v>90108.51440819999</v>
      </c>
    </row>
    <row r="85" spans="1:9" ht="15.75" customHeight="1">
      <c r="A85" s="137" t="s">
        <v>65</v>
      </c>
      <c r="B85" s="138"/>
      <c r="C85" s="138"/>
      <c r="D85" s="138"/>
      <c r="E85" s="138"/>
      <c r="F85" s="138"/>
      <c r="G85" s="138"/>
      <c r="H85" s="138"/>
      <c r="I85" s="139"/>
    </row>
    <row r="86" spans="1:9" ht="31.5" customHeight="1">
      <c r="A86" s="30">
        <v>20</v>
      </c>
      <c r="B86" s="53" t="s">
        <v>207</v>
      </c>
      <c r="C86" s="58" t="s">
        <v>87</v>
      </c>
      <c r="D86" s="49"/>
      <c r="E86" s="37"/>
      <c r="F86" s="37">
        <v>18</v>
      </c>
      <c r="G86" s="37">
        <v>1187</v>
      </c>
      <c r="H86" s="117">
        <f t="shared" ref="H86:H87" si="8">G86*F86/1000</f>
        <v>21.366</v>
      </c>
      <c r="I86" s="13">
        <f>G86*(3+4)</f>
        <v>8309</v>
      </c>
    </row>
    <row r="87" spans="1:9" ht="15.75" customHeight="1">
      <c r="A87" s="30">
        <v>21</v>
      </c>
      <c r="B87" s="49" t="s">
        <v>94</v>
      </c>
      <c r="C87" s="16" t="s">
        <v>109</v>
      </c>
      <c r="D87" s="118"/>
      <c r="E87" s="37"/>
      <c r="F87" s="37">
        <v>16</v>
      </c>
      <c r="G87" s="37">
        <v>1582</v>
      </c>
      <c r="H87" s="117">
        <f t="shared" si="8"/>
        <v>25.312000000000001</v>
      </c>
      <c r="I87" s="13">
        <f>G87*2</f>
        <v>3164</v>
      </c>
    </row>
    <row r="88" spans="1:9" ht="15.75" customHeight="1">
      <c r="A88" s="30">
        <v>22</v>
      </c>
      <c r="B88" s="53" t="s">
        <v>88</v>
      </c>
      <c r="C88" s="58" t="s">
        <v>136</v>
      </c>
      <c r="D88" s="49"/>
      <c r="E88" s="37"/>
      <c r="F88" s="37">
        <v>2</v>
      </c>
      <c r="G88" s="37">
        <v>189.88</v>
      </c>
      <c r="H88" s="117">
        <f>G88*F88/1000</f>
        <v>0.37975999999999999</v>
      </c>
      <c r="I88" s="13">
        <f>G88</f>
        <v>189.88</v>
      </c>
    </row>
    <row r="89" spans="1:9" ht="31.5" customHeight="1">
      <c r="A89" s="30">
        <v>23</v>
      </c>
      <c r="B89" s="53" t="s">
        <v>96</v>
      </c>
      <c r="C89" s="58" t="s">
        <v>101</v>
      </c>
      <c r="D89" s="49"/>
      <c r="E89" s="37"/>
      <c r="F89" s="37">
        <v>4</v>
      </c>
      <c r="G89" s="37">
        <v>589.84</v>
      </c>
      <c r="H89" s="117">
        <f>G89*F89/1000</f>
        <v>2.3593600000000001</v>
      </c>
      <c r="I89" s="13">
        <f t="shared" ref="I89:I90" si="9">G89</f>
        <v>589.84</v>
      </c>
    </row>
    <row r="90" spans="1:9" ht="15.75" customHeight="1">
      <c r="A90" s="30">
        <v>24</v>
      </c>
      <c r="B90" s="53" t="s">
        <v>232</v>
      </c>
      <c r="C90" s="58" t="s">
        <v>101</v>
      </c>
      <c r="D90" s="49"/>
      <c r="E90" s="37"/>
      <c r="F90" s="37">
        <v>2</v>
      </c>
      <c r="G90" s="38">
        <v>760.76</v>
      </c>
      <c r="H90" s="117">
        <f>G90*F90/1000</f>
        <v>1.52152</v>
      </c>
      <c r="I90" s="13">
        <f t="shared" si="9"/>
        <v>760.76</v>
      </c>
    </row>
    <row r="91" spans="1:9" ht="15.75" customHeight="1">
      <c r="A91" s="30">
        <v>25</v>
      </c>
      <c r="B91" s="115" t="s">
        <v>247</v>
      </c>
      <c r="C91" s="116" t="s">
        <v>101</v>
      </c>
      <c r="D91" s="49"/>
      <c r="E91" s="37"/>
      <c r="F91" s="37">
        <v>1</v>
      </c>
      <c r="G91" s="37">
        <v>5450.56</v>
      </c>
      <c r="H91" s="117">
        <f t="shared" ref="H91:H98" si="10">G91*F91/1000</f>
        <v>5.4505600000000003</v>
      </c>
      <c r="I91" s="13">
        <f>G91</f>
        <v>5450.56</v>
      </c>
    </row>
    <row r="92" spans="1:9" ht="15.75" customHeight="1">
      <c r="A92" s="30">
        <v>26</v>
      </c>
      <c r="B92" s="53" t="s">
        <v>248</v>
      </c>
      <c r="C92" s="58" t="s">
        <v>87</v>
      </c>
      <c r="D92" s="49"/>
      <c r="E92" s="37"/>
      <c r="F92" s="37">
        <v>0.5</v>
      </c>
      <c r="G92" s="37">
        <v>1964</v>
      </c>
      <c r="H92" s="117">
        <f t="shared" si="10"/>
        <v>0.98199999999999998</v>
      </c>
      <c r="I92" s="13">
        <f>G92*0.5</f>
        <v>982</v>
      </c>
    </row>
    <row r="93" spans="1:9" ht="15.75" customHeight="1">
      <c r="A93" s="30">
        <v>27</v>
      </c>
      <c r="B93" s="53" t="s">
        <v>249</v>
      </c>
      <c r="C93" s="58" t="s">
        <v>87</v>
      </c>
      <c r="D93" s="49"/>
      <c r="E93" s="37"/>
      <c r="F93" s="37">
        <v>1</v>
      </c>
      <c r="G93" s="37">
        <v>2121</v>
      </c>
      <c r="H93" s="117">
        <f t="shared" si="10"/>
        <v>2.121</v>
      </c>
      <c r="I93" s="13">
        <f>G93</f>
        <v>2121</v>
      </c>
    </row>
    <row r="94" spans="1:9" ht="31.5" customHeight="1">
      <c r="A94" s="30">
        <v>28</v>
      </c>
      <c r="B94" s="115" t="s">
        <v>262</v>
      </c>
      <c r="C94" s="116" t="s">
        <v>101</v>
      </c>
      <c r="D94" s="118"/>
      <c r="E94" s="37"/>
      <c r="F94" s="37">
        <v>2</v>
      </c>
      <c r="G94" s="37">
        <v>727.73</v>
      </c>
      <c r="H94" s="117">
        <f t="shared" si="10"/>
        <v>1.45546</v>
      </c>
      <c r="I94" s="13">
        <f>G94*2</f>
        <v>1455.46</v>
      </c>
    </row>
    <row r="95" spans="1:9" ht="15.75" customHeight="1">
      <c r="A95" s="30">
        <v>29</v>
      </c>
      <c r="B95" s="53" t="s">
        <v>250</v>
      </c>
      <c r="C95" s="58" t="s">
        <v>136</v>
      </c>
      <c r="D95" s="118"/>
      <c r="E95" s="37"/>
      <c r="F95" s="37">
        <v>5</v>
      </c>
      <c r="G95" s="37">
        <v>62</v>
      </c>
      <c r="H95" s="117">
        <f t="shared" si="10"/>
        <v>0.31</v>
      </c>
      <c r="I95" s="13">
        <f>G95*(4+1)</f>
        <v>310</v>
      </c>
    </row>
    <row r="96" spans="1:9" ht="15.75" customHeight="1">
      <c r="A96" s="30">
        <v>30</v>
      </c>
      <c r="B96" s="53" t="s">
        <v>263</v>
      </c>
      <c r="C96" s="58" t="s">
        <v>136</v>
      </c>
      <c r="D96" s="118"/>
      <c r="E96" s="37"/>
      <c r="F96" s="37">
        <v>3</v>
      </c>
      <c r="G96" s="37">
        <v>46</v>
      </c>
      <c r="H96" s="117">
        <f t="shared" si="10"/>
        <v>0.13800000000000001</v>
      </c>
      <c r="I96" s="13">
        <f>G96*(2+1)</f>
        <v>138</v>
      </c>
    </row>
    <row r="97" spans="1:9" ht="15.75" customHeight="1">
      <c r="A97" s="30">
        <v>31</v>
      </c>
      <c r="B97" s="115" t="s">
        <v>251</v>
      </c>
      <c r="C97" s="116" t="s">
        <v>212</v>
      </c>
      <c r="D97" s="118"/>
      <c r="E97" s="37"/>
      <c r="F97" s="37">
        <v>2</v>
      </c>
      <c r="G97" s="37">
        <v>616.24</v>
      </c>
      <c r="H97" s="117">
        <f t="shared" si="10"/>
        <v>1.23248</v>
      </c>
      <c r="I97" s="13">
        <f>G97*2</f>
        <v>1232.48</v>
      </c>
    </row>
    <row r="98" spans="1:9" ht="15.75" customHeight="1">
      <c r="A98" s="30">
        <v>32</v>
      </c>
      <c r="B98" s="53" t="s">
        <v>252</v>
      </c>
      <c r="C98" s="58" t="s">
        <v>136</v>
      </c>
      <c r="D98" s="118"/>
      <c r="E98" s="37"/>
      <c r="F98" s="37">
        <v>2</v>
      </c>
      <c r="G98" s="37">
        <v>22</v>
      </c>
      <c r="H98" s="117">
        <f t="shared" si="10"/>
        <v>4.3999999999999997E-2</v>
      </c>
      <c r="I98" s="13">
        <f>G98*2</f>
        <v>44</v>
      </c>
    </row>
    <row r="99" spans="1:9" ht="15.75" customHeight="1">
      <c r="A99" s="30">
        <v>33</v>
      </c>
      <c r="B99" s="53" t="s">
        <v>253</v>
      </c>
      <c r="C99" s="58" t="s">
        <v>90</v>
      </c>
      <c r="D99" s="49"/>
      <c r="E99" s="37"/>
      <c r="F99" s="37">
        <v>1</v>
      </c>
      <c r="G99" s="37">
        <v>195.85</v>
      </c>
      <c r="H99" s="117">
        <f>G99*F99/1000</f>
        <v>0.19585</v>
      </c>
      <c r="I99" s="13">
        <f>G99</f>
        <v>195.85</v>
      </c>
    </row>
    <row r="100" spans="1:9" ht="31.5" customHeight="1">
      <c r="A100" s="30">
        <v>34</v>
      </c>
      <c r="B100" s="115" t="s">
        <v>254</v>
      </c>
      <c r="C100" s="116" t="s">
        <v>101</v>
      </c>
      <c r="D100" s="118"/>
      <c r="E100" s="37"/>
      <c r="F100" s="37">
        <v>6</v>
      </c>
      <c r="G100" s="37">
        <v>1046.06</v>
      </c>
      <c r="H100" s="117">
        <f t="shared" ref="H100:H103" si="11">G100*F100/1000</f>
        <v>6.2763599999999995</v>
      </c>
      <c r="I100" s="13">
        <f>G100*6</f>
        <v>6276.36</v>
      </c>
    </row>
    <row r="101" spans="1:9" ht="15.75" customHeight="1">
      <c r="A101" s="30">
        <v>35</v>
      </c>
      <c r="B101" s="53" t="s">
        <v>255</v>
      </c>
      <c r="C101" s="58" t="s">
        <v>136</v>
      </c>
      <c r="D101" s="120"/>
      <c r="E101" s="18"/>
      <c r="F101" s="37">
        <v>3</v>
      </c>
      <c r="G101" s="37">
        <v>140</v>
      </c>
      <c r="H101" s="117">
        <f t="shared" si="11"/>
        <v>0.42</v>
      </c>
      <c r="I101" s="13">
        <f>G101*3</f>
        <v>420</v>
      </c>
    </row>
    <row r="102" spans="1:9" ht="15.75" customHeight="1">
      <c r="A102" s="30">
        <v>36</v>
      </c>
      <c r="B102" s="53" t="s">
        <v>256</v>
      </c>
      <c r="C102" s="58" t="s">
        <v>136</v>
      </c>
      <c r="D102" s="118"/>
      <c r="E102" s="37"/>
      <c r="F102" s="37">
        <v>3</v>
      </c>
      <c r="G102" s="37">
        <v>118</v>
      </c>
      <c r="H102" s="117">
        <f t="shared" si="11"/>
        <v>0.35399999999999998</v>
      </c>
      <c r="I102" s="13">
        <f t="shared" ref="I102:I104" si="12">G102*3</f>
        <v>354</v>
      </c>
    </row>
    <row r="103" spans="1:9" ht="15.75" customHeight="1">
      <c r="A103" s="30">
        <v>37</v>
      </c>
      <c r="B103" s="53" t="s">
        <v>257</v>
      </c>
      <c r="C103" s="58" t="s">
        <v>136</v>
      </c>
      <c r="D103" s="118"/>
      <c r="E103" s="37"/>
      <c r="F103" s="37">
        <v>3</v>
      </c>
      <c r="G103" s="37">
        <v>40</v>
      </c>
      <c r="H103" s="117">
        <f t="shared" si="11"/>
        <v>0.12</v>
      </c>
      <c r="I103" s="13">
        <f t="shared" si="12"/>
        <v>120</v>
      </c>
    </row>
    <row r="104" spans="1:9" ht="15.75" customHeight="1">
      <c r="A104" s="30">
        <v>38</v>
      </c>
      <c r="B104" s="115" t="s">
        <v>261</v>
      </c>
      <c r="C104" s="116" t="s">
        <v>136</v>
      </c>
      <c r="D104" s="49"/>
      <c r="E104" s="37"/>
      <c r="F104" s="37">
        <v>3</v>
      </c>
      <c r="G104" s="37">
        <v>108</v>
      </c>
      <c r="H104" s="117">
        <f>G104*F104/1000</f>
        <v>0.32400000000000001</v>
      </c>
      <c r="I104" s="13">
        <f t="shared" si="12"/>
        <v>324</v>
      </c>
    </row>
    <row r="105" spans="1:9" ht="15.75" customHeight="1">
      <c r="A105" s="30">
        <v>39</v>
      </c>
      <c r="B105" s="53" t="s">
        <v>264</v>
      </c>
      <c r="C105" s="58" t="s">
        <v>136</v>
      </c>
      <c r="D105" s="118"/>
      <c r="E105" s="37"/>
      <c r="F105" s="37">
        <v>1</v>
      </c>
      <c r="G105" s="37">
        <v>82</v>
      </c>
      <c r="H105" s="117">
        <f t="shared" ref="H105:H107" si="13">G105*F105/1000</f>
        <v>8.2000000000000003E-2</v>
      </c>
      <c r="I105" s="13">
        <f>G105</f>
        <v>82</v>
      </c>
    </row>
    <row r="106" spans="1:9" ht="15.75" customHeight="1">
      <c r="A106" s="30">
        <v>40</v>
      </c>
      <c r="B106" s="53" t="s">
        <v>258</v>
      </c>
      <c r="C106" s="58" t="s">
        <v>136</v>
      </c>
      <c r="D106" s="120"/>
      <c r="E106" s="18"/>
      <c r="F106" s="37">
        <v>1</v>
      </c>
      <c r="G106" s="37">
        <v>42</v>
      </c>
      <c r="H106" s="117">
        <f t="shared" si="13"/>
        <v>4.2000000000000003E-2</v>
      </c>
      <c r="I106" s="13">
        <f>G106</f>
        <v>42</v>
      </c>
    </row>
    <row r="107" spans="1:9" ht="15.75" customHeight="1">
      <c r="A107" s="30">
        <v>41</v>
      </c>
      <c r="B107" s="53" t="s">
        <v>259</v>
      </c>
      <c r="C107" s="58" t="s">
        <v>136</v>
      </c>
      <c r="D107" s="120"/>
      <c r="E107" s="18"/>
      <c r="F107" s="37">
        <v>1</v>
      </c>
      <c r="G107" s="37">
        <v>70</v>
      </c>
      <c r="H107" s="117">
        <f t="shared" si="13"/>
        <v>7.0000000000000007E-2</v>
      </c>
      <c r="I107" s="13">
        <f t="shared" ref="I107:I108" si="14">G107</f>
        <v>70</v>
      </c>
    </row>
    <row r="108" spans="1:9" ht="15.75" customHeight="1">
      <c r="A108" s="30">
        <v>42</v>
      </c>
      <c r="B108" s="115" t="s">
        <v>260</v>
      </c>
      <c r="C108" s="116" t="s">
        <v>136</v>
      </c>
      <c r="D108" s="118"/>
      <c r="E108" s="37"/>
      <c r="F108" s="37">
        <v>1</v>
      </c>
      <c r="G108" s="37">
        <v>1202.53</v>
      </c>
      <c r="H108" s="37">
        <f>G108*F108/1000</f>
        <v>1.2025299999999999</v>
      </c>
      <c r="I108" s="13">
        <f t="shared" si="14"/>
        <v>1202.53</v>
      </c>
    </row>
    <row r="109" spans="1:9" ht="31.5" customHeight="1">
      <c r="A109" s="30">
        <v>43</v>
      </c>
      <c r="B109" s="115" t="s">
        <v>179</v>
      </c>
      <c r="C109" s="116" t="s">
        <v>106</v>
      </c>
      <c r="D109" s="118"/>
      <c r="E109" s="37"/>
      <c r="F109" s="37">
        <f>4.5/10</f>
        <v>0.45</v>
      </c>
      <c r="G109" s="37">
        <v>5945.91</v>
      </c>
      <c r="H109" s="37">
        <f>G109*F109/1000</f>
        <v>2.6756595000000001</v>
      </c>
      <c r="I109" s="13">
        <f>G109*F109</f>
        <v>2675.6595000000002</v>
      </c>
    </row>
    <row r="110" spans="1:9" ht="15.75" customHeight="1">
      <c r="A110" s="30">
        <v>44</v>
      </c>
      <c r="B110" s="53" t="s">
        <v>200</v>
      </c>
      <c r="C110" s="58" t="s">
        <v>197</v>
      </c>
      <c r="D110" s="54"/>
      <c r="E110" s="19"/>
      <c r="F110" s="13">
        <v>15</v>
      </c>
      <c r="G110" s="13">
        <f>103656/303</f>
        <v>342.0990099009901</v>
      </c>
      <c r="H110" s="99">
        <f t="shared" ref="H110" si="15">G110*F110/1000</f>
        <v>5.1314851485148507</v>
      </c>
      <c r="I110" s="13">
        <f>G110*15</f>
        <v>5131.4851485148511</v>
      </c>
    </row>
    <row r="111" spans="1:9" ht="15.75" customHeight="1">
      <c r="A111" s="30"/>
      <c r="B111" s="47" t="s">
        <v>54</v>
      </c>
      <c r="C111" s="43"/>
      <c r="D111" s="51"/>
      <c r="E111" s="43">
        <v>1</v>
      </c>
      <c r="F111" s="43"/>
      <c r="G111" s="43"/>
      <c r="H111" s="43"/>
      <c r="I111" s="33">
        <f>SUM(I86:I110)</f>
        <v>41640.864648514857</v>
      </c>
    </row>
    <row r="112" spans="1:9" ht="15.75" customHeight="1">
      <c r="A112" s="30"/>
      <c r="B112" s="49" t="s">
        <v>84</v>
      </c>
      <c r="C112" s="15"/>
      <c r="D112" s="15"/>
      <c r="E112" s="44"/>
      <c r="F112" s="44"/>
      <c r="G112" s="45"/>
      <c r="H112" s="45"/>
      <c r="I112" s="18">
        <v>0</v>
      </c>
    </row>
    <row r="113" spans="1:9" ht="15.75" customHeight="1">
      <c r="A113" s="52"/>
      <c r="B113" s="48" t="s">
        <v>55</v>
      </c>
      <c r="C113" s="36"/>
      <c r="D113" s="36"/>
      <c r="E113" s="36"/>
      <c r="F113" s="36"/>
      <c r="G113" s="36"/>
      <c r="H113" s="36"/>
      <c r="I113" s="46">
        <f>I84+I111</f>
        <v>131749.37905671485</v>
      </c>
    </row>
    <row r="114" spans="1:9" ht="15.75" customHeight="1">
      <c r="A114" s="134" t="s">
        <v>265</v>
      </c>
      <c r="B114" s="134"/>
      <c r="C114" s="134"/>
      <c r="D114" s="134"/>
      <c r="E114" s="134"/>
      <c r="F114" s="134"/>
      <c r="G114" s="134"/>
      <c r="H114" s="134"/>
      <c r="I114" s="134"/>
    </row>
    <row r="115" spans="1:9" ht="15.75" customHeight="1">
      <c r="A115" s="65"/>
      <c r="B115" s="135" t="s">
        <v>266</v>
      </c>
      <c r="C115" s="135"/>
      <c r="D115" s="135"/>
      <c r="E115" s="135"/>
      <c r="F115" s="135"/>
      <c r="G115" s="135"/>
      <c r="H115" s="80"/>
      <c r="I115" s="3"/>
    </row>
    <row r="116" spans="1:9" ht="15.75" customHeight="1">
      <c r="A116" s="59"/>
      <c r="B116" s="125" t="s">
        <v>6</v>
      </c>
      <c r="C116" s="125"/>
      <c r="D116" s="125"/>
      <c r="E116" s="125"/>
      <c r="F116" s="125"/>
      <c r="G116" s="125"/>
      <c r="H116" s="25"/>
      <c r="I116" s="5"/>
    </row>
    <row r="117" spans="1:9" ht="15.75" customHeight="1">
      <c r="A117" s="10"/>
      <c r="B117" s="10"/>
      <c r="C117" s="10"/>
      <c r="D117" s="10"/>
      <c r="E117" s="10"/>
      <c r="F117" s="10"/>
      <c r="G117" s="10"/>
      <c r="H117" s="10"/>
      <c r="I117" s="10"/>
    </row>
    <row r="118" spans="1:9" ht="15.75" customHeight="1">
      <c r="A118" s="136" t="s">
        <v>7</v>
      </c>
      <c r="B118" s="136"/>
      <c r="C118" s="136"/>
      <c r="D118" s="136"/>
      <c r="E118" s="136"/>
      <c r="F118" s="136"/>
      <c r="G118" s="136"/>
      <c r="H118" s="136"/>
      <c r="I118" s="136"/>
    </row>
    <row r="119" spans="1:9" ht="15.75" customHeight="1">
      <c r="A119" s="136" t="s">
        <v>8</v>
      </c>
      <c r="B119" s="136"/>
      <c r="C119" s="136"/>
      <c r="D119" s="136"/>
      <c r="E119" s="136"/>
      <c r="F119" s="136"/>
      <c r="G119" s="136"/>
      <c r="H119" s="136"/>
      <c r="I119" s="136"/>
    </row>
    <row r="120" spans="1:9" ht="15.75" customHeight="1">
      <c r="A120" s="129" t="s">
        <v>66</v>
      </c>
      <c r="B120" s="129"/>
      <c r="C120" s="129"/>
      <c r="D120" s="129"/>
      <c r="E120" s="129"/>
      <c r="F120" s="129"/>
      <c r="G120" s="129"/>
      <c r="H120" s="129"/>
      <c r="I120" s="129"/>
    </row>
    <row r="121" spans="1:9" ht="15.75" customHeight="1">
      <c r="A121" s="11"/>
    </row>
    <row r="122" spans="1:9" ht="15.75" customHeight="1">
      <c r="A122" s="123" t="s">
        <v>9</v>
      </c>
      <c r="B122" s="123"/>
      <c r="C122" s="123"/>
      <c r="D122" s="123"/>
      <c r="E122" s="123"/>
      <c r="F122" s="123"/>
      <c r="G122" s="123"/>
      <c r="H122" s="123"/>
      <c r="I122" s="123"/>
    </row>
    <row r="123" spans="1:9" ht="15.75" customHeight="1">
      <c r="A123" s="4"/>
    </row>
    <row r="124" spans="1:9" ht="15.75" customHeight="1">
      <c r="B124" s="62" t="s">
        <v>10</v>
      </c>
      <c r="C124" s="124" t="s">
        <v>97</v>
      </c>
      <c r="D124" s="124"/>
      <c r="E124" s="124"/>
      <c r="F124" s="78"/>
      <c r="I124" s="61"/>
    </row>
    <row r="125" spans="1:9" ht="15.75" customHeight="1">
      <c r="A125" s="59"/>
      <c r="C125" s="125" t="s">
        <v>11</v>
      </c>
      <c r="D125" s="125"/>
      <c r="E125" s="125"/>
      <c r="F125" s="25"/>
      <c r="I125" s="60" t="s">
        <v>12</v>
      </c>
    </row>
    <row r="126" spans="1:9" ht="15.75" customHeight="1">
      <c r="A126" s="26"/>
      <c r="C126" s="12"/>
      <c r="D126" s="12"/>
      <c r="G126" s="12"/>
      <c r="H126" s="12"/>
    </row>
    <row r="127" spans="1:9" ht="15.75" customHeight="1">
      <c r="B127" s="62" t="s">
        <v>13</v>
      </c>
      <c r="C127" s="126"/>
      <c r="D127" s="126"/>
      <c r="E127" s="126"/>
      <c r="F127" s="79"/>
      <c r="I127" s="61"/>
    </row>
    <row r="128" spans="1:9" ht="15.75" customHeight="1">
      <c r="A128" s="59"/>
      <c r="C128" s="127" t="s">
        <v>11</v>
      </c>
      <c r="D128" s="127"/>
      <c r="E128" s="127"/>
      <c r="F128" s="59"/>
      <c r="I128" s="60" t="s">
        <v>12</v>
      </c>
    </row>
    <row r="129" spans="1:9" ht="15.75" customHeight="1">
      <c r="A129" s="4" t="s">
        <v>14</v>
      </c>
    </row>
    <row r="130" spans="1:9" ht="15.75" customHeight="1">
      <c r="A130" s="128" t="s">
        <v>15</v>
      </c>
      <c r="B130" s="128"/>
      <c r="C130" s="128"/>
      <c r="D130" s="128"/>
      <c r="E130" s="128"/>
      <c r="F130" s="128"/>
      <c r="G130" s="128"/>
      <c r="H130" s="128"/>
      <c r="I130" s="128"/>
    </row>
    <row r="131" spans="1:9" ht="45" customHeight="1">
      <c r="A131" s="122" t="s">
        <v>16</v>
      </c>
      <c r="B131" s="122"/>
      <c r="C131" s="122"/>
      <c r="D131" s="122"/>
      <c r="E131" s="122"/>
      <c r="F131" s="122"/>
      <c r="G131" s="122"/>
      <c r="H131" s="122"/>
      <c r="I131" s="122"/>
    </row>
    <row r="132" spans="1:9" ht="30" customHeight="1">
      <c r="A132" s="122" t="s">
        <v>17</v>
      </c>
      <c r="B132" s="122"/>
      <c r="C132" s="122"/>
      <c r="D132" s="122"/>
      <c r="E132" s="122"/>
      <c r="F132" s="122"/>
      <c r="G132" s="122"/>
      <c r="H132" s="122"/>
      <c r="I132" s="122"/>
    </row>
    <row r="133" spans="1:9" ht="30" customHeight="1">
      <c r="A133" s="122" t="s">
        <v>21</v>
      </c>
      <c r="B133" s="122"/>
      <c r="C133" s="122"/>
      <c r="D133" s="122"/>
      <c r="E133" s="122"/>
      <c r="F133" s="122"/>
      <c r="G133" s="122"/>
      <c r="H133" s="122"/>
      <c r="I133" s="122"/>
    </row>
    <row r="134" spans="1:9" ht="15" customHeight="1">
      <c r="A134" s="122" t="s">
        <v>20</v>
      </c>
      <c r="B134" s="122"/>
      <c r="C134" s="122"/>
      <c r="D134" s="122"/>
      <c r="E134" s="122"/>
      <c r="F134" s="122"/>
      <c r="G134" s="122"/>
      <c r="H134" s="122"/>
      <c r="I134" s="122"/>
    </row>
  </sheetData>
  <autoFilter ref="I12:I62"/>
  <mergeCells count="29">
    <mergeCell ref="R67:U67"/>
    <mergeCell ref="A81:I81"/>
    <mergeCell ref="A3:I3"/>
    <mergeCell ref="A4:I4"/>
    <mergeCell ref="A5:I5"/>
    <mergeCell ref="A8:I8"/>
    <mergeCell ref="A10:I10"/>
    <mergeCell ref="A14:I14"/>
    <mergeCell ref="A120:I120"/>
    <mergeCell ref="A15:I15"/>
    <mergeCell ref="A28:I28"/>
    <mergeCell ref="A45:I45"/>
    <mergeCell ref="A56:I56"/>
    <mergeCell ref="A114:I114"/>
    <mergeCell ref="B115:G115"/>
    <mergeCell ref="B116:G116"/>
    <mergeCell ref="A118:I118"/>
    <mergeCell ref="A119:I119"/>
    <mergeCell ref="A85:I85"/>
    <mergeCell ref="A131:I131"/>
    <mergeCell ref="A132:I132"/>
    <mergeCell ref="A133:I133"/>
    <mergeCell ref="A134:I134"/>
    <mergeCell ref="A122:I122"/>
    <mergeCell ref="C124:E124"/>
    <mergeCell ref="C125:E125"/>
    <mergeCell ref="C127:E127"/>
    <mergeCell ref="C128:E128"/>
    <mergeCell ref="A130:I13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92</v>
      </c>
      <c r="I1" s="27"/>
      <c r="J1" s="1"/>
      <c r="K1" s="1"/>
      <c r="L1" s="1"/>
      <c r="M1" s="1"/>
    </row>
    <row r="2" spans="1:13" ht="15.75" customHeight="1">
      <c r="A2" s="29" t="s">
        <v>67</v>
      </c>
      <c r="J2" s="2"/>
      <c r="K2" s="2"/>
      <c r="L2" s="2"/>
      <c r="M2" s="2"/>
    </row>
    <row r="3" spans="1:13" ht="15.75" customHeight="1">
      <c r="A3" s="143" t="s">
        <v>195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147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201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 customHeight="1">
      <c r="A6" s="2"/>
      <c r="B6" s="72"/>
      <c r="C6" s="72"/>
      <c r="D6" s="72"/>
      <c r="E6" s="72"/>
      <c r="F6" s="72"/>
      <c r="G6" s="72"/>
      <c r="H6" s="72"/>
      <c r="I6" s="31">
        <v>43014</v>
      </c>
      <c r="J6" s="2"/>
      <c r="K6" s="2"/>
      <c r="L6" s="2"/>
      <c r="M6" s="2"/>
    </row>
    <row r="7" spans="1:13" ht="15.75" customHeight="1">
      <c r="B7" s="73"/>
      <c r="C7" s="73"/>
      <c r="D7" s="7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158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157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196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hidden="1" customHeight="1">
      <c r="A14" s="148" t="s">
        <v>64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hidden="1" customHeight="1">
      <c r="A15" s="130" t="s">
        <v>4</v>
      </c>
      <c r="B15" s="130"/>
      <c r="C15" s="130"/>
      <c r="D15" s="130"/>
      <c r="E15" s="130"/>
      <c r="F15" s="130"/>
      <c r="G15" s="130"/>
      <c r="H15" s="130"/>
      <c r="I15" s="130"/>
      <c r="J15" s="8"/>
      <c r="K15" s="8"/>
      <c r="L15" s="8"/>
      <c r="M15" s="8"/>
    </row>
    <row r="16" spans="1:13" ht="15.75" hidden="1" customHeight="1">
      <c r="A16" s="30">
        <v>1</v>
      </c>
      <c r="B16" s="82" t="s">
        <v>93</v>
      </c>
      <c r="C16" s="83" t="s">
        <v>116</v>
      </c>
      <c r="D16" s="82" t="s">
        <v>117</v>
      </c>
      <c r="E16" s="56">
        <v>127.9</v>
      </c>
      <c r="F16" s="84">
        <f>SUM(E16*156/100)</f>
        <v>199.524</v>
      </c>
      <c r="G16" s="84">
        <v>187.48</v>
      </c>
      <c r="H16" s="85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hidden="1" customHeight="1">
      <c r="A17" s="30">
        <v>2</v>
      </c>
      <c r="B17" s="82" t="s">
        <v>102</v>
      </c>
      <c r="C17" s="83" t="s">
        <v>116</v>
      </c>
      <c r="D17" s="82" t="s">
        <v>181</v>
      </c>
      <c r="E17" s="56">
        <v>511.6</v>
      </c>
      <c r="F17" s="84">
        <f>SUM(E17*104/100)</f>
        <v>532.06399999999996</v>
      </c>
      <c r="G17" s="84">
        <v>185.48</v>
      </c>
      <c r="H17" s="85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hidden="1" customHeight="1">
      <c r="A18" s="30">
        <v>3</v>
      </c>
      <c r="B18" s="82" t="s">
        <v>103</v>
      </c>
      <c r="C18" s="83" t="s">
        <v>116</v>
      </c>
      <c r="D18" s="82" t="s">
        <v>118</v>
      </c>
      <c r="E18" s="56">
        <f>SUM(E16+E17)</f>
        <v>639.5</v>
      </c>
      <c r="F18" s="84">
        <f>SUM(E18*24/100)</f>
        <v>153.47999999999999</v>
      </c>
      <c r="G18" s="84">
        <v>539.30999999999995</v>
      </c>
      <c r="H18" s="85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82" t="s">
        <v>119</v>
      </c>
      <c r="C19" s="83" t="s">
        <v>120</v>
      </c>
      <c r="D19" s="82" t="s">
        <v>121</v>
      </c>
      <c r="E19" s="56">
        <v>38.4</v>
      </c>
      <c r="F19" s="84">
        <f>SUM(E19/10)</f>
        <v>3.84</v>
      </c>
      <c r="G19" s="84">
        <v>181.91</v>
      </c>
      <c r="H19" s="85">
        <f t="shared" si="0"/>
        <v>0.6985344</v>
      </c>
      <c r="I19" s="13">
        <v>0</v>
      </c>
      <c r="J19" s="23"/>
      <c r="K19" s="8"/>
      <c r="L19" s="8"/>
      <c r="M19" s="8"/>
    </row>
    <row r="20" spans="1:13" ht="15.75" hidden="1" customHeight="1">
      <c r="A20" s="30">
        <v>4</v>
      </c>
      <c r="B20" s="82" t="s">
        <v>107</v>
      </c>
      <c r="C20" s="83" t="s">
        <v>116</v>
      </c>
      <c r="D20" s="82" t="s">
        <v>30</v>
      </c>
      <c r="E20" s="56">
        <v>58.4</v>
      </c>
      <c r="F20" s="84">
        <f>SUM(E20*12/100)</f>
        <v>7.0079999999999991</v>
      </c>
      <c r="G20" s="84">
        <v>232.92</v>
      </c>
      <c r="H20" s="85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hidden="1" customHeight="1">
      <c r="A21" s="30">
        <v>5</v>
      </c>
      <c r="B21" s="82" t="s">
        <v>108</v>
      </c>
      <c r="C21" s="83" t="s">
        <v>116</v>
      </c>
      <c r="D21" s="82" t="s">
        <v>115</v>
      </c>
      <c r="E21" s="56">
        <v>9.08</v>
      </c>
      <c r="F21" s="84">
        <f>SUM(E21*6/100)</f>
        <v>0.54480000000000006</v>
      </c>
      <c r="G21" s="84">
        <v>231.03</v>
      </c>
      <c r="H21" s="85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82" t="s">
        <v>122</v>
      </c>
      <c r="C22" s="83" t="s">
        <v>56</v>
      </c>
      <c r="D22" s="82" t="s">
        <v>121</v>
      </c>
      <c r="E22" s="56">
        <v>714</v>
      </c>
      <c r="F22" s="84">
        <f>SUM(E22/100)</f>
        <v>7.14</v>
      </c>
      <c r="G22" s="84">
        <v>287.83999999999997</v>
      </c>
      <c r="H22" s="85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82" t="s">
        <v>123</v>
      </c>
      <c r="C23" s="83" t="s">
        <v>56</v>
      </c>
      <c r="D23" s="82" t="s">
        <v>121</v>
      </c>
      <c r="E23" s="77">
        <v>96.6</v>
      </c>
      <c r="F23" s="84">
        <f>SUM(E23/100)</f>
        <v>0.96599999999999997</v>
      </c>
      <c r="G23" s="84">
        <v>47.34</v>
      </c>
      <c r="H23" s="85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82" t="s">
        <v>110</v>
      </c>
      <c r="C24" s="83" t="s">
        <v>56</v>
      </c>
      <c r="D24" s="82" t="s">
        <v>121</v>
      </c>
      <c r="E24" s="19">
        <v>40</v>
      </c>
      <c r="F24" s="86">
        <v>4.8</v>
      </c>
      <c r="G24" s="84">
        <v>416.62</v>
      </c>
      <c r="H24" s="85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82" t="s">
        <v>111</v>
      </c>
      <c r="C25" s="83" t="s">
        <v>56</v>
      </c>
      <c r="D25" s="82" t="s">
        <v>121</v>
      </c>
      <c r="E25" s="56">
        <v>17</v>
      </c>
      <c r="F25" s="84">
        <f>SUM(E25/100)</f>
        <v>0.17</v>
      </c>
      <c r="G25" s="84">
        <v>556.74</v>
      </c>
      <c r="H25" s="85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hidden="1" customHeight="1">
      <c r="A26" s="30">
        <v>5</v>
      </c>
      <c r="B26" s="82" t="s">
        <v>69</v>
      </c>
      <c r="C26" s="83" t="s">
        <v>34</v>
      </c>
      <c r="D26" s="82" t="s">
        <v>161</v>
      </c>
      <c r="E26" s="56">
        <v>0.1</v>
      </c>
      <c r="F26" s="84">
        <f>SUM(E26*365)</f>
        <v>36.5</v>
      </c>
      <c r="G26" s="84">
        <v>157.18</v>
      </c>
      <c r="H26" s="85">
        <f>SUM(F26*G26/1000)</f>
        <v>5.737070000000001</v>
      </c>
      <c r="I26" s="13">
        <f>F26/12*G26</f>
        <v>478.08916666666664</v>
      </c>
      <c r="J26" s="24"/>
    </row>
    <row r="27" spans="1:13" ht="15.75" hidden="1" customHeight="1">
      <c r="A27" s="30">
        <v>6</v>
      </c>
      <c r="B27" s="90" t="s">
        <v>23</v>
      </c>
      <c r="C27" s="83" t="s">
        <v>24</v>
      </c>
      <c r="D27" s="90" t="s">
        <v>161</v>
      </c>
      <c r="E27" s="56">
        <v>4591.2</v>
      </c>
      <c r="F27" s="84">
        <f>SUM(E27*12)</f>
        <v>55094.399999999994</v>
      </c>
      <c r="G27" s="84">
        <v>5.85</v>
      </c>
      <c r="H27" s="85">
        <f>SUM(F27*G27/1000)</f>
        <v>322.30223999999993</v>
      </c>
      <c r="I27" s="13">
        <f>F27/12*G27</f>
        <v>26858.519999999997</v>
      </c>
      <c r="J27" s="24"/>
    </row>
    <row r="28" spans="1:13" ht="15.75" hidden="1" customHeight="1">
      <c r="A28" s="130" t="s">
        <v>91</v>
      </c>
      <c r="B28" s="130"/>
      <c r="C28" s="130"/>
      <c r="D28" s="130"/>
      <c r="E28" s="130"/>
      <c r="F28" s="130"/>
      <c r="G28" s="130"/>
      <c r="H28" s="130"/>
      <c r="I28" s="130"/>
      <c r="J28" s="23"/>
      <c r="K28" s="8"/>
      <c r="L28" s="8"/>
      <c r="M28" s="8"/>
    </row>
    <row r="29" spans="1:13" ht="15.75" hidden="1" customHeight="1">
      <c r="A29" s="30"/>
      <c r="B29" s="106" t="s">
        <v>28</v>
      </c>
      <c r="C29" s="83"/>
      <c r="D29" s="82"/>
      <c r="E29" s="56"/>
      <c r="F29" s="84"/>
      <c r="G29" s="84"/>
      <c r="H29" s="85"/>
      <c r="I29" s="13"/>
      <c r="J29" s="23"/>
      <c r="K29" s="8"/>
      <c r="L29" s="8"/>
      <c r="M29" s="8"/>
    </row>
    <row r="30" spans="1:13" ht="15.75" hidden="1" customHeight="1">
      <c r="A30" s="30">
        <v>7</v>
      </c>
      <c r="B30" s="82" t="s">
        <v>124</v>
      </c>
      <c r="C30" s="83" t="s">
        <v>125</v>
      </c>
      <c r="D30" s="82" t="s">
        <v>126</v>
      </c>
      <c r="E30" s="84">
        <v>844.95</v>
      </c>
      <c r="F30" s="84">
        <f>SUM(E30*52/1000)</f>
        <v>43.937400000000004</v>
      </c>
      <c r="G30" s="84">
        <v>166.65</v>
      </c>
      <c r="H30" s="85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hidden="1" customHeight="1">
      <c r="A31" s="30">
        <v>8</v>
      </c>
      <c r="B31" s="82" t="s">
        <v>182</v>
      </c>
      <c r="C31" s="83" t="s">
        <v>125</v>
      </c>
      <c r="D31" s="82" t="s">
        <v>127</v>
      </c>
      <c r="E31" s="84">
        <v>260.13</v>
      </c>
      <c r="F31" s="84">
        <f>SUM(E31*78/1000)</f>
        <v>20.290140000000001</v>
      </c>
      <c r="G31" s="84">
        <v>276.48</v>
      </c>
      <c r="H31" s="85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82" t="s">
        <v>27</v>
      </c>
      <c r="C32" s="83" t="s">
        <v>125</v>
      </c>
      <c r="D32" s="82" t="s">
        <v>57</v>
      </c>
      <c r="E32" s="84">
        <v>844.95</v>
      </c>
      <c r="F32" s="84">
        <f>SUM(E32/1000)</f>
        <v>0.84495000000000009</v>
      </c>
      <c r="G32" s="84">
        <v>3228.73</v>
      </c>
      <c r="H32" s="85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hidden="1" customHeight="1">
      <c r="A33" s="30">
        <v>9</v>
      </c>
      <c r="B33" s="82" t="s">
        <v>160</v>
      </c>
      <c r="C33" s="83" t="s">
        <v>42</v>
      </c>
      <c r="D33" s="82" t="s">
        <v>68</v>
      </c>
      <c r="E33" s="84">
        <v>8</v>
      </c>
      <c r="F33" s="84">
        <v>12.4</v>
      </c>
      <c r="G33" s="84">
        <v>1391.86</v>
      </c>
      <c r="H33" s="85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hidden="1" customHeight="1">
      <c r="A34" s="30">
        <v>10</v>
      </c>
      <c r="B34" s="82" t="s">
        <v>128</v>
      </c>
      <c r="C34" s="83" t="s">
        <v>31</v>
      </c>
      <c r="D34" s="82" t="s">
        <v>68</v>
      </c>
      <c r="E34" s="89">
        <v>0.33333333333333331</v>
      </c>
      <c r="F34" s="84">
        <f>155/3</f>
        <v>51.666666666666664</v>
      </c>
      <c r="G34" s="84">
        <v>60.6</v>
      </c>
      <c r="H34" s="85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82" t="s">
        <v>70</v>
      </c>
      <c r="C35" s="83" t="s">
        <v>34</v>
      </c>
      <c r="D35" s="82" t="s">
        <v>72</v>
      </c>
      <c r="E35" s="56"/>
      <c r="F35" s="84">
        <v>3</v>
      </c>
      <c r="G35" s="84">
        <v>204.32</v>
      </c>
      <c r="H35" s="85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82" t="s">
        <v>71</v>
      </c>
      <c r="C36" s="83" t="s">
        <v>33</v>
      </c>
      <c r="D36" s="82" t="s">
        <v>72</v>
      </c>
      <c r="E36" s="56"/>
      <c r="F36" s="84">
        <v>2</v>
      </c>
      <c r="G36" s="84">
        <v>1214.73</v>
      </c>
      <c r="H36" s="85">
        <f t="shared" si="1"/>
        <v>2.4294600000000002</v>
      </c>
      <c r="I36" s="13">
        <v>0</v>
      </c>
      <c r="J36" s="24"/>
    </row>
    <row r="37" spans="1:14" ht="15.75" hidden="1" customHeight="1">
      <c r="A37" s="30"/>
      <c r="B37" s="106" t="s">
        <v>5</v>
      </c>
      <c r="C37" s="83"/>
      <c r="D37" s="82"/>
      <c r="E37" s="56"/>
      <c r="F37" s="84"/>
      <c r="G37" s="84"/>
      <c r="H37" s="85" t="s">
        <v>144</v>
      </c>
      <c r="I37" s="13"/>
      <c r="J37" s="24"/>
    </row>
    <row r="38" spans="1:14" ht="15.75" hidden="1" customHeight="1">
      <c r="A38" s="30">
        <v>8</v>
      </c>
      <c r="B38" s="82" t="s">
        <v>26</v>
      </c>
      <c r="C38" s="83" t="s">
        <v>33</v>
      </c>
      <c r="D38" s="82"/>
      <c r="E38" s="56"/>
      <c r="F38" s="84">
        <v>10</v>
      </c>
      <c r="G38" s="84">
        <v>1632.6</v>
      </c>
      <c r="H38" s="85">
        <f t="shared" ref="H38:H44" si="3">SUM(F38*G38/1000)</f>
        <v>16.326000000000001</v>
      </c>
      <c r="I38" s="13">
        <f>F38/6*G38</f>
        <v>2721</v>
      </c>
      <c r="J38" s="24"/>
    </row>
    <row r="39" spans="1:14" ht="15.75" hidden="1" customHeight="1">
      <c r="A39" s="30">
        <v>9</v>
      </c>
      <c r="B39" s="82" t="s">
        <v>162</v>
      </c>
      <c r="C39" s="83" t="s">
        <v>29</v>
      </c>
      <c r="D39" s="82" t="s">
        <v>129</v>
      </c>
      <c r="E39" s="84">
        <v>254.8</v>
      </c>
      <c r="F39" s="84">
        <f>SUM(E39*30/1000)</f>
        <v>7.6440000000000001</v>
      </c>
      <c r="G39" s="84">
        <v>2247.8000000000002</v>
      </c>
      <c r="H39" s="85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82" t="s">
        <v>104</v>
      </c>
      <c r="C40" s="83" t="s">
        <v>130</v>
      </c>
      <c r="D40" s="82" t="s">
        <v>72</v>
      </c>
      <c r="E40" s="56"/>
      <c r="F40" s="84">
        <v>40</v>
      </c>
      <c r="G40" s="84">
        <v>213.2</v>
      </c>
      <c r="H40" s="85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hidden="1" customHeight="1">
      <c r="A41" s="30">
        <v>10</v>
      </c>
      <c r="B41" s="82" t="s">
        <v>73</v>
      </c>
      <c r="C41" s="83" t="s">
        <v>29</v>
      </c>
      <c r="D41" s="82" t="s">
        <v>131</v>
      </c>
      <c r="E41" s="84">
        <v>260.13</v>
      </c>
      <c r="F41" s="84">
        <f>SUM(E41*155/1000)</f>
        <v>40.320149999999998</v>
      </c>
      <c r="G41" s="84">
        <v>374.95</v>
      </c>
      <c r="H41" s="85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hidden="1" customHeight="1">
      <c r="A42" s="30">
        <v>11</v>
      </c>
      <c r="B42" s="82" t="s">
        <v>89</v>
      </c>
      <c r="C42" s="83" t="s">
        <v>125</v>
      </c>
      <c r="D42" s="82" t="s">
        <v>132</v>
      </c>
      <c r="E42" s="84">
        <v>132.72999999999999</v>
      </c>
      <c r="F42" s="84">
        <f>SUM(E42*35/1000)</f>
        <v>4.6455499999999992</v>
      </c>
      <c r="G42" s="84">
        <v>6203.7</v>
      </c>
      <c r="H42" s="85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hidden="1" customHeight="1">
      <c r="A43" s="30">
        <v>12</v>
      </c>
      <c r="B43" s="82" t="s">
        <v>133</v>
      </c>
      <c r="C43" s="83" t="s">
        <v>125</v>
      </c>
      <c r="D43" s="82" t="s">
        <v>74</v>
      </c>
      <c r="E43" s="84">
        <v>254.8</v>
      </c>
      <c r="F43" s="84">
        <f>SUM(E43*45/1000)</f>
        <v>11.465999999999999</v>
      </c>
      <c r="G43" s="84">
        <v>458.28</v>
      </c>
      <c r="H43" s="85">
        <f t="shared" si="3"/>
        <v>5.2546384799999997</v>
      </c>
      <c r="I43" s="13">
        <f>F43/6*G43</f>
        <v>875.77307999999982</v>
      </c>
      <c r="J43" s="24"/>
      <c r="L43" s="20"/>
      <c r="M43" s="21"/>
      <c r="N43" s="22"/>
    </row>
    <row r="44" spans="1:14" ht="15.75" hidden="1" customHeight="1">
      <c r="A44" s="30">
        <v>13</v>
      </c>
      <c r="B44" s="82" t="s">
        <v>75</v>
      </c>
      <c r="C44" s="83" t="s">
        <v>34</v>
      </c>
      <c r="D44" s="82"/>
      <c r="E44" s="56"/>
      <c r="F44" s="84">
        <v>0.9</v>
      </c>
      <c r="G44" s="84">
        <v>853.06</v>
      </c>
      <c r="H44" s="85">
        <f t="shared" si="3"/>
        <v>0.76775400000000005</v>
      </c>
      <c r="I44" s="13">
        <f>F44/6*G44</f>
        <v>127.95899999999999</v>
      </c>
      <c r="J44" s="24"/>
      <c r="L44" s="20"/>
      <c r="M44" s="21"/>
      <c r="N44" s="22"/>
    </row>
    <row r="45" spans="1:14" ht="15.75" hidden="1" customHeight="1">
      <c r="A45" s="131" t="s">
        <v>154</v>
      </c>
      <c r="B45" s="132"/>
      <c r="C45" s="132"/>
      <c r="D45" s="132"/>
      <c r="E45" s="132"/>
      <c r="F45" s="132"/>
      <c r="G45" s="132"/>
      <c r="H45" s="132"/>
      <c r="I45" s="133"/>
      <c r="J45" s="24"/>
      <c r="L45" s="20"/>
      <c r="M45" s="21"/>
      <c r="N45" s="22"/>
    </row>
    <row r="46" spans="1:14" ht="15.75" hidden="1" customHeight="1">
      <c r="A46" s="30"/>
      <c r="B46" s="82" t="s">
        <v>148</v>
      </c>
      <c r="C46" s="83" t="s">
        <v>125</v>
      </c>
      <c r="D46" s="82" t="s">
        <v>44</v>
      </c>
      <c r="E46" s="56">
        <v>1795.9</v>
      </c>
      <c r="F46" s="84">
        <f>SUM(E46*2/1000)</f>
        <v>3.5918000000000001</v>
      </c>
      <c r="G46" s="13">
        <v>865.61</v>
      </c>
      <c r="H46" s="85">
        <f t="shared" ref="H46:H55" si="4">SUM(F46*G46/1000)</f>
        <v>3.1090979980000002</v>
      </c>
      <c r="I46" s="13">
        <v>0</v>
      </c>
      <c r="J46" s="24"/>
      <c r="L46" s="20"/>
      <c r="M46" s="21"/>
      <c r="N46" s="22"/>
    </row>
    <row r="47" spans="1:14" ht="15.75" hidden="1" customHeight="1">
      <c r="A47" s="30"/>
      <c r="B47" s="82" t="s">
        <v>37</v>
      </c>
      <c r="C47" s="83" t="s">
        <v>125</v>
      </c>
      <c r="D47" s="82" t="s">
        <v>44</v>
      </c>
      <c r="E47" s="56">
        <v>104</v>
      </c>
      <c r="F47" s="84">
        <f>SUM(E47*2/1000)</f>
        <v>0.20799999999999999</v>
      </c>
      <c r="G47" s="13">
        <v>619.46</v>
      </c>
      <c r="H47" s="85">
        <f t="shared" si="4"/>
        <v>0.12884767999999999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30"/>
      <c r="B48" s="82" t="s">
        <v>38</v>
      </c>
      <c r="C48" s="83" t="s">
        <v>125</v>
      </c>
      <c r="D48" s="82" t="s">
        <v>44</v>
      </c>
      <c r="E48" s="56">
        <v>1996.87</v>
      </c>
      <c r="F48" s="84">
        <f>SUM(E48*2/1000)</f>
        <v>3.9937399999999998</v>
      </c>
      <c r="G48" s="13">
        <v>619.46</v>
      </c>
      <c r="H48" s="85">
        <f t="shared" si="4"/>
        <v>2.4739621804</v>
      </c>
      <c r="I48" s="13">
        <v>0</v>
      </c>
      <c r="J48" s="24"/>
      <c r="L48" s="20"/>
      <c r="M48" s="21"/>
      <c r="N48" s="22"/>
    </row>
    <row r="49" spans="1:22" ht="15.75" hidden="1" customHeight="1">
      <c r="A49" s="30"/>
      <c r="B49" s="82" t="s">
        <v>39</v>
      </c>
      <c r="C49" s="83" t="s">
        <v>125</v>
      </c>
      <c r="D49" s="82" t="s">
        <v>44</v>
      </c>
      <c r="E49" s="56">
        <v>2630.35</v>
      </c>
      <c r="F49" s="84">
        <f>SUM(E49*2/1000)</f>
        <v>5.2606999999999999</v>
      </c>
      <c r="G49" s="13">
        <v>648.64</v>
      </c>
      <c r="H49" s="85">
        <f t="shared" si="4"/>
        <v>3.4123004479999999</v>
      </c>
      <c r="I49" s="13">
        <v>0</v>
      </c>
      <c r="J49" s="24"/>
      <c r="L49" s="20"/>
      <c r="M49" s="21"/>
      <c r="N49" s="22"/>
    </row>
    <row r="50" spans="1:22" ht="15.75" hidden="1" customHeight="1">
      <c r="A50" s="30"/>
      <c r="B50" s="82" t="s">
        <v>35</v>
      </c>
      <c r="C50" s="83" t="s">
        <v>36</v>
      </c>
      <c r="D50" s="82" t="s">
        <v>44</v>
      </c>
      <c r="E50" s="56">
        <v>131.47</v>
      </c>
      <c r="F50" s="84">
        <f>SUM(E50*2/100)</f>
        <v>2.6294</v>
      </c>
      <c r="G50" s="13">
        <v>77.84</v>
      </c>
      <c r="H50" s="85">
        <f t="shared" si="4"/>
        <v>0.20467249599999998</v>
      </c>
      <c r="I50" s="13">
        <v>0</v>
      </c>
      <c r="J50" s="24"/>
      <c r="L50" s="20"/>
      <c r="M50" s="21"/>
      <c r="N50" s="22"/>
    </row>
    <row r="51" spans="1:22" ht="15.75" hidden="1" customHeight="1">
      <c r="A51" s="30">
        <v>14</v>
      </c>
      <c r="B51" s="82" t="s">
        <v>61</v>
      </c>
      <c r="C51" s="83" t="s">
        <v>125</v>
      </c>
      <c r="D51" s="82" t="s">
        <v>183</v>
      </c>
      <c r="E51" s="56">
        <v>2872.4</v>
      </c>
      <c r="F51" s="84">
        <f>SUM(E51*5/1000)</f>
        <v>14.362</v>
      </c>
      <c r="G51" s="13">
        <v>1297.28</v>
      </c>
      <c r="H51" s="85">
        <f t="shared" si="4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22" ht="31.5" hidden="1" customHeight="1">
      <c r="A52" s="30">
        <v>11</v>
      </c>
      <c r="B52" s="82" t="s">
        <v>134</v>
      </c>
      <c r="C52" s="83" t="s">
        <v>125</v>
      </c>
      <c r="D52" s="82" t="s">
        <v>44</v>
      </c>
      <c r="E52" s="56">
        <v>2872.4</v>
      </c>
      <c r="F52" s="84">
        <f>SUM(E52*2/1000)</f>
        <v>5.7448000000000006</v>
      </c>
      <c r="G52" s="13">
        <v>1297.28</v>
      </c>
      <c r="H52" s="85">
        <f t="shared" si="4"/>
        <v>7.4526141440000009</v>
      </c>
      <c r="I52" s="13">
        <f>F52/2*G52</f>
        <v>3726.3070720000005</v>
      </c>
      <c r="J52" s="24"/>
      <c r="L52" s="20"/>
      <c r="M52" s="21"/>
      <c r="N52" s="22"/>
    </row>
    <row r="53" spans="1:22" ht="31.5" hidden="1" customHeight="1">
      <c r="A53" s="30">
        <v>12</v>
      </c>
      <c r="B53" s="82" t="s">
        <v>135</v>
      </c>
      <c r="C53" s="83" t="s">
        <v>40</v>
      </c>
      <c r="D53" s="82" t="s">
        <v>44</v>
      </c>
      <c r="E53" s="56">
        <v>40</v>
      </c>
      <c r="F53" s="84">
        <f>SUM(E53*2/100)</f>
        <v>0.8</v>
      </c>
      <c r="G53" s="13">
        <v>2918.89</v>
      </c>
      <c r="H53" s="85">
        <f t="shared" si="4"/>
        <v>2.3351120000000001</v>
      </c>
      <c r="I53" s="13">
        <f t="shared" ref="I53:I54" si="5">F53/2*G53</f>
        <v>1167.556</v>
      </c>
      <c r="J53" s="24"/>
      <c r="L53" s="20"/>
      <c r="M53" s="21"/>
      <c r="N53" s="22"/>
    </row>
    <row r="54" spans="1:22" ht="15.75" hidden="1" customHeight="1">
      <c r="A54" s="30">
        <v>13</v>
      </c>
      <c r="B54" s="82" t="s">
        <v>41</v>
      </c>
      <c r="C54" s="83" t="s">
        <v>42</v>
      </c>
      <c r="D54" s="82" t="s">
        <v>44</v>
      </c>
      <c r="E54" s="56">
        <v>1</v>
      </c>
      <c r="F54" s="84">
        <v>0.02</v>
      </c>
      <c r="G54" s="13">
        <v>6042.12</v>
      </c>
      <c r="H54" s="85">
        <f t="shared" si="4"/>
        <v>0.1208424</v>
      </c>
      <c r="I54" s="13">
        <f t="shared" si="5"/>
        <v>60.421199999999999</v>
      </c>
      <c r="J54" s="24"/>
      <c r="L54" s="20"/>
      <c r="M54" s="21"/>
      <c r="N54" s="22"/>
    </row>
    <row r="55" spans="1:22" ht="15.75" hidden="1" customHeight="1">
      <c r="A55" s="30">
        <v>15</v>
      </c>
      <c r="B55" s="82" t="s">
        <v>43</v>
      </c>
      <c r="C55" s="83" t="s">
        <v>31</v>
      </c>
      <c r="D55" s="82" t="s">
        <v>76</v>
      </c>
      <c r="E55" s="56">
        <v>160</v>
      </c>
      <c r="F55" s="84">
        <f>SUM(E55)*3</f>
        <v>480</v>
      </c>
      <c r="G55" s="13">
        <v>70.209999999999994</v>
      </c>
      <c r="H55" s="85">
        <f t="shared" si="4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22" ht="15.75" hidden="1" customHeight="1">
      <c r="A56" s="131" t="s">
        <v>155</v>
      </c>
      <c r="B56" s="132"/>
      <c r="C56" s="132"/>
      <c r="D56" s="132"/>
      <c r="E56" s="132"/>
      <c r="F56" s="132"/>
      <c r="G56" s="132"/>
      <c r="H56" s="132"/>
      <c r="I56" s="133"/>
      <c r="J56" s="24"/>
      <c r="L56" s="20"/>
      <c r="M56" s="21"/>
      <c r="N56" s="22"/>
    </row>
    <row r="57" spans="1:22" ht="15.75" hidden="1" customHeight="1">
      <c r="A57" s="30"/>
      <c r="B57" s="106" t="s">
        <v>45</v>
      </c>
      <c r="C57" s="83"/>
      <c r="D57" s="82"/>
      <c r="E57" s="56"/>
      <c r="F57" s="84"/>
      <c r="G57" s="84"/>
      <c r="H57" s="85"/>
      <c r="I57" s="13"/>
      <c r="J57" s="24"/>
      <c r="L57" s="20"/>
      <c r="M57" s="21"/>
      <c r="N57" s="22"/>
    </row>
    <row r="58" spans="1:22" ht="31.5" hidden="1" customHeight="1">
      <c r="A58" s="30">
        <v>16</v>
      </c>
      <c r="B58" s="82" t="s">
        <v>137</v>
      </c>
      <c r="C58" s="83" t="s">
        <v>116</v>
      </c>
      <c r="D58" s="82" t="s">
        <v>77</v>
      </c>
      <c r="E58" s="56">
        <v>239.59</v>
      </c>
      <c r="F58" s="84">
        <f>E58*6/100</f>
        <v>14.375399999999999</v>
      </c>
      <c r="G58" s="91">
        <v>1654.04</v>
      </c>
      <c r="H58" s="85">
        <f>F58*G58/1000</f>
        <v>23.777486615999997</v>
      </c>
      <c r="I58" s="13">
        <f>F58/6*G58</f>
        <v>3962.9144359999996</v>
      </c>
      <c r="J58" s="24"/>
      <c r="L58" s="20"/>
      <c r="M58" s="21"/>
      <c r="N58" s="22"/>
    </row>
    <row r="59" spans="1:22" ht="15.75" hidden="1" customHeight="1">
      <c r="A59" s="30"/>
      <c r="B59" s="107" t="s">
        <v>46</v>
      </c>
      <c r="C59" s="92"/>
      <c r="D59" s="93"/>
      <c r="E59" s="94"/>
      <c r="F59" s="96"/>
      <c r="G59" s="13"/>
      <c r="H59" s="98"/>
      <c r="I59" s="13"/>
      <c r="J59" s="24"/>
      <c r="L59" s="20"/>
      <c r="M59" s="21"/>
      <c r="N59" s="22"/>
    </row>
    <row r="60" spans="1:22" ht="15.75" hidden="1" customHeight="1">
      <c r="A60" s="30"/>
      <c r="B60" s="93" t="s">
        <v>47</v>
      </c>
      <c r="C60" s="92" t="s">
        <v>56</v>
      </c>
      <c r="D60" s="93" t="s">
        <v>57</v>
      </c>
      <c r="E60" s="94">
        <v>2686</v>
      </c>
      <c r="F60" s="96">
        <f>E60/100</f>
        <v>26.86</v>
      </c>
      <c r="G60" s="13">
        <v>848.37</v>
      </c>
      <c r="H60" s="98">
        <f>G60*F60/1000</f>
        <v>22.787218199999998</v>
      </c>
      <c r="I60" s="13">
        <v>0</v>
      </c>
      <c r="J60" s="24"/>
      <c r="L60" s="20"/>
    </row>
    <row r="61" spans="1:22" ht="15.75" hidden="1" customHeight="1">
      <c r="A61" s="30">
        <v>14</v>
      </c>
      <c r="B61" s="93" t="s">
        <v>105</v>
      </c>
      <c r="C61" s="92" t="s">
        <v>25</v>
      </c>
      <c r="D61" s="93" t="s">
        <v>30</v>
      </c>
      <c r="E61" s="94">
        <v>343</v>
      </c>
      <c r="F61" s="96">
        <v>4116</v>
      </c>
      <c r="G61" s="13">
        <v>2.6</v>
      </c>
      <c r="H61" s="98">
        <f>F61*G61</f>
        <v>10701.6</v>
      </c>
      <c r="I61" s="13">
        <f>F61/12*G61</f>
        <v>891.80000000000007</v>
      </c>
    </row>
    <row r="62" spans="1:22" ht="15.75" hidden="1" customHeight="1">
      <c r="A62" s="30"/>
      <c r="B62" s="107" t="s">
        <v>149</v>
      </c>
      <c r="C62" s="92"/>
      <c r="D62" s="93"/>
      <c r="E62" s="94"/>
      <c r="F62" s="96"/>
      <c r="G62" s="13"/>
      <c r="H62" s="98"/>
      <c r="I62" s="13"/>
    </row>
    <row r="63" spans="1:22" ht="15.75" hidden="1" customHeight="1">
      <c r="A63" s="30"/>
      <c r="B63" s="93" t="s">
        <v>150</v>
      </c>
      <c r="C63" s="92" t="s">
        <v>31</v>
      </c>
      <c r="D63" s="93" t="s">
        <v>72</v>
      </c>
      <c r="E63" s="94">
        <v>3</v>
      </c>
      <c r="F63" s="95">
        <v>3</v>
      </c>
      <c r="G63" s="97">
        <v>254.16</v>
      </c>
      <c r="H63" s="96">
        <v>0.76200000000000001</v>
      </c>
      <c r="I63" s="13">
        <v>0</v>
      </c>
    </row>
    <row r="64" spans="1:22" ht="15.75" hidden="1" customHeight="1">
      <c r="A64" s="30"/>
      <c r="B64" s="107" t="s">
        <v>48</v>
      </c>
      <c r="C64" s="92"/>
      <c r="D64" s="93"/>
      <c r="E64" s="94"/>
      <c r="F64" s="95"/>
      <c r="G64" s="95"/>
      <c r="H64" s="96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0"/>
      <c r="B65" s="14" t="s">
        <v>49</v>
      </c>
      <c r="C65" s="16" t="s">
        <v>136</v>
      </c>
      <c r="D65" s="93" t="s">
        <v>72</v>
      </c>
      <c r="E65" s="19">
        <v>15</v>
      </c>
      <c r="F65" s="84">
        <v>15</v>
      </c>
      <c r="G65" s="13">
        <v>237.74</v>
      </c>
      <c r="H65" s="99">
        <f t="shared" ref="H65:H78" si="6">SUM(F65*G65/1000)</f>
        <v>3.5661000000000005</v>
      </c>
      <c r="I65" s="13">
        <v>0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14" t="s">
        <v>50</v>
      </c>
      <c r="C66" s="16" t="s">
        <v>136</v>
      </c>
      <c r="D66" s="93" t="s">
        <v>72</v>
      </c>
      <c r="E66" s="19">
        <v>5</v>
      </c>
      <c r="F66" s="84">
        <v>5</v>
      </c>
      <c r="G66" s="13">
        <v>81.510000000000005</v>
      </c>
      <c r="H66" s="99">
        <f t="shared" si="6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14" t="s">
        <v>51</v>
      </c>
      <c r="C67" s="16" t="s">
        <v>138</v>
      </c>
      <c r="D67" s="14" t="s">
        <v>57</v>
      </c>
      <c r="E67" s="56">
        <v>24123</v>
      </c>
      <c r="F67" s="13">
        <f>SUM(E67/100)</f>
        <v>241.23</v>
      </c>
      <c r="G67" s="13">
        <v>226.79</v>
      </c>
      <c r="H67" s="99">
        <f t="shared" si="6"/>
        <v>54.708551699999994</v>
      </c>
      <c r="I67" s="13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127"/>
      <c r="S67" s="127"/>
      <c r="T67" s="127"/>
      <c r="U67" s="127"/>
    </row>
    <row r="68" spans="1:21" ht="15.75" hidden="1" customHeight="1">
      <c r="A68" s="30"/>
      <c r="B68" s="14" t="s">
        <v>52</v>
      </c>
      <c r="C68" s="16" t="s">
        <v>139</v>
      </c>
      <c r="D68" s="14"/>
      <c r="E68" s="56">
        <v>24123</v>
      </c>
      <c r="F68" s="13">
        <f>SUM(E68/1000)</f>
        <v>24.123000000000001</v>
      </c>
      <c r="G68" s="13">
        <v>176.61</v>
      </c>
      <c r="H68" s="99">
        <f t="shared" si="6"/>
        <v>4.2603630300000006</v>
      </c>
      <c r="I68" s="13">
        <f t="shared" ref="I68:I72" si="7">F68*G68</f>
        <v>4260.3630300000004</v>
      </c>
    </row>
    <row r="69" spans="1:21" ht="15.75" hidden="1" customHeight="1">
      <c r="A69" s="30"/>
      <c r="B69" s="14" t="s">
        <v>53</v>
      </c>
      <c r="C69" s="16" t="s">
        <v>82</v>
      </c>
      <c r="D69" s="14" t="s">
        <v>57</v>
      </c>
      <c r="E69" s="56">
        <v>2730</v>
      </c>
      <c r="F69" s="13">
        <f>SUM(E69/100)</f>
        <v>27.3</v>
      </c>
      <c r="G69" s="13">
        <v>2217.7800000000002</v>
      </c>
      <c r="H69" s="99">
        <f t="shared" si="6"/>
        <v>60.545394000000009</v>
      </c>
      <c r="I69" s="13">
        <f t="shared" si="7"/>
        <v>60545.394000000008</v>
      </c>
    </row>
    <row r="70" spans="1:21" ht="15.75" hidden="1" customHeight="1">
      <c r="A70" s="30"/>
      <c r="B70" s="100" t="s">
        <v>140</v>
      </c>
      <c r="C70" s="16" t="s">
        <v>34</v>
      </c>
      <c r="D70" s="14"/>
      <c r="E70" s="56">
        <v>23</v>
      </c>
      <c r="F70" s="13">
        <f>SUM(E70)</f>
        <v>23</v>
      </c>
      <c r="G70" s="13">
        <v>42.67</v>
      </c>
      <c r="H70" s="99">
        <f t="shared" si="6"/>
        <v>0.98141000000000012</v>
      </c>
      <c r="I70" s="13">
        <f t="shared" si="7"/>
        <v>981.41000000000008</v>
      </c>
    </row>
    <row r="71" spans="1:21" ht="15.75" hidden="1" customHeight="1">
      <c r="A71" s="30"/>
      <c r="B71" s="100" t="s">
        <v>141</v>
      </c>
      <c r="C71" s="16" t="s">
        <v>34</v>
      </c>
      <c r="D71" s="14"/>
      <c r="E71" s="56">
        <v>23</v>
      </c>
      <c r="F71" s="13">
        <f>SUM(E71)</f>
        <v>23</v>
      </c>
      <c r="G71" s="13">
        <v>39.81</v>
      </c>
      <c r="H71" s="99">
        <f t="shared" si="6"/>
        <v>0.91563000000000005</v>
      </c>
      <c r="I71" s="13">
        <f t="shared" si="7"/>
        <v>915.63000000000011</v>
      </c>
    </row>
    <row r="72" spans="1:21" ht="15.75" hidden="1" customHeight="1">
      <c r="A72" s="30"/>
      <c r="B72" s="14" t="s">
        <v>62</v>
      </c>
      <c r="C72" s="16" t="s">
        <v>63</v>
      </c>
      <c r="D72" s="14" t="s">
        <v>57</v>
      </c>
      <c r="E72" s="19">
        <v>10</v>
      </c>
      <c r="F72" s="84">
        <f>SUM(E72)</f>
        <v>10</v>
      </c>
      <c r="G72" s="13">
        <v>53.32</v>
      </c>
      <c r="H72" s="99">
        <f t="shared" si="6"/>
        <v>0.53320000000000001</v>
      </c>
      <c r="I72" s="13">
        <f t="shared" si="7"/>
        <v>533.20000000000005</v>
      </c>
    </row>
    <row r="73" spans="1:21" ht="15.75" hidden="1" customHeight="1">
      <c r="A73" s="30"/>
      <c r="B73" s="71" t="s">
        <v>78</v>
      </c>
      <c r="C73" s="16"/>
      <c r="D73" s="14"/>
      <c r="E73" s="19"/>
      <c r="F73" s="13"/>
      <c r="G73" s="13"/>
      <c r="H73" s="99" t="s">
        <v>144</v>
      </c>
      <c r="I73" s="13"/>
    </row>
    <row r="74" spans="1:21" ht="15.75" hidden="1" customHeight="1">
      <c r="A74" s="30"/>
      <c r="B74" s="14" t="s">
        <v>79</v>
      </c>
      <c r="C74" s="16" t="s">
        <v>32</v>
      </c>
      <c r="D74" s="14"/>
      <c r="E74" s="19">
        <v>2</v>
      </c>
      <c r="F74" s="75">
        <v>0.2</v>
      </c>
      <c r="G74" s="13">
        <v>536.23</v>
      </c>
      <c r="H74" s="99">
        <v>0.251</v>
      </c>
      <c r="I74" s="13">
        <v>0</v>
      </c>
    </row>
    <row r="75" spans="1:21" ht="15.75" hidden="1" customHeight="1">
      <c r="A75" s="30"/>
      <c r="B75" s="14" t="s">
        <v>95</v>
      </c>
      <c r="C75" s="16" t="s">
        <v>31</v>
      </c>
      <c r="D75" s="14"/>
      <c r="E75" s="19">
        <v>1</v>
      </c>
      <c r="F75" s="84">
        <f>SUM(E75)</f>
        <v>1</v>
      </c>
      <c r="G75" s="13">
        <v>383.25</v>
      </c>
      <c r="H75" s="99">
        <f t="shared" si="6"/>
        <v>0.38324999999999998</v>
      </c>
      <c r="I75" s="13">
        <v>0</v>
      </c>
    </row>
    <row r="76" spans="1:21" ht="15.75" hidden="1" customHeight="1">
      <c r="A76" s="30"/>
      <c r="B76" s="14" t="s">
        <v>80</v>
      </c>
      <c r="C76" s="16" t="s">
        <v>31</v>
      </c>
      <c r="D76" s="14"/>
      <c r="E76" s="19">
        <v>2</v>
      </c>
      <c r="F76" s="13">
        <v>2</v>
      </c>
      <c r="G76" s="13">
        <v>911.85</v>
      </c>
      <c r="H76" s="99">
        <f>F76*G76/1000</f>
        <v>1.8237000000000001</v>
      </c>
      <c r="I76" s="13">
        <v>0</v>
      </c>
    </row>
    <row r="77" spans="1:21" ht="15.75" hidden="1" customHeight="1">
      <c r="A77" s="30"/>
      <c r="B77" s="101" t="s">
        <v>81</v>
      </c>
      <c r="C77" s="16"/>
      <c r="D77" s="14"/>
      <c r="E77" s="19"/>
      <c r="F77" s="13"/>
      <c r="G77" s="13" t="s">
        <v>144</v>
      </c>
      <c r="H77" s="99" t="s">
        <v>144</v>
      </c>
      <c r="I77" s="13"/>
    </row>
    <row r="78" spans="1:21" ht="15.75" hidden="1" customHeight="1">
      <c r="A78" s="30"/>
      <c r="B78" s="49" t="s">
        <v>145</v>
      </c>
      <c r="C78" s="16" t="s">
        <v>82</v>
      </c>
      <c r="D78" s="14"/>
      <c r="E78" s="19"/>
      <c r="F78" s="13">
        <v>1.35</v>
      </c>
      <c r="G78" s="13">
        <v>2949.85</v>
      </c>
      <c r="H78" s="99">
        <f t="shared" si="6"/>
        <v>3.9822975</v>
      </c>
      <c r="I78" s="13">
        <v>0</v>
      </c>
    </row>
    <row r="79" spans="1:21" ht="15.75" hidden="1" customHeight="1">
      <c r="A79" s="30"/>
      <c r="B79" s="87" t="s">
        <v>142</v>
      </c>
      <c r="C79" s="101"/>
      <c r="D79" s="32"/>
      <c r="E79" s="33"/>
      <c r="F79" s="88"/>
      <c r="G79" s="88"/>
      <c r="H79" s="102">
        <f>SUM(H58:H78)</f>
        <v>10881.285151046004</v>
      </c>
      <c r="I79" s="88"/>
    </row>
    <row r="80" spans="1:21" ht="15.75" hidden="1" customHeight="1">
      <c r="A80" s="30"/>
      <c r="B80" s="82" t="s">
        <v>143</v>
      </c>
      <c r="C80" s="16"/>
      <c r="D80" s="14"/>
      <c r="E80" s="76"/>
      <c r="F80" s="13">
        <v>1</v>
      </c>
      <c r="G80" s="13">
        <v>19342.2</v>
      </c>
      <c r="H80" s="99">
        <f>G80*F80/1000</f>
        <v>19.342200000000002</v>
      </c>
      <c r="I80" s="13">
        <v>0</v>
      </c>
    </row>
    <row r="81" spans="1:9" ht="15.75" hidden="1" customHeight="1">
      <c r="A81" s="140" t="s">
        <v>156</v>
      </c>
      <c r="B81" s="141"/>
      <c r="C81" s="141"/>
      <c r="D81" s="141"/>
      <c r="E81" s="141"/>
      <c r="F81" s="141"/>
      <c r="G81" s="141"/>
      <c r="H81" s="141"/>
      <c r="I81" s="142"/>
    </row>
    <row r="82" spans="1:9" ht="15.75" hidden="1" customHeight="1">
      <c r="A82" s="30">
        <v>15</v>
      </c>
      <c r="B82" s="82" t="s">
        <v>146</v>
      </c>
      <c r="C82" s="16" t="s">
        <v>59</v>
      </c>
      <c r="D82" s="103" t="s">
        <v>60</v>
      </c>
      <c r="E82" s="13">
        <v>4591.2</v>
      </c>
      <c r="F82" s="13">
        <f>SUM(E82*12)</f>
        <v>55094.399999999994</v>
      </c>
      <c r="G82" s="13">
        <v>2.54</v>
      </c>
      <c r="H82" s="99">
        <f>SUM(F82*G82/1000)</f>
        <v>139.93977599999999</v>
      </c>
      <c r="I82" s="13">
        <f>F82/12*G82</f>
        <v>11661.647999999999</v>
      </c>
    </row>
    <row r="83" spans="1:9" ht="31.5" hidden="1" customHeight="1">
      <c r="A83" s="30">
        <v>16</v>
      </c>
      <c r="B83" s="14" t="s">
        <v>83</v>
      </c>
      <c r="C83" s="16"/>
      <c r="D83" s="103" t="s">
        <v>60</v>
      </c>
      <c r="E83" s="56">
        <f>E82</f>
        <v>4591.2</v>
      </c>
      <c r="F83" s="13">
        <f>E83*12</f>
        <v>55094.399999999994</v>
      </c>
      <c r="G83" s="13">
        <v>2.0499999999999998</v>
      </c>
      <c r="H83" s="99">
        <f>F83*G83/1000</f>
        <v>112.94351999999998</v>
      </c>
      <c r="I83" s="13">
        <f>F83/12*G83</f>
        <v>9411.9599999999991</v>
      </c>
    </row>
    <row r="84" spans="1:9" ht="15.75" hidden="1" customHeight="1">
      <c r="A84" s="74"/>
      <c r="B84" s="40" t="s">
        <v>86</v>
      </c>
      <c r="C84" s="42"/>
      <c r="D84" s="15"/>
      <c r="E84" s="15"/>
      <c r="F84" s="15"/>
      <c r="G84" s="19"/>
      <c r="H84" s="19"/>
      <c r="I84" s="33">
        <f>SUM(I16+I17+I18+I20+I26+I27+I30+I31+I33+I34+I52+I53+I54+I61+I82+I83)</f>
        <v>78184.942408200004</v>
      </c>
    </row>
    <row r="85" spans="1:9" ht="15.75" customHeight="1">
      <c r="A85" s="137" t="s">
        <v>65</v>
      </c>
      <c r="B85" s="138"/>
      <c r="C85" s="138"/>
      <c r="D85" s="138"/>
      <c r="E85" s="138"/>
      <c r="F85" s="138"/>
      <c r="G85" s="138"/>
      <c r="H85" s="138"/>
      <c r="I85" s="139"/>
    </row>
    <row r="86" spans="1:9" ht="15.75" customHeight="1">
      <c r="A86" s="30">
        <v>1</v>
      </c>
      <c r="B86" s="53" t="s">
        <v>200</v>
      </c>
      <c r="C86" s="58" t="s">
        <v>197</v>
      </c>
      <c r="D86" s="54">
        <v>15</v>
      </c>
      <c r="E86" s="19"/>
      <c r="F86" s="13">
        <v>16</v>
      </c>
      <c r="G86" s="13">
        <f>103656/303</f>
        <v>342.0990099009901</v>
      </c>
      <c r="H86" s="99">
        <f t="shared" ref="H86" si="8">G86*F86/1000</f>
        <v>5.4735841584158411</v>
      </c>
      <c r="I86" s="13">
        <f>G86*D86</f>
        <v>5131.4851485148511</v>
      </c>
    </row>
    <row r="87" spans="1:9" ht="15.75" customHeight="1">
      <c r="A87" s="30"/>
      <c r="B87" s="47" t="s">
        <v>54</v>
      </c>
      <c r="C87" s="43"/>
      <c r="D87" s="51"/>
      <c r="E87" s="43">
        <v>1</v>
      </c>
      <c r="F87" s="43"/>
      <c r="G87" s="43"/>
      <c r="H87" s="43"/>
      <c r="I87" s="33">
        <f>SUM(I86:I86)</f>
        <v>5131.4851485148511</v>
      </c>
    </row>
    <row r="88" spans="1:9" ht="15.75" customHeight="1">
      <c r="A88" s="30"/>
      <c r="B88" s="49" t="s">
        <v>84</v>
      </c>
      <c r="C88" s="15"/>
      <c r="D88" s="15"/>
      <c r="E88" s="44"/>
      <c r="F88" s="44"/>
      <c r="G88" s="45"/>
      <c r="H88" s="45"/>
      <c r="I88" s="18">
        <v>0</v>
      </c>
    </row>
    <row r="89" spans="1:9" ht="15.75" customHeight="1">
      <c r="A89" s="52"/>
      <c r="B89" s="48" t="s">
        <v>55</v>
      </c>
      <c r="C89" s="36"/>
      <c r="D89" s="36"/>
      <c r="E89" s="36"/>
      <c r="F89" s="36"/>
      <c r="G89" s="36"/>
      <c r="H89" s="36"/>
      <c r="I89" s="46">
        <f>I87</f>
        <v>5131.4851485148511</v>
      </c>
    </row>
    <row r="90" spans="1:9" ht="15.75" customHeight="1">
      <c r="A90" s="134" t="s">
        <v>198</v>
      </c>
      <c r="B90" s="134"/>
      <c r="C90" s="134"/>
      <c r="D90" s="134"/>
      <c r="E90" s="134"/>
      <c r="F90" s="134"/>
      <c r="G90" s="134"/>
      <c r="H90" s="134"/>
      <c r="I90" s="134"/>
    </row>
    <row r="91" spans="1:9" ht="15.75" customHeight="1">
      <c r="A91" s="65"/>
      <c r="B91" s="135" t="s">
        <v>199</v>
      </c>
      <c r="C91" s="135"/>
      <c r="D91" s="135"/>
      <c r="E91" s="135"/>
      <c r="F91" s="135"/>
      <c r="G91" s="135"/>
      <c r="H91" s="80"/>
      <c r="I91" s="3"/>
    </row>
    <row r="92" spans="1:9" ht="15.75" customHeight="1">
      <c r="A92" s="70"/>
      <c r="B92" s="125" t="s">
        <v>6</v>
      </c>
      <c r="C92" s="125"/>
      <c r="D92" s="125"/>
      <c r="E92" s="125"/>
      <c r="F92" s="125"/>
      <c r="G92" s="125"/>
      <c r="H92" s="25"/>
      <c r="I92" s="5"/>
    </row>
    <row r="93" spans="1:9" ht="15.75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5.75" customHeight="1">
      <c r="A94" s="136" t="s">
        <v>7</v>
      </c>
      <c r="B94" s="136"/>
      <c r="C94" s="136"/>
      <c r="D94" s="136"/>
      <c r="E94" s="136"/>
      <c r="F94" s="136"/>
      <c r="G94" s="136"/>
      <c r="H94" s="136"/>
      <c r="I94" s="136"/>
    </row>
    <row r="95" spans="1:9" ht="15.75" customHeight="1">
      <c r="A95" s="136" t="s">
        <v>8</v>
      </c>
      <c r="B95" s="136"/>
      <c r="C95" s="136"/>
      <c r="D95" s="136"/>
      <c r="E95" s="136"/>
      <c r="F95" s="136"/>
      <c r="G95" s="136"/>
      <c r="H95" s="136"/>
      <c r="I95" s="136"/>
    </row>
    <row r="96" spans="1:9" ht="15.75" customHeight="1">
      <c r="A96" s="129" t="s">
        <v>66</v>
      </c>
      <c r="B96" s="129"/>
      <c r="C96" s="129"/>
      <c r="D96" s="129"/>
      <c r="E96" s="129"/>
      <c r="F96" s="129"/>
      <c r="G96" s="129"/>
      <c r="H96" s="129"/>
      <c r="I96" s="129"/>
    </row>
    <row r="97" spans="1:9" ht="15.75" customHeight="1">
      <c r="A97" s="11"/>
    </row>
    <row r="98" spans="1:9" ht="15.75" customHeight="1">
      <c r="A98" s="123" t="s">
        <v>9</v>
      </c>
      <c r="B98" s="123"/>
      <c r="C98" s="123"/>
      <c r="D98" s="123"/>
      <c r="E98" s="123"/>
      <c r="F98" s="123"/>
      <c r="G98" s="123"/>
      <c r="H98" s="123"/>
      <c r="I98" s="123"/>
    </row>
    <row r="99" spans="1:9" ht="15.75" customHeight="1">
      <c r="A99" s="4"/>
    </row>
    <row r="100" spans="1:9" ht="15.75" customHeight="1">
      <c r="B100" s="73" t="s">
        <v>10</v>
      </c>
      <c r="C100" s="124" t="s">
        <v>97</v>
      </c>
      <c r="D100" s="124"/>
      <c r="E100" s="124"/>
      <c r="F100" s="78"/>
      <c r="I100" s="69"/>
    </row>
    <row r="101" spans="1:9" ht="15.75" customHeight="1">
      <c r="A101" s="70"/>
      <c r="C101" s="125" t="s">
        <v>11</v>
      </c>
      <c r="D101" s="125"/>
      <c r="E101" s="125"/>
      <c r="F101" s="25"/>
      <c r="I101" s="68" t="s">
        <v>12</v>
      </c>
    </row>
    <row r="102" spans="1:9" ht="15.75" customHeight="1">
      <c r="A102" s="26"/>
      <c r="C102" s="12"/>
      <c r="D102" s="12"/>
      <c r="G102" s="12"/>
      <c r="H102" s="12"/>
    </row>
    <row r="103" spans="1:9" ht="15.75" customHeight="1">
      <c r="B103" s="73" t="s">
        <v>13</v>
      </c>
      <c r="C103" s="126"/>
      <c r="D103" s="126"/>
      <c r="E103" s="126"/>
      <c r="F103" s="79"/>
      <c r="I103" s="69"/>
    </row>
    <row r="104" spans="1:9" ht="15.75" customHeight="1">
      <c r="A104" s="70"/>
      <c r="C104" s="127" t="s">
        <v>11</v>
      </c>
      <c r="D104" s="127"/>
      <c r="E104" s="127"/>
      <c r="F104" s="70"/>
      <c r="I104" s="68" t="s">
        <v>12</v>
      </c>
    </row>
    <row r="105" spans="1:9" ht="15.75" customHeight="1">
      <c r="A105" s="4" t="s">
        <v>14</v>
      </c>
    </row>
    <row r="106" spans="1:9" ht="15.75" customHeight="1">
      <c r="A106" s="128" t="s">
        <v>15</v>
      </c>
      <c r="B106" s="128"/>
      <c r="C106" s="128"/>
      <c r="D106" s="128"/>
      <c r="E106" s="128"/>
      <c r="F106" s="128"/>
      <c r="G106" s="128"/>
      <c r="H106" s="128"/>
      <c r="I106" s="128"/>
    </row>
    <row r="107" spans="1:9" ht="45" customHeight="1">
      <c r="A107" s="122" t="s">
        <v>16</v>
      </c>
      <c r="B107" s="122"/>
      <c r="C107" s="122"/>
      <c r="D107" s="122"/>
      <c r="E107" s="122"/>
      <c r="F107" s="122"/>
      <c r="G107" s="122"/>
      <c r="H107" s="122"/>
      <c r="I107" s="122"/>
    </row>
    <row r="108" spans="1:9" ht="30" customHeight="1">
      <c r="A108" s="122" t="s">
        <v>17</v>
      </c>
      <c r="B108" s="122"/>
      <c r="C108" s="122"/>
      <c r="D108" s="122"/>
      <c r="E108" s="122"/>
      <c r="F108" s="122"/>
      <c r="G108" s="122"/>
      <c r="H108" s="122"/>
      <c r="I108" s="122"/>
    </row>
    <row r="109" spans="1:9" ht="30" customHeight="1">
      <c r="A109" s="122" t="s">
        <v>21</v>
      </c>
      <c r="B109" s="122"/>
      <c r="C109" s="122"/>
      <c r="D109" s="122"/>
      <c r="E109" s="122"/>
      <c r="F109" s="122"/>
      <c r="G109" s="122"/>
      <c r="H109" s="122"/>
      <c r="I109" s="122"/>
    </row>
    <row r="110" spans="1:9" ht="15" customHeight="1">
      <c r="A110" s="122" t="s">
        <v>20</v>
      </c>
      <c r="B110" s="122"/>
      <c r="C110" s="122"/>
      <c r="D110" s="122"/>
      <c r="E110" s="122"/>
      <c r="F110" s="122"/>
      <c r="G110" s="122"/>
      <c r="H110" s="122"/>
      <c r="I110" s="122"/>
    </row>
  </sheetData>
  <autoFilter ref="I12:I62"/>
  <mergeCells count="29">
    <mergeCell ref="A107:I107"/>
    <mergeCell ref="A108:I108"/>
    <mergeCell ref="A109:I109"/>
    <mergeCell ref="A110:I110"/>
    <mergeCell ref="A85:I85"/>
    <mergeCell ref="A98:I98"/>
    <mergeCell ref="C100:E100"/>
    <mergeCell ref="C101:E101"/>
    <mergeCell ref="C103:E103"/>
    <mergeCell ref="C104:E104"/>
    <mergeCell ref="A106:I106"/>
    <mergeCell ref="A90:I90"/>
    <mergeCell ref="B91:G91"/>
    <mergeCell ref="B92:G92"/>
    <mergeCell ref="A94:I94"/>
    <mergeCell ref="A95:I95"/>
    <mergeCell ref="A96:I96"/>
    <mergeCell ref="A15:I15"/>
    <mergeCell ref="A28:I28"/>
    <mergeCell ref="A45:I45"/>
    <mergeCell ref="A56:I56"/>
    <mergeCell ref="R67:U67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92</v>
      </c>
      <c r="I1" s="27"/>
      <c r="J1" s="1"/>
      <c r="K1" s="1"/>
      <c r="L1" s="1"/>
      <c r="M1" s="1"/>
    </row>
    <row r="2" spans="1:13" ht="15.75" customHeight="1">
      <c r="A2" s="29" t="s">
        <v>67</v>
      </c>
      <c r="J2" s="2"/>
      <c r="K2" s="2"/>
      <c r="L2" s="2"/>
      <c r="M2" s="2"/>
    </row>
    <row r="3" spans="1:13" ht="15.75" customHeight="1">
      <c r="A3" s="143" t="s">
        <v>267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147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268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 customHeight="1">
      <c r="A6" s="2"/>
      <c r="B6" s="113"/>
      <c r="C6" s="113"/>
      <c r="D6" s="113"/>
      <c r="E6" s="113"/>
      <c r="F6" s="113"/>
      <c r="G6" s="113"/>
      <c r="H6" s="113"/>
      <c r="I6" s="31">
        <v>43069</v>
      </c>
      <c r="J6" s="2"/>
      <c r="K6" s="2"/>
      <c r="L6" s="2"/>
      <c r="M6" s="2"/>
    </row>
    <row r="7" spans="1:13" ht="15.75" customHeight="1">
      <c r="B7" s="111"/>
      <c r="C7" s="111"/>
      <c r="D7" s="11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158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276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64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30" t="s">
        <v>4</v>
      </c>
      <c r="B15" s="130"/>
      <c r="C15" s="130"/>
      <c r="D15" s="130"/>
      <c r="E15" s="130"/>
      <c r="F15" s="130"/>
      <c r="G15" s="130"/>
      <c r="H15" s="130"/>
      <c r="I15" s="130"/>
      <c r="J15" s="8"/>
      <c r="K15" s="8"/>
      <c r="L15" s="8"/>
      <c r="M15" s="8"/>
    </row>
    <row r="16" spans="1:13" ht="15.75" customHeight="1">
      <c r="A16" s="30">
        <v>1</v>
      </c>
      <c r="B16" s="82" t="s">
        <v>93</v>
      </c>
      <c r="C16" s="83" t="s">
        <v>116</v>
      </c>
      <c r="D16" s="82" t="s">
        <v>117</v>
      </c>
      <c r="E16" s="56">
        <v>127.9</v>
      </c>
      <c r="F16" s="84">
        <f>SUM(E16*156/100)</f>
        <v>199.524</v>
      </c>
      <c r="G16" s="84">
        <v>187.48</v>
      </c>
      <c r="H16" s="85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82" t="s">
        <v>102</v>
      </c>
      <c r="C17" s="83" t="s">
        <v>116</v>
      </c>
      <c r="D17" s="82" t="s">
        <v>181</v>
      </c>
      <c r="E17" s="56">
        <v>511.6</v>
      </c>
      <c r="F17" s="84">
        <f>SUM(E17*104/100)</f>
        <v>532.06399999999996</v>
      </c>
      <c r="G17" s="84">
        <v>185.48</v>
      </c>
      <c r="H17" s="85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82" t="s">
        <v>103</v>
      </c>
      <c r="C18" s="83" t="s">
        <v>116</v>
      </c>
      <c r="D18" s="82" t="s">
        <v>118</v>
      </c>
      <c r="E18" s="56">
        <f>SUM(E16+E17)</f>
        <v>639.5</v>
      </c>
      <c r="F18" s="84">
        <f>SUM(E18*24/100)</f>
        <v>153.47999999999999</v>
      </c>
      <c r="G18" s="84">
        <v>539.30999999999995</v>
      </c>
      <c r="H18" s="85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82" t="s">
        <v>119</v>
      </c>
      <c r="C19" s="83" t="s">
        <v>120</v>
      </c>
      <c r="D19" s="82" t="s">
        <v>121</v>
      </c>
      <c r="E19" s="56">
        <v>38.4</v>
      </c>
      <c r="F19" s="84">
        <f>SUM(E19/10)</f>
        <v>3.84</v>
      </c>
      <c r="G19" s="84">
        <v>181.91</v>
      </c>
      <c r="H19" s="85">
        <f t="shared" si="0"/>
        <v>0.6985344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82" t="s">
        <v>107</v>
      </c>
      <c r="C20" s="83" t="s">
        <v>116</v>
      </c>
      <c r="D20" s="82" t="s">
        <v>30</v>
      </c>
      <c r="E20" s="56">
        <v>58.4</v>
      </c>
      <c r="F20" s="84">
        <f>SUM(E20*12/100)</f>
        <v>7.0079999999999991</v>
      </c>
      <c r="G20" s="84">
        <v>232.92</v>
      </c>
      <c r="H20" s="85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customHeight="1">
      <c r="A21" s="30">
        <v>5</v>
      </c>
      <c r="B21" s="82" t="s">
        <v>108</v>
      </c>
      <c r="C21" s="83" t="s">
        <v>116</v>
      </c>
      <c r="D21" s="82" t="s">
        <v>115</v>
      </c>
      <c r="E21" s="56">
        <v>9.08</v>
      </c>
      <c r="F21" s="84">
        <f>SUM(E21*6/100)</f>
        <v>0.54480000000000006</v>
      </c>
      <c r="G21" s="84">
        <v>231.03</v>
      </c>
      <c r="H21" s="85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82" t="s">
        <v>122</v>
      </c>
      <c r="C22" s="83" t="s">
        <v>56</v>
      </c>
      <c r="D22" s="82" t="s">
        <v>121</v>
      </c>
      <c r="E22" s="56">
        <v>714</v>
      </c>
      <c r="F22" s="84">
        <f>SUM(E22/100)</f>
        <v>7.14</v>
      </c>
      <c r="G22" s="84">
        <v>287.83999999999997</v>
      </c>
      <c r="H22" s="85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82" t="s">
        <v>123</v>
      </c>
      <c r="C23" s="83" t="s">
        <v>56</v>
      </c>
      <c r="D23" s="82" t="s">
        <v>121</v>
      </c>
      <c r="E23" s="77">
        <v>96.6</v>
      </c>
      <c r="F23" s="84">
        <f>SUM(E23/100)</f>
        <v>0.96599999999999997</v>
      </c>
      <c r="G23" s="84">
        <v>47.34</v>
      </c>
      <c r="H23" s="85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82" t="s">
        <v>110</v>
      </c>
      <c r="C24" s="83" t="s">
        <v>56</v>
      </c>
      <c r="D24" s="82" t="s">
        <v>121</v>
      </c>
      <c r="E24" s="19">
        <v>40</v>
      </c>
      <c r="F24" s="86">
        <v>4.8</v>
      </c>
      <c r="G24" s="84">
        <v>416.62</v>
      </c>
      <c r="H24" s="85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82" t="s">
        <v>111</v>
      </c>
      <c r="C25" s="83" t="s">
        <v>56</v>
      </c>
      <c r="D25" s="82" t="s">
        <v>121</v>
      </c>
      <c r="E25" s="56">
        <v>17</v>
      </c>
      <c r="F25" s="84">
        <f>SUM(E25/100)</f>
        <v>0.17</v>
      </c>
      <c r="G25" s="84">
        <v>556.74</v>
      </c>
      <c r="H25" s="85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customHeight="1">
      <c r="A26" s="30">
        <v>6</v>
      </c>
      <c r="B26" s="82" t="s">
        <v>69</v>
      </c>
      <c r="C26" s="83" t="s">
        <v>34</v>
      </c>
      <c r="D26" s="82" t="s">
        <v>246</v>
      </c>
      <c r="E26" s="56">
        <v>0.1</v>
      </c>
      <c r="F26" s="84">
        <f>SUM(E26*365)</f>
        <v>36.5</v>
      </c>
      <c r="G26" s="84">
        <v>157.18</v>
      </c>
      <c r="H26" s="85">
        <f>SUM(F26*G26/1000)</f>
        <v>5.737070000000001</v>
      </c>
      <c r="I26" s="13">
        <f>F26/12*G26</f>
        <v>478.08916666666664</v>
      </c>
      <c r="J26" s="24"/>
    </row>
    <row r="27" spans="1:13" ht="15.75" customHeight="1">
      <c r="A27" s="30">
        <v>7</v>
      </c>
      <c r="B27" s="90" t="s">
        <v>23</v>
      </c>
      <c r="C27" s="83" t="s">
        <v>24</v>
      </c>
      <c r="D27" s="82" t="s">
        <v>246</v>
      </c>
      <c r="E27" s="56">
        <v>4591.2</v>
      </c>
      <c r="F27" s="84">
        <f>SUM(E27*12)</f>
        <v>55094.399999999994</v>
      </c>
      <c r="G27" s="84">
        <v>5.85</v>
      </c>
      <c r="H27" s="85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30" t="s">
        <v>91</v>
      </c>
      <c r="B28" s="130"/>
      <c r="C28" s="130"/>
      <c r="D28" s="130"/>
      <c r="E28" s="130"/>
      <c r="F28" s="130"/>
      <c r="G28" s="130"/>
      <c r="H28" s="130"/>
      <c r="I28" s="130"/>
      <c r="J28" s="23"/>
      <c r="K28" s="8"/>
      <c r="L28" s="8"/>
      <c r="M28" s="8"/>
    </row>
    <row r="29" spans="1:13" ht="15.75" hidden="1" customHeight="1">
      <c r="A29" s="30"/>
      <c r="B29" s="106" t="s">
        <v>28</v>
      </c>
      <c r="C29" s="83"/>
      <c r="D29" s="82"/>
      <c r="E29" s="56"/>
      <c r="F29" s="84"/>
      <c r="G29" s="84"/>
      <c r="H29" s="85"/>
      <c r="I29" s="13"/>
      <c r="J29" s="23"/>
      <c r="K29" s="8"/>
      <c r="L29" s="8"/>
      <c r="M29" s="8"/>
    </row>
    <row r="30" spans="1:13" ht="15.75" hidden="1" customHeight="1">
      <c r="A30" s="30">
        <v>7</v>
      </c>
      <c r="B30" s="82" t="s">
        <v>124</v>
      </c>
      <c r="C30" s="83" t="s">
        <v>125</v>
      </c>
      <c r="D30" s="82" t="s">
        <v>126</v>
      </c>
      <c r="E30" s="84">
        <v>844.95</v>
      </c>
      <c r="F30" s="84">
        <f>SUM(E30*52/1000)</f>
        <v>43.937400000000004</v>
      </c>
      <c r="G30" s="84">
        <v>166.65</v>
      </c>
      <c r="H30" s="85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hidden="1" customHeight="1">
      <c r="A31" s="30">
        <v>8</v>
      </c>
      <c r="B31" s="82" t="s">
        <v>182</v>
      </c>
      <c r="C31" s="83" t="s">
        <v>125</v>
      </c>
      <c r="D31" s="82" t="s">
        <v>127</v>
      </c>
      <c r="E31" s="84">
        <v>260.13</v>
      </c>
      <c r="F31" s="84">
        <f>SUM(E31*78/1000)</f>
        <v>20.290140000000001</v>
      </c>
      <c r="G31" s="84">
        <v>276.48</v>
      </c>
      <c r="H31" s="85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82" t="s">
        <v>27</v>
      </c>
      <c r="C32" s="83" t="s">
        <v>125</v>
      </c>
      <c r="D32" s="82" t="s">
        <v>57</v>
      </c>
      <c r="E32" s="84">
        <v>844.95</v>
      </c>
      <c r="F32" s="84">
        <f>SUM(E32/1000)</f>
        <v>0.84495000000000009</v>
      </c>
      <c r="G32" s="84">
        <v>3228.73</v>
      </c>
      <c r="H32" s="85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hidden="1" customHeight="1">
      <c r="A33" s="30">
        <v>9</v>
      </c>
      <c r="B33" s="82" t="s">
        <v>160</v>
      </c>
      <c r="C33" s="83" t="s">
        <v>42</v>
      </c>
      <c r="D33" s="82" t="s">
        <v>68</v>
      </c>
      <c r="E33" s="84">
        <v>8</v>
      </c>
      <c r="F33" s="84">
        <v>12.4</v>
      </c>
      <c r="G33" s="84">
        <v>1391.86</v>
      </c>
      <c r="H33" s="85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hidden="1" customHeight="1">
      <c r="A34" s="30">
        <v>10</v>
      </c>
      <c r="B34" s="82" t="s">
        <v>128</v>
      </c>
      <c r="C34" s="83" t="s">
        <v>31</v>
      </c>
      <c r="D34" s="82" t="s">
        <v>68</v>
      </c>
      <c r="E34" s="89">
        <v>0.33333333333333331</v>
      </c>
      <c r="F34" s="84">
        <f>155/3</f>
        <v>51.666666666666664</v>
      </c>
      <c r="G34" s="84">
        <v>60.6</v>
      </c>
      <c r="H34" s="85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82" t="s">
        <v>70</v>
      </c>
      <c r="C35" s="83" t="s">
        <v>34</v>
      </c>
      <c r="D35" s="82" t="s">
        <v>72</v>
      </c>
      <c r="E35" s="56"/>
      <c r="F35" s="84">
        <v>3</v>
      </c>
      <c r="G35" s="84">
        <v>204.32</v>
      </c>
      <c r="H35" s="85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82" t="s">
        <v>71</v>
      </c>
      <c r="C36" s="83" t="s">
        <v>33</v>
      </c>
      <c r="D36" s="82" t="s">
        <v>72</v>
      </c>
      <c r="E36" s="56"/>
      <c r="F36" s="84">
        <v>2</v>
      </c>
      <c r="G36" s="84">
        <v>1214.73</v>
      </c>
      <c r="H36" s="85">
        <f t="shared" si="1"/>
        <v>2.4294600000000002</v>
      </c>
      <c r="I36" s="13">
        <v>0</v>
      </c>
      <c r="J36" s="24"/>
    </row>
    <row r="37" spans="1:14" ht="15.75" customHeight="1">
      <c r="A37" s="30"/>
      <c r="B37" s="106" t="s">
        <v>5</v>
      </c>
      <c r="C37" s="83"/>
      <c r="D37" s="82"/>
      <c r="E37" s="56"/>
      <c r="F37" s="84"/>
      <c r="G37" s="84"/>
      <c r="H37" s="85" t="s">
        <v>144</v>
      </c>
      <c r="I37" s="13"/>
      <c r="J37" s="24"/>
    </row>
    <row r="38" spans="1:14" ht="15.75" customHeight="1">
      <c r="A38" s="30">
        <v>8</v>
      </c>
      <c r="B38" s="82" t="s">
        <v>26</v>
      </c>
      <c r="C38" s="83" t="s">
        <v>33</v>
      </c>
      <c r="D38" s="82"/>
      <c r="E38" s="56"/>
      <c r="F38" s="84">
        <v>10</v>
      </c>
      <c r="G38" s="84">
        <v>1632.6</v>
      </c>
      <c r="H38" s="85">
        <f t="shared" ref="H38:H44" si="3">SUM(F38*G38/1000)</f>
        <v>16.326000000000001</v>
      </c>
      <c r="I38" s="13">
        <f>F38/6*G38</f>
        <v>2721</v>
      </c>
      <c r="J38" s="24"/>
    </row>
    <row r="39" spans="1:14" ht="15.75" customHeight="1">
      <c r="A39" s="30">
        <v>9</v>
      </c>
      <c r="B39" s="82" t="s">
        <v>162</v>
      </c>
      <c r="C39" s="83" t="s">
        <v>29</v>
      </c>
      <c r="D39" s="82" t="s">
        <v>129</v>
      </c>
      <c r="E39" s="84">
        <v>254.8</v>
      </c>
      <c r="F39" s="84">
        <f>SUM(E39*30/1000)</f>
        <v>7.6440000000000001</v>
      </c>
      <c r="G39" s="84">
        <v>2247.8000000000002</v>
      </c>
      <c r="H39" s="85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82" t="s">
        <v>104</v>
      </c>
      <c r="C40" s="83" t="s">
        <v>130</v>
      </c>
      <c r="D40" s="82" t="s">
        <v>72</v>
      </c>
      <c r="E40" s="56"/>
      <c r="F40" s="84">
        <v>40</v>
      </c>
      <c r="G40" s="84">
        <v>213.2</v>
      </c>
      <c r="H40" s="85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customHeight="1">
      <c r="A41" s="30">
        <v>10</v>
      </c>
      <c r="B41" s="82" t="s">
        <v>73</v>
      </c>
      <c r="C41" s="83" t="s">
        <v>29</v>
      </c>
      <c r="D41" s="82" t="s">
        <v>131</v>
      </c>
      <c r="E41" s="84">
        <v>260.13</v>
      </c>
      <c r="F41" s="84">
        <f>SUM(E41*155/1000)</f>
        <v>40.320149999999998</v>
      </c>
      <c r="G41" s="84">
        <v>374.95</v>
      </c>
      <c r="H41" s="85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customHeight="1">
      <c r="A42" s="30">
        <v>11</v>
      </c>
      <c r="B42" s="82" t="s">
        <v>89</v>
      </c>
      <c r="C42" s="83" t="s">
        <v>125</v>
      </c>
      <c r="D42" s="82" t="s">
        <v>132</v>
      </c>
      <c r="E42" s="84">
        <v>132.72999999999999</v>
      </c>
      <c r="F42" s="84">
        <f>SUM(E42*35/1000)</f>
        <v>4.6455499999999992</v>
      </c>
      <c r="G42" s="84">
        <v>6203.7</v>
      </c>
      <c r="H42" s="85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hidden="1" customHeight="1">
      <c r="A43" s="30">
        <v>12</v>
      </c>
      <c r="B43" s="82" t="s">
        <v>133</v>
      </c>
      <c r="C43" s="83" t="s">
        <v>125</v>
      </c>
      <c r="D43" s="82" t="s">
        <v>74</v>
      </c>
      <c r="E43" s="84">
        <v>254.8</v>
      </c>
      <c r="F43" s="84">
        <f>SUM(E43*45/1000)</f>
        <v>11.465999999999999</v>
      </c>
      <c r="G43" s="84">
        <v>458.28</v>
      </c>
      <c r="H43" s="85">
        <f t="shared" si="3"/>
        <v>5.2546384799999997</v>
      </c>
      <c r="I43" s="13">
        <f>F43/6*G43</f>
        <v>875.77307999999982</v>
      </c>
      <c r="J43" s="24"/>
      <c r="L43" s="20"/>
      <c r="M43" s="21"/>
      <c r="N43" s="22"/>
    </row>
    <row r="44" spans="1:14" ht="15.75" customHeight="1">
      <c r="A44" s="30">
        <v>12</v>
      </c>
      <c r="B44" s="82" t="s">
        <v>75</v>
      </c>
      <c r="C44" s="83" t="s">
        <v>34</v>
      </c>
      <c r="D44" s="82"/>
      <c r="E44" s="56"/>
      <c r="F44" s="84">
        <v>0.9</v>
      </c>
      <c r="G44" s="84">
        <v>853.06</v>
      </c>
      <c r="H44" s="85">
        <f t="shared" si="3"/>
        <v>0.76775400000000005</v>
      </c>
      <c r="I44" s="13">
        <f>F44/6*G44</f>
        <v>127.95899999999999</v>
      </c>
      <c r="J44" s="24"/>
      <c r="L44" s="20"/>
      <c r="M44" s="21"/>
      <c r="N44" s="22"/>
    </row>
    <row r="45" spans="1:14" ht="15.75" hidden="1" customHeight="1">
      <c r="A45" s="131" t="s">
        <v>154</v>
      </c>
      <c r="B45" s="132"/>
      <c r="C45" s="132"/>
      <c r="D45" s="132"/>
      <c r="E45" s="132"/>
      <c r="F45" s="132"/>
      <c r="G45" s="132"/>
      <c r="H45" s="132"/>
      <c r="I45" s="133"/>
      <c r="J45" s="24"/>
      <c r="L45" s="20"/>
      <c r="M45" s="21"/>
      <c r="N45" s="22"/>
    </row>
    <row r="46" spans="1:14" ht="15.75" hidden="1" customHeight="1">
      <c r="A46" s="30"/>
      <c r="B46" s="82" t="s">
        <v>148</v>
      </c>
      <c r="C46" s="83" t="s">
        <v>125</v>
      </c>
      <c r="D46" s="82" t="s">
        <v>44</v>
      </c>
      <c r="E46" s="56">
        <v>1795.9</v>
      </c>
      <c r="F46" s="84">
        <f>SUM(E46*2/1000)</f>
        <v>3.5918000000000001</v>
      </c>
      <c r="G46" s="13">
        <v>865.61</v>
      </c>
      <c r="H46" s="85">
        <f t="shared" ref="H46:H55" si="4">SUM(F46*G46/1000)</f>
        <v>3.1090979980000002</v>
      </c>
      <c r="I46" s="13">
        <v>0</v>
      </c>
      <c r="J46" s="24"/>
      <c r="L46" s="20"/>
      <c r="M46" s="21"/>
      <c r="N46" s="22"/>
    </row>
    <row r="47" spans="1:14" ht="15.75" hidden="1" customHeight="1">
      <c r="A47" s="30"/>
      <c r="B47" s="82" t="s">
        <v>37</v>
      </c>
      <c r="C47" s="83" t="s">
        <v>125</v>
      </c>
      <c r="D47" s="82" t="s">
        <v>44</v>
      </c>
      <c r="E47" s="56">
        <v>104</v>
      </c>
      <c r="F47" s="84">
        <f>SUM(E47*2/1000)</f>
        <v>0.20799999999999999</v>
      </c>
      <c r="G47" s="13">
        <v>619.46</v>
      </c>
      <c r="H47" s="85">
        <f t="shared" si="4"/>
        <v>0.12884767999999999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30"/>
      <c r="B48" s="82" t="s">
        <v>38</v>
      </c>
      <c r="C48" s="83" t="s">
        <v>125</v>
      </c>
      <c r="D48" s="82" t="s">
        <v>44</v>
      </c>
      <c r="E48" s="56">
        <v>1996.87</v>
      </c>
      <c r="F48" s="84">
        <f>SUM(E48*2/1000)</f>
        <v>3.9937399999999998</v>
      </c>
      <c r="G48" s="13">
        <v>619.46</v>
      </c>
      <c r="H48" s="85">
        <f t="shared" si="4"/>
        <v>2.4739621804</v>
      </c>
      <c r="I48" s="13">
        <v>0</v>
      </c>
      <c r="J48" s="24"/>
      <c r="L48" s="20"/>
      <c r="M48" s="21"/>
      <c r="N48" s="22"/>
    </row>
    <row r="49" spans="1:22" ht="15.75" hidden="1" customHeight="1">
      <c r="A49" s="30"/>
      <c r="B49" s="82" t="s">
        <v>39</v>
      </c>
      <c r="C49" s="83" t="s">
        <v>125</v>
      </c>
      <c r="D49" s="82" t="s">
        <v>44</v>
      </c>
      <c r="E49" s="56">
        <v>2630.35</v>
      </c>
      <c r="F49" s="84">
        <f>SUM(E49*2/1000)</f>
        <v>5.2606999999999999</v>
      </c>
      <c r="G49" s="13">
        <v>648.64</v>
      </c>
      <c r="H49" s="85">
        <f t="shared" si="4"/>
        <v>3.4123004479999999</v>
      </c>
      <c r="I49" s="13">
        <v>0</v>
      </c>
      <c r="J49" s="24"/>
      <c r="L49" s="20"/>
      <c r="M49" s="21"/>
      <c r="N49" s="22"/>
    </row>
    <row r="50" spans="1:22" ht="15.75" hidden="1" customHeight="1">
      <c r="A50" s="30"/>
      <c r="B50" s="82" t="s">
        <v>35</v>
      </c>
      <c r="C50" s="83" t="s">
        <v>36</v>
      </c>
      <c r="D50" s="82" t="s">
        <v>44</v>
      </c>
      <c r="E50" s="56">
        <v>131.47</v>
      </c>
      <c r="F50" s="84">
        <f>SUM(E50*2/100)</f>
        <v>2.6294</v>
      </c>
      <c r="G50" s="13">
        <v>77.84</v>
      </c>
      <c r="H50" s="85">
        <f t="shared" si="4"/>
        <v>0.20467249599999998</v>
      </c>
      <c r="I50" s="13">
        <v>0</v>
      </c>
      <c r="J50" s="24"/>
      <c r="L50" s="20"/>
      <c r="M50" s="21"/>
      <c r="N50" s="22"/>
    </row>
    <row r="51" spans="1:22" ht="15.75" hidden="1" customHeight="1">
      <c r="A51" s="30">
        <v>14</v>
      </c>
      <c r="B51" s="82" t="s">
        <v>61</v>
      </c>
      <c r="C51" s="83" t="s">
        <v>125</v>
      </c>
      <c r="D51" s="82" t="s">
        <v>183</v>
      </c>
      <c r="E51" s="56">
        <v>2872.4</v>
      </c>
      <c r="F51" s="84">
        <f>SUM(E51*5/1000)</f>
        <v>14.362</v>
      </c>
      <c r="G51" s="13">
        <v>1297.28</v>
      </c>
      <c r="H51" s="85">
        <f t="shared" si="4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22" ht="31.5" hidden="1" customHeight="1">
      <c r="A52" s="30">
        <v>11</v>
      </c>
      <c r="B52" s="82" t="s">
        <v>134</v>
      </c>
      <c r="C52" s="83" t="s">
        <v>125</v>
      </c>
      <c r="D52" s="82" t="s">
        <v>44</v>
      </c>
      <c r="E52" s="56">
        <v>2872.4</v>
      </c>
      <c r="F52" s="84">
        <f>SUM(E52*2/1000)</f>
        <v>5.7448000000000006</v>
      </c>
      <c r="G52" s="13">
        <v>1297.28</v>
      </c>
      <c r="H52" s="85">
        <f t="shared" si="4"/>
        <v>7.4526141440000009</v>
      </c>
      <c r="I52" s="13">
        <f>F52/2*G52</f>
        <v>3726.3070720000005</v>
      </c>
      <c r="J52" s="24"/>
      <c r="L52" s="20"/>
      <c r="M52" s="21"/>
      <c r="N52" s="22"/>
    </row>
    <row r="53" spans="1:22" ht="31.5" hidden="1" customHeight="1">
      <c r="A53" s="30">
        <v>12</v>
      </c>
      <c r="B53" s="82" t="s">
        <v>135</v>
      </c>
      <c r="C53" s="83" t="s">
        <v>40</v>
      </c>
      <c r="D53" s="82" t="s">
        <v>44</v>
      </c>
      <c r="E53" s="56">
        <v>40</v>
      </c>
      <c r="F53" s="84">
        <f>SUM(E53*2/100)</f>
        <v>0.8</v>
      </c>
      <c r="G53" s="13">
        <v>2918.89</v>
      </c>
      <c r="H53" s="85">
        <f t="shared" si="4"/>
        <v>2.3351120000000001</v>
      </c>
      <c r="I53" s="13">
        <f t="shared" ref="I53:I54" si="5">F53/2*G53</f>
        <v>1167.556</v>
      </c>
      <c r="J53" s="24"/>
      <c r="L53" s="20"/>
      <c r="M53" s="21"/>
      <c r="N53" s="22"/>
    </row>
    <row r="54" spans="1:22" ht="15.75" hidden="1" customHeight="1">
      <c r="A54" s="30">
        <v>13</v>
      </c>
      <c r="B54" s="82" t="s">
        <v>41</v>
      </c>
      <c r="C54" s="83" t="s">
        <v>42</v>
      </c>
      <c r="D54" s="82" t="s">
        <v>44</v>
      </c>
      <c r="E54" s="56">
        <v>1</v>
      </c>
      <c r="F54" s="84">
        <v>0.02</v>
      </c>
      <c r="G54" s="13">
        <v>6042.12</v>
      </c>
      <c r="H54" s="85">
        <f t="shared" si="4"/>
        <v>0.1208424</v>
      </c>
      <c r="I54" s="13">
        <f t="shared" si="5"/>
        <v>60.421199999999999</v>
      </c>
      <c r="J54" s="24"/>
      <c r="L54" s="20"/>
      <c r="M54" s="21"/>
      <c r="N54" s="22"/>
    </row>
    <row r="55" spans="1:22" ht="3" hidden="1" customHeight="1">
      <c r="A55" s="30">
        <v>14</v>
      </c>
      <c r="B55" s="82" t="s">
        <v>43</v>
      </c>
      <c r="C55" s="83" t="s">
        <v>31</v>
      </c>
      <c r="D55" s="82" t="s">
        <v>76</v>
      </c>
      <c r="E55" s="56">
        <v>160</v>
      </c>
      <c r="F55" s="84">
        <f>SUM(E55)*3</f>
        <v>480</v>
      </c>
      <c r="G55" s="13">
        <v>70.209999999999994</v>
      </c>
      <c r="H55" s="85">
        <f t="shared" si="4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22" ht="15.75" customHeight="1">
      <c r="A56" s="131" t="s">
        <v>186</v>
      </c>
      <c r="B56" s="132"/>
      <c r="C56" s="132"/>
      <c r="D56" s="132"/>
      <c r="E56" s="132"/>
      <c r="F56" s="132"/>
      <c r="G56" s="132"/>
      <c r="H56" s="132"/>
      <c r="I56" s="133"/>
      <c r="J56" s="24"/>
      <c r="L56" s="20"/>
      <c r="M56" s="21"/>
      <c r="N56" s="22"/>
    </row>
    <row r="57" spans="1:22" ht="15.75" customHeight="1">
      <c r="A57" s="30"/>
      <c r="B57" s="106" t="s">
        <v>45</v>
      </c>
      <c r="C57" s="83"/>
      <c r="D57" s="82"/>
      <c r="E57" s="56"/>
      <c r="F57" s="84"/>
      <c r="G57" s="84"/>
      <c r="H57" s="85"/>
      <c r="I57" s="13"/>
      <c r="J57" s="24"/>
      <c r="L57" s="20"/>
      <c r="M57" s="21"/>
      <c r="N57" s="22"/>
    </row>
    <row r="58" spans="1:22" ht="31.5" customHeight="1">
      <c r="A58" s="30">
        <v>13</v>
      </c>
      <c r="B58" s="82" t="s">
        <v>137</v>
      </c>
      <c r="C58" s="83" t="s">
        <v>116</v>
      </c>
      <c r="D58" s="82" t="s">
        <v>77</v>
      </c>
      <c r="E58" s="56">
        <v>239.59</v>
      </c>
      <c r="F58" s="84">
        <f>E58*6/100</f>
        <v>14.375399999999999</v>
      </c>
      <c r="G58" s="91">
        <v>1654.04</v>
      </c>
      <c r="H58" s="85">
        <f>F58*G58/1000</f>
        <v>23.777486615999997</v>
      </c>
      <c r="I58" s="13">
        <f>F58/6*G58</f>
        <v>3962.9144359999996</v>
      </c>
      <c r="J58" s="24"/>
      <c r="L58" s="20"/>
      <c r="M58" s="21"/>
      <c r="N58" s="22"/>
    </row>
    <row r="59" spans="1:22" ht="15.75" customHeight="1">
      <c r="A59" s="30"/>
      <c r="B59" s="107" t="s">
        <v>46</v>
      </c>
      <c r="C59" s="92"/>
      <c r="D59" s="93"/>
      <c r="E59" s="94"/>
      <c r="F59" s="96"/>
      <c r="G59" s="13"/>
      <c r="H59" s="98"/>
      <c r="I59" s="13"/>
      <c r="J59" s="24"/>
      <c r="L59" s="20"/>
      <c r="M59" s="21"/>
      <c r="N59" s="22"/>
    </row>
    <row r="60" spans="1:22" ht="15.75" hidden="1" customHeight="1">
      <c r="A60" s="30"/>
      <c r="B60" s="93" t="s">
        <v>47</v>
      </c>
      <c r="C60" s="92" t="s">
        <v>56</v>
      </c>
      <c r="D60" s="93" t="s">
        <v>57</v>
      </c>
      <c r="E60" s="94">
        <v>2686</v>
      </c>
      <c r="F60" s="96">
        <f>E60/100</f>
        <v>26.86</v>
      </c>
      <c r="G60" s="13">
        <v>848.37</v>
      </c>
      <c r="H60" s="98">
        <f>G60*F60/1000</f>
        <v>22.787218199999998</v>
      </c>
      <c r="I60" s="13">
        <v>0</v>
      </c>
      <c r="J60" s="24"/>
      <c r="L60" s="20"/>
    </row>
    <row r="61" spans="1:22" ht="15.75" customHeight="1">
      <c r="A61" s="30">
        <v>14</v>
      </c>
      <c r="B61" s="93" t="s">
        <v>105</v>
      </c>
      <c r="C61" s="92" t="s">
        <v>25</v>
      </c>
      <c r="D61" s="93" t="s">
        <v>30</v>
      </c>
      <c r="E61" s="94">
        <v>343</v>
      </c>
      <c r="F61" s="96">
        <v>4116</v>
      </c>
      <c r="G61" s="13">
        <v>2.6</v>
      </c>
      <c r="H61" s="98">
        <f>F61*G61</f>
        <v>10701.6</v>
      </c>
      <c r="I61" s="13">
        <f>F61/12*G61</f>
        <v>891.80000000000007</v>
      </c>
    </row>
    <row r="62" spans="1:22" ht="15.75" hidden="1" customHeight="1">
      <c r="A62" s="30"/>
      <c r="B62" s="107" t="s">
        <v>149</v>
      </c>
      <c r="C62" s="92"/>
      <c r="D62" s="93"/>
      <c r="E62" s="94"/>
      <c r="F62" s="96"/>
      <c r="G62" s="13"/>
      <c r="H62" s="98"/>
      <c r="I62" s="13"/>
    </row>
    <row r="63" spans="1:22" ht="15.75" hidden="1" customHeight="1">
      <c r="A63" s="30"/>
      <c r="B63" s="93" t="s">
        <v>150</v>
      </c>
      <c r="C63" s="92" t="s">
        <v>31</v>
      </c>
      <c r="D63" s="93" t="s">
        <v>72</v>
      </c>
      <c r="E63" s="94">
        <v>3</v>
      </c>
      <c r="F63" s="95">
        <v>3</v>
      </c>
      <c r="G63" s="97">
        <v>254.16</v>
      </c>
      <c r="H63" s="96">
        <v>0.76200000000000001</v>
      </c>
      <c r="I63" s="13">
        <v>0</v>
      </c>
    </row>
    <row r="64" spans="1:22" ht="15.75" hidden="1" customHeight="1">
      <c r="A64" s="30"/>
      <c r="B64" s="107" t="s">
        <v>48</v>
      </c>
      <c r="C64" s="92"/>
      <c r="D64" s="93"/>
      <c r="E64" s="94"/>
      <c r="F64" s="95"/>
      <c r="G64" s="95"/>
      <c r="H64" s="96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0">
        <v>16</v>
      </c>
      <c r="B65" s="14" t="s">
        <v>49</v>
      </c>
      <c r="C65" s="16" t="s">
        <v>136</v>
      </c>
      <c r="D65" s="93" t="s">
        <v>72</v>
      </c>
      <c r="E65" s="19">
        <v>15</v>
      </c>
      <c r="F65" s="84">
        <v>15</v>
      </c>
      <c r="G65" s="13">
        <v>237.74</v>
      </c>
      <c r="H65" s="99">
        <f t="shared" ref="H65:H78" si="6">SUM(F65*G65/1000)</f>
        <v>3.5661000000000005</v>
      </c>
      <c r="I65" s="13">
        <f>G65*2</f>
        <v>475.48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14" t="s">
        <v>50</v>
      </c>
      <c r="C66" s="16" t="s">
        <v>136</v>
      </c>
      <c r="D66" s="93" t="s">
        <v>72</v>
      </c>
      <c r="E66" s="19">
        <v>5</v>
      </c>
      <c r="F66" s="84">
        <v>5</v>
      </c>
      <c r="G66" s="13">
        <v>81.510000000000005</v>
      </c>
      <c r="H66" s="99">
        <f t="shared" si="6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14" t="s">
        <v>51</v>
      </c>
      <c r="C67" s="16" t="s">
        <v>138</v>
      </c>
      <c r="D67" s="14" t="s">
        <v>57</v>
      </c>
      <c r="E67" s="56">
        <v>24123</v>
      </c>
      <c r="F67" s="13">
        <f>SUM(E67/100)</f>
        <v>241.23</v>
      </c>
      <c r="G67" s="13">
        <v>226.79</v>
      </c>
      <c r="H67" s="99">
        <f t="shared" si="6"/>
        <v>54.708551699999994</v>
      </c>
      <c r="I67" s="13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127"/>
      <c r="S67" s="127"/>
      <c r="T67" s="127"/>
      <c r="U67" s="127"/>
    </row>
    <row r="68" spans="1:21" ht="15.75" hidden="1" customHeight="1">
      <c r="A68" s="30"/>
      <c r="B68" s="14" t="s">
        <v>52</v>
      </c>
      <c r="C68" s="16" t="s">
        <v>139</v>
      </c>
      <c r="D68" s="14"/>
      <c r="E68" s="56">
        <v>24123</v>
      </c>
      <c r="F68" s="13">
        <f>SUM(E68/1000)</f>
        <v>24.123000000000001</v>
      </c>
      <c r="G68" s="13">
        <v>176.61</v>
      </c>
      <c r="H68" s="99">
        <f t="shared" si="6"/>
        <v>4.2603630300000006</v>
      </c>
      <c r="I68" s="13">
        <f t="shared" ref="I68:I72" si="7">F68*G68</f>
        <v>4260.3630300000004</v>
      </c>
    </row>
    <row r="69" spans="1:21" ht="15.75" hidden="1" customHeight="1">
      <c r="A69" s="30"/>
      <c r="B69" s="14" t="s">
        <v>53</v>
      </c>
      <c r="C69" s="16" t="s">
        <v>82</v>
      </c>
      <c r="D69" s="14" t="s">
        <v>57</v>
      </c>
      <c r="E69" s="56">
        <v>2730</v>
      </c>
      <c r="F69" s="13">
        <f>SUM(E69/100)</f>
        <v>27.3</v>
      </c>
      <c r="G69" s="13">
        <v>2217.7800000000002</v>
      </c>
      <c r="H69" s="99">
        <f t="shared" si="6"/>
        <v>60.545394000000009</v>
      </c>
      <c r="I69" s="13">
        <f t="shared" si="7"/>
        <v>60545.394000000008</v>
      </c>
    </row>
    <row r="70" spans="1:21" ht="15.75" hidden="1" customHeight="1">
      <c r="A70" s="30"/>
      <c r="B70" s="100" t="s">
        <v>140</v>
      </c>
      <c r="C70" s="16" t="s">
        <v>34</v>
      </c>
      <c r="D70" s="14"/>
      <c r="E70" s="56">
        <v>23</v>
      </c>
      <c r="F70" s="13">
        <f>SUM(E70)</f>
        <v>23</v>
      </c>
      <c r="G70" s="13">
        <v>42.67</v>
      </c>
      <c r="H70" s="99">
        <f t="shared" si="6"/>
        <v>0.98141000000000012</v>
      </c>
      <c r="I70" s="13">
        <f t="shared" si="7"/>
        <v>981.41000000000008</v>
      </c>
    </row>
    <row r="71" spans="1:21" ht="15.75" hidden="1" customHeight="1">
      <c r="A71" s="30"/>
      <c r="B71" s="100" t="s">
        <v>141</v>
      </c>
      <c r="C71" s="16" t="s">
        <v>34</v>
      </c>
      <c r="D71" s="14"/>
      <c r="E71" s="56">
        <v>23</v>
      </c>
      <c r="F71" s="13">
        <f>SUM(E71)</f>
        <v>23</v>
      </c>
      <c r="G71" s="13">
        <v>39.81</v>
      </c>
      <c r="H71" s="99">
        <f t="shared" si="6"/>
        <v>0.91563000000000005</v>
      </c>
      <c r="I71" s="13">
        <f t="shared" si="7"/>
        <v>915.63000000000011</v>
      </c>
    </row>
    <row r="72" spans="1:21" ht="15.75" hidden="1" customHeight="1">
      <c r="A72" s="30"/>
      <c r="B72" s="14" t="s">
        <v>62</v>
      </c>
      <c r="C72" s="16" t="s">
        <v>63</v>
      </c>
      <c r="D72" s="14" t="s">
        <v>57</v>
      </c>
      <c r="E72" s="19">
        <v>10</v>
      </c>
      <c r="F72" s="84">
        <f>SUM(E72)</f>
        <v>10</v>
      </c>
      <c r="G72" s="13">
        <v>53.32</v>
      </c>
      <c r="H72" s="99">
        <f t="shared" si="6"/>
        <v>0.53320000000000001</v>
      </c>
      <c r="I72" s="13">
        <f t="shared" si="7"/>
        <v>533.20000000000005</v>
      </c>
    </row>
    <row r="73" spans="1:21" ht="15.75" hidden="1" customHeight="1">
      <c r="A73" s="30"/>
      <c r="B73" s="114" t="s">
        <v>78</v>
      </c>
      <c r="C73" s="16"/>
      <c r="D73" s="14"/>
      <c r="E73" s="19"/>
      <c r="F73" s="13"/>
      <c r="G73" s="13"/>
      <c r="H73" s="99" t="s">
        <v>144</v>
      </c>
      <c r="I73" s="13"/>
    </row>
    <row r="74" spans="1:21" ht="15.75" hidden="1" customHeight="1">
      <c r="A74" s="30">
        <v>17</v>
      </c>
      <c r="B74" s="14" t="s">
        <v>79</v>
      </c>
      <c r="C74" s="16" t="s">
        <v>32</v>
      </c>
      <c r="D74" s="14"/>
      <c r="E74" s="19">
        <v>2</v>
      </c>
      <c r="F74" s="75">
        <v>0.2</v>
      </c>
      <c r="G74" s="13">
        <v>536.23</v>
      </c>
      <c r="H74" s="99">
        <v>0.251</v>
      </c>
      <c r="I74" s="13">
        <f>G74*0.4</f>
        <v>214.49200000000002</v>
      </c>
    </row>
    <row r="75" spans="1:21" ht="15.75" hidden="1" customHeight="1">
      <c r="A75" s="30"/>
      <c r="B75" s="14" t="s">
        <v>95</v>
      </c>
      <c r="C75" s="16" t="s">
        <v>31</v>
      </c>
      <c r="D75" s="14"/>
      <c r="E75" s="19">
        <v>1</v>
      </c>
      <c r="F75" s="84">
        <f>SUM(E75)</f>
        <v>1</v>
      </c>
      <c r="G75" s="13">
        <v>383.25</v>
      </c>
      <c r="H75" s="99">
        <f t="shared" si="6"/>
        <v>0.38324999999999998</v>
      </c>
      <c r="I75" s="13">
        <v>0</v>
      </c>
    </row>
    <row r="76" spans="1:21" ht="15.75" hidden="1" customHeight="1">
      <c r="A76" s="30"/>
      <c r="B76" s="14" t="s">
        <v>80</v>
      </c>
      <c r="C76" s="16" t="s">
        <v>31</v>
      </c>
      <c r="D76" s="14"/>
      <c r="E76" s="19">
        <v>2</v>
      </c>
      <c r="F76" s="13">
        <v>2</v>
      </c>
      <c r="G76" s="13">
        <v>911.85</v>
      </c>
      <c r="H76" s="99">
        <f>F76*G76/1000</f>
        <v>1.8237000000000001</v>
      </c>
      <c r="I76" s="13">
        <v>0</v>
      </c>
    </row>
    <row r="77" spans="1:21" ht="15.75" hidden="1" customHeight="1">
      <c r="A77" s="30"/>
      <c r="B77" s="101" t="s">
        <v>81</v>
      </c>
      <c r="C77" s="16"/>
      <c r="D77" s="14"/>
      <c r="E77" s="19"/>
      <c r="F77" s="13"/>
      <c r="G77" s="13" t="s">
        <v>144</v>
      </c>
      <c r="H77" s="99" t="s">
        <v>144</v>
      </c>
      <c r="I77" s="13"/>
    </row>
    <row r="78" spans="1:21" ht="15.75" hidden="1" customHeight="1">
      <c r="A78" s="30"/>
      <c r="B78" s="49" t="s">
        <v>145</v>
      </c>
      <c r="C78" s="16" t="s">
        <v>82</v>
      </c>
      <c r="D78" s="14"/>
      <c r="E78" s="19"/>
      <c r="F78" s="13">
        <v>1.35</v>
      </c>
      <c r="G78" s="13">
        <v>2949.85</v>
      </c>
      <c r="H78" s="99">
        <f t="shared" si="6"/>
        <v>3.9822975</v>
      </c>
      <c r="I78" s="13">
        <v>0</v>
      </c>
    </row>
    <row r="79" spans="1:21" ht="15.75" hidden="1" customHeight="1">
      <c r="A79" s="30"/>
      <c r="B79" s="87" t="s">
        <v>142</v>
      </c>
      <c r="C79" s="101"/>
      <c r="D79" s="32"/>
      <c r="E79" s="33"/>
      <c r="F79" s="88"/>
      <c r="G79" s="88"/>
      <c r="H79" s="102">
        <f>SUM(H58:H78)</f>
        <v>10881.285151046004</v>
      </c>
      <c r="I79" s="88"/>
    </row>
    <row r="80" spans="1:21" ht="15.75" hidden="1" customHeight="1">
      <c r="A80" s="30"/>
      <c r="B80" s="82" t="s">
        <v>143</v>
      </c>
      <c r="C80" s="16"/>
      <c r="D80" s="14"/>
      <c r="E80" s="76"/>
      <c r="F80" s="13">
        <v>1</v>
      </c>
      <c r="G80" s="13">
        <v>19342.2</v>
      </c>
      <c r="H80" s="99">
        <f>G80*F80/1000</f>
        <v>19.342200000000002</v>
      </c>
      <c r="I80" s="13">
        <v>0</v>
      </c>
    </row>
    <row r="81" spans="1:9" ht="15.75" customHeight="1">
      <c r="A81" s="140" t="s">
        <v>187</v>
      </c>
      <c r="B81" s="141"/>
      <c r="C81" s="141"/>
      <c r="D81" s="141"/>
      <c r="E81" s="141"/>
      <c r="F81" s="141"/>
      <c r="G81" s="141"/>
      <c r="H81" s="141"/>
      <c r="I81" s="142"/>
    </row>
    <row r="82" spans="1:9" ht="15.75" customHeight="1">
      <c r="A82" s="30">
        <v>15</v>
      </c>
      <c r="B82" s="82" t="s">
        <v>146</v>
      </c>
      <c r="C82" s="16" t="s">
        <v>59</v>
      </c>
      <c r="D82" s="103" t="s">
        <v>60</v>
      </c>
      <c r="E82" s="13">
        <v>4591.2</v>
      </c>
      <c r="F82" s="13">
        <f>SUM(E82*12)</f>
        <v>55094.399999999994</v>
      </c>
      <c r="G82" s="13">
        <v>2.54</v>
      </c>
      <c r="H82" s="99">
        <f>SUM(F82*G82/1000)</f>
        <v>139.93977599999999</v>
      </c>
      <c r="I82" s="13">
        <f>F82/12*G82</f>
        <v>11661.647999999999</v>
      </c>
    </row>
    <row r="83" spans="1:9" ht="31.5" customHeight="1">
      <c r="A83" s="30">
        <v>16</v>
      </c>
      <c r="B83" s="14" t="s">
        <v>83</v>
      </c>
      <c r="C83" s="16"/>
      <c r="D83" s="103" t="s">
        <v>60</v>
      </c>
      <c r="E83" s="56">
        <f>E82</f>
        <v>4591.2</v>
      </c>
      <c r="F83" s="13">
        <f>E83*12</f>
        <v>55094.399999999994</v>
      </c>
      <c r="G83" s="13">
        <v>2.0499999999999998</v>
      </c>
      <c r="H83" s="99">
        <f>F83*G83/1000</f>
        <v>112.94351999999998</v>
      </c>
      <c r="I83" s="13">
        <f>F83/12*G83</f>
        <v>9411.9599999999991</v>
      </c>
    </row>
    <row r="84" spans="1:9" ht="15.75" customHeight="1">
      <c r="A84" s="112"/>
      <c r="B84" s="40" t="s">
        <v>86</v>
      </c>
      <c r="C84" s="42"/>
      <c r="D84" s="15"/>
      <c r="E84" s="15"/>
      <c r="F84" s="15"/>
      <c r="G84" s="19"/>
      <c r="H84" s="19"/>
      <c r="I84" s="33">
        <f>SUM(I16+I17+I18+I20+I21+I26+I27+I38+I39+I41+I42+I44+I58+I61+I82+I83)</f>
        <v>84696.471156249987</v>
      </c>
    </row>
    <row r="85" spans="1:9" ht="15.75" customHeight="1">
      <c r="A85" s="137" t="s">
        <v>65</v>
      </c>
      <c r="B85" s="138"/>
      <c r="C85" s="138"/>
      <c r="D85" s="138"/>
      <c r="E85" s="138"/>
      <c r="F85" s="138"/>
      <c r="G85" s="138"/>
      <c r="H85" s="138"/>
      <c r="I85" s="139"/>
    </row>
    <row r="86" spans="1:9" ht="15.75" customHeight="1">
      <c r="A86" s="30">
        <v>17</v>
      </c>
      <c r="B86" s="66" t="s">
        <v>204</v>
      </c>
      <c r="C86" s="67" t="s">
        <v>99</v>
      </c>
      <c r="D86" s="49"/>
      <c r="E86" s="37"/>
      <c r="F86" s="37">
        <f>134/3</f>
        <v>44.666666666666664</v>
      </c>
      <c r="G86" s="37">
        <v>1120.8900000000001</v>
      </c>
      <c r="H86" s="117">
        <f t="shared" ref="H86:H88" si="8">G86*F86/1000</f>
        <v>50.066420000000001</v>
      </c>
      <c r="I86" s="13">
        <f>G86*(10/3)</f>
        <v>3736.3000000000006</v>
      </c>
    </row>
    <row r="87" spans="1:9" ht="31.5" customHeight="1">
      <c r="A87" s="30">
        <v>18</v>
      </c>
      <c r="B87" s="115" t="s">
        <v>175</v>
      </c>
      <c r="C87" s="116" t="s">
        <v>40</v>
      </c>
      <c r="D87" s="49"/>
      <c r="E87" s="37"/>
      <c r="F87" s="37">
        <v>0.11</v>
      </c>
      <c r="G87" s="37">
        <v>3581.13</v>
      </c>
      <c r="H87" s="117">
        <f t="shared" si="8"/>
        <v>0.39392430000000001</v>
      </c>
      <c r="I87" s="13">
        <f>G87*0.03</f>
        <v>107.43389999999999</v>
      </c>
    </row>
    <row r="88" spans="1:9" ht="31.5" customHeight="1">
      <c r="A88" s="30">
        <v>19</v>
      </c>
      <c r="B88" s="57" t="s">
        <v>85</v>
      </c>
      <c r="C88" s="55" t="s">
        <v>136</v>
      </c>
      <c r="D88" s="49"/>
      <c r="E88" s="37"/>
      <c r="F88" s="37">
        <v>5</v>
      </c>
      <c r="G88" s="37">
        <v>83.36</v>
      </c>
      <c r="H88" s="117">
        <f t="shared" si="8"/>
        <v>0.4168</v>
      </c>
      <c r="I88" s="13">
        <f>G88</f>
        <v>83.36</v>
      </c>
    </row>
    <row r="89" spans="1:9" ht="15.75" customHeight="1">
      <c r="A89" s="30">
        <v>20</v>
      </c>
      <c r="B89" s="121" t="s">
        <v>269</v>
      </c>
      <c r="C89" s="42" t="s">
        <v>120</v>
      </c>
      <c r="D89" s="118"/>
      <c r="E89" s="37"/>
      <c r="F89" s="37">
        <f>3.125/10</f>
        <v>0.3125</v>
      </c>
      <c r="G89" s="37">
        <v>3014.35</v>
      </c>
      <c r="H89" s="37">
        <f>G89*F89/1000</f>
        <v>0.94198437499999998</v>
      </c>
      <c r="I89" s="13">
        <f t="shared" ref="I89" si="9">G89*F89</f>
        <v>941.984375</v>
      </c>
    </row>
    <row r="90" spans="1:9" ht="15.75" customHeight="1">
      <c r="A90" s="30"/>
      <c r="B90" s="47" t="s">
        <v>54</v>
      </c>
      <c r="C90" s="43"/>
      <c r="D90" s="51"/>
      <c r="E90" s="43">
        <v>1</v>
      </c>
      <c r="F90" s="43"/>
      <c r="G90" s="43"/>
      <c r="H90" s="43"/>
      <c r="I90" s="33">
        <f>SUM(I86:I89)</f>
        <v>4869.0782750000008</v>
      </c>
    </row>
    <row r="91" spans="1:9" ht="15.75" customHeight="1">
      <c r="A91" s="30"/>
      <c r="B91" s="49" t="s">
        <v>84</v>
      </c>
      <c r="C91" s="15"/>
      <c r="D91" s="15"/>
      <c r="E91" s="44"/>
      <c r="F91" s="44"/>
      <c r="G91" s="45"/>
      <c r="H91" s="45"/>
      <c r="I91" s="18">
        <v>0</v>
      </c>
    </row>
    <row r="92" spans="1:9" ht="15.75" customHeight="1">
      <c r="A92" s="52"/>
      <c r="B92" s="48" t="s">
        <v>55</v>
      </c>
      <c r="C92" s="36"/>
      <c r="D92" s="36"/>
      <c r="E92" s="36"/>
      <c r="F92" s="36"/>
      <c r="G92" s="36"/>
      <c r="H92" s="36"/>
      <c r="I92" s="46">
        <f>I84+I90</f>
        <v>89565.549431249994</v>
      </c>
    </row>
    <row r="93" spans="1:9" ht="15.75" customHeight="1">
      <c r="A93" s="134" t="s">
        <v>281</v>
      </c>
      <c r="B93" s="134"/>
      <c r="C93" s="134"/>
      <c r="D93" s="134"/>
      <c r="E93" s="134"/>
      <c r="F93" s="134"/>
      <c r="G93" s="134"/>
      <c r="H93" s="134"/>
      <c r="I93" s="134"/>
    </row>
    <row r="94" spans="1:9" ht="15.75" customHeight="1">
      <c r="A94" s="65"/>
      <c r="B94" s="135" t="s">
        <v>282</v>
      </c>
      <c r="C94" s="135"/>
      <c r="D94" s="135"/>
      <c r="E94" s="135"/>
      <c r="F94" s="135"/>
      <c r="G94" s="135"/>
      <c r="H94" s="80"/>
      <c r="I94" s="3"/>
    </row>
    <row r="95" spans="1:9" ht="15.75" customHeight="1">
      <c r="A95" s="110"/>
      <c r="B95" s="125" t="s">
        <v>6</v>
      </c>
      <c r="C95" s="125"/>
      <c r="D95" s="125"/>
      <c r="E95" s="125"/>
      <c r="F95" s="125"/>
      <c r="G95" s="125"/>
      <c r="H95" s="25"/>
      <c r="I95" s="5"/>
    </row>
    <row r="96" spans="1:9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36" t="s">
        <v>7</v>
      </c>
      <c r="B97" s="136"/>
      <c r="C97" s="136"/>
      <c r="D97" s="136"/>
      <c r="E97" s="136"/>
      <c r="F97" s="136"/>
      <c r="G97" s="136"/>
      <c r="H97" s="136"/>
      <c r="I97" s="136"/>
    </row>
    <row r="98" spans="1:9" ht="15.75" customHeight="1">
      <c r="A98" s="136" t="s">
        <v>8</v>
      </c>
      <c r="B98" s="136"/>
      <c r="C98" s="136"/>
      <c r="D98" s="136"/>
      <c r="E98" s="136"/>
      <c r="F98" s="136"/>
      <c r="G98" s="136"/>
      <c r="H98" s="136"/>
      <c r="I98" s="136"/>
    </row>
    <row r="99" spans="1:9" ht="15.75" customHeight="1">
      <c r="A99" s="129" t="s">
        <v>66</v>
      </c>
      <c r="B99" s="129"/>
      <c r="C99" s="129"/>
      <c r="D99" s="129"/>
      <c r="E99" s="129"/>
      <c r="F99" s="129"/>
      <c r="G99" s="129"/>
      <c r="H99" s="129"/>
      <c r="I99" s="129"/>
    </row>
    <row r="100" spans="1:9" ht="15.75" customHeight="1">
      <c r="A100" s="11"/>
    </row>
    <row r="101" spans="1:9" ht="15.75" customHeight="1">
      <c r="A101" s="123" t="s">
        <v>9</v>
      </c>
      <c r="B101" s="123"/>
      <c r="C101" s="123"/>
      <c r="D101" s="123"/>
      <c r="E101" s="123"/>
      <c r="F101" s="123"/>
      <c r="G101" s="123"/>
      <c r="H101" s="123"/>
      <c r="I101" s="123"/>
    </row>
    <row r="102" spans="1:9" ht="15.75" customHeight="1">
      <c r="A102" s="4"/>
    </row>
    <row r="103" spans="1:9" ht="15.75" customHeight="1">
      <c r="B103" s="111" t="s">
        <v>10</v>
      </c>
      <c r="C103" s="124" t="s">
        <v>97</v>
      </c>
      <c r="D103" s="124"/>
      <c r="E103" s="124"/>
      <c r="F103" s="78"/>
      <c r="I103" s="109"/>
    </row>
    <row r="104" spans="1:9" ht="15.75" customHeight="1">
      <c r="A104" s="110"/>
      <c r="C104" s="125" t="s">
        <v>11</v>
      </c>
      <c r="D104" s="125"/>
      <c r="E104" s="125"/>
      <c r="F104" s="25"/>
      <c r="I104" s="108" t="s">
        <v>12</v>
      </c>
    </row>
    <row r="105" spans="1:9" ht="15.75" customHeight="1">
      <c r="A105" s="26"/>
      <c r="C105" s="12"/>
      <c r="D105" s="12"/>
      <c r="G105" s="12"/>
      <c r="H105" s="12"/>
    </row>
    <row r="106" spans="1:9" ht="15.75" customHeight="1">
      <c r="B106" s="111" t="s">
        <v>13</v>
      </c>
      <c r="C106" s="126"/>
      <c r="D106" s="126"/>
      <c r="E106" s="126"/>
      <c r="F106" s="79"/>
      <c r="I106" s="109"/>
    </row>
    <row r="107" spans="1:9" ht="15.75" customHeight="1">
      <c r="A107" s="110"/>
      <c r="C107" s="127" t="s">
        <v>11</v>
      </c>
      <c r="D107" s="127"/>
      <c r="E107" s="127"/>
      <c r="F107" s="110"/>
      <c r="I107" s="108" t="s">
        <v>12</v>
      </c>
    </row>
    <row r="108" spans="1:9" ht="15.75" customHeight="1">
      <c r="A108" s="4" t="s">
        <v>14</v>
      </c>
    </row>
    <row r="109" spans="1:9" ht="15.75" customHeight="1">
      <c r="A109" s="128" t="s">
        <v>15</v>
      </c>
      <c r="B109" s="128"/>
      <c r="C109" s="128"/>
      <c r="D109" s="128"/>
      <c r="E109" s="128"/>
      <c r="F109" s="128"/>
      <c r="G109" s="128"/>
      <c r="H109" s="128"/>
      <c r="I109" s="128"/>
    </row>
    <row r="110" spans="1:9" ht="45" customHeight="1">
      <c r="A110" s="122" t="s">
        <v>16</v>
      </c>
      <c r="B110" s="122"/>
      <c r="C110" s="122"/>
      <c r="D110" s="122"/>
      <c r="E110" s="122"/>
      <c r="F110" s="122"/>
      <c r="G110" s="122"/>
      <c r="H110" s="122"/>
      <c r="I110" s="122"/>
    </row>
    <row r="111" spans="1:9" ht="30" customHeight="1">
      <c r="A111" s="122" t="s">
        <v>17</v>
      </c>
      <c r="B111" s="122"/>
      <c r="C111" s="122"/>
      <c r="D111" s="122"/>
      <c r="E111" s="122"/>
      <c r="F111" s="122"/>
      <c r="G111" s="122"/>
      <c r="H111" s="122"/>
      <c r="I111" s="122"/>
    </row>
    <row r="112" spans="1:9" ht="30" customHeight="1">
      <c r="A112" s="122" t="s">
        <v>21</v>
      </c>
      <c r="B112" s="122"/>
      <c r="C112" s="122"/>
      <c r="D112" s="122"/>
      <c r="E112" s="122"/>
      <c r="F112" s="122"/>
      <c r="G112" s="122"/>
      <c r="H112" s="122"/>
      <c r="I112" s="122"/>
    </row>
    <row r="113" spans="1:9" ht="15" customHeight="1">
      <c r="A113" s="122" t="s">
        <v>20</v>
      </c>
      <c r="B113" s="122"/>
      <c r="C113" s="122"/>
      <c r="D113" s="122"/>
      <c r="E113" s="122"/>
      <c r="F113" s="122"/>
      <c r="G113" s="122"/>
      <c r="H113" s="122"/>
      <c r="I113" s="122"/>
    </row>
  </sheetData>
  <autoFilter ref="I12:I62"/>
  <mergeCells count="29"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6:I56"/>
    <mergeCell ref="R67:U67"/>
    <mergeCell ref="C107:E107"/>
    <mergeCell ref="A85:I85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V114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92</v>
      </c>
      <c r="I1" s="27"/>
      <c r="J1" s="1"/>
      <c r="K1" s="1"/>
      <c r="L1" s="1"/>
      <c r="M1" s="1"/>
    </row>
    <row r="2" spans="1:13" ht="15.75" customHeight="1">
      <c r="A2" s="29" t="s">
        <v>67</v>
      </c>
      <c r="J2" s="2"/>
      <c r="K2" s="2"/>
      <c r="L2" s="2"/>
      <c r="M2" s="2"/>
    </row>
    <row r="3" spans="1:13" ht="15.75" customHeight="1">
      <c r="A3" s="143" t="s">
        <v>270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147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271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 customHeight="1">
      <c r="A6" s="2"/>
      <c r="B6" s="113"/>
      <c r="C6" s="113"/>
      <c r="D6" s="113"/>
      <c r="E6" s="113"/>
      <c r="F6" s="113"/>
      <c r="G6" s="113"/>
      <c r="H6" s="113"/>
      <c r="I6" s="31">
        <v>43100</v>
      </c>
      <c r="J6" s="2"/>
      <c r="K6" s="2"/>
      <c r="L6" s="2"/>
      <c r="M6" s="2"/>
    </row>
    <row r="7" spans="1:13" ht="15.75" customHeight="1">
      <c r="B7" s="111"/>
      <c r="C7" s="111"/>
      <c r="D7" s="11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158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276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64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30" t="s">
        <v>4</v>
      </c>
      <c r="B15" s="130"/>
      <c r="C15" s="130"/>
      <c r="D15" s="130"/>
      <c r="E15" s="130"/>
      <c r="F15" s="130"/>
      <c r="G15" s="130"/>
      <c r="H15" s="130"/>
      <c r="I15" s="130"/>
      <c r="J15" s="8"/>
      <c r="K15" s="8"/>
      <c r="L15" s="8"/>
      <c r="M15" s="8"/>
    </row>
    <row r="16" spans="1:13" ht="15.75" customHeight="1">
      <c r="A16" s="30">
        <v>1</v>
      </c>
      <c r="B16" s="82" t="s">
        <v>93</v>
      </c>
      <c r="C16" s="83" t="s">
        <v>116</v>
      </c>
      <c r="D16" s="82" t="s">
        <v>117</v>
      </c>
      <c r="E16" s="56">
        <v>127.9</v>
      </c>
      <c r="F16" s="84">
        <f>SUM(E16*156/100)</f>
        <v>199.524</v>
      </c>
      <c r="G16" s="84">
        <v>187.48</v>
      </c>
      <c r="H16" s="85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82" t="s">
        <v>102</v>
      </c>
      <c r="C17" s="83" t="s">
        <v>116</v>
      </c>
      <c r="D17" s="82" t="s">
        <v>181</v>
      </c>
      <c r="E17" s="56">
        <v>511.6</v>
      </c>
      <c r="F17" s="84">
        <f>SUM(E17*104/100)</f>
        <v>532.06399999999996</v>
      </c>
      <c r="G17" s="84">
        <v>185.48</v>
      </c>
      <c r="H17" s="85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82" t="s">
        <v>103</v>
      </c>
      <c r="C18" s="83" t="s">
        <v>116</v>
      </c>
      <c r="D18" s="82" t="s">
        <v>118</v>
      </c>
      <c r="E18" s="56">
        <f>SUM(E16+E17)</f>
        <v>639.5</v>
      </c>
      <c r="F18" s="84">
        <f>SUM(E18*24/100)</f>
        <v>153.47999999999999</v>
      </c>
      <c r="G18" s="84">
        <v>539.30999999999995</v>
      </c>
      <c r="H18" s="85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82" t="s">
        <v>119</v>
      </c>
      <c r="C19" s="83" t="s">
        <v>120</v>
      </c>
      <c r="D19" s="82" t="s">
        <v>121</v>
      </c>
      <c r="E19" s="56">
        <v>38.4</v>
      </c>
      <c r="F19" s="84">
        <f>SUM(E19/10)</f>
        <v>3.84</v>
      </c>
      <c r="G19" s="84">
        <v>181.91</v>
      </c>
      <c r="H19" s="85">
        <f t="shared" si="0"/>
        <v>0.6985344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82" t="s">
        <v>107</v>
      </c>
      <c r="C20" s="83" t="s">
        <v>116</v>
      </c>
      <c r="D20" s="82" t="s">
        <v>30</v>
      </c>
      <c r="E20" s="56">
        <v>58.4</v>
      </c>
      <c r="F20" s="84">
        <f>SUM(E20*12/100)</f>
        <v>7.0079999999999991</v>
      </c>
      <c r="G20" s="84">
        <v>232.92</v>
      </c>
      <c r="H20" s="85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hidden="1" customHeight="1">
      <c r="A21" s="30">
        <v>5</v>
      </c>
      <c r="B21" s="82" t="s">
        <v>108</v>
      </c>
      <c r="C21" s="83" t="s">
        <v>116</v>
      </c>
      <c r="D21" s="82" t="s">
        <v>115</v>
      </c>
      <c r="E21" s="56">
        <v>9.08</v>
      </c>
      <c r="F21" s="84">
        <f>SUM(E21*6/100)</f>
        <v>0.54480000000000006</v>
      </c>
      <c r="G21" s="84">
        <v>231.03</v>
      </c>
      <c r="H21" s="85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82" t="s">
        <v>122</v>
      </c>
      <c r="C22" s="83" t="s">
        <v>56</v>
      </c>
      <c r="D22" s="82" t="s">
        <v>121</v>
      </c>
      <c r="E22" s="56">
        <v>714</v>
      </c>
      <c r="F22" s="84">
        <f>SUM(E22/100)</f>
        <v>7.14</v>
      </c>
      <c r="G22" s="84">
        <v>287.83999999999997</v>
      </c>
      <c r="H22" s="85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82" t="s">
        <v>123</v>
      </c>
      <c r="C23" s="83" t="s">
        <v>56</v>
      </c>
      <c r="D23" s="82" t="s">
        <v>121</v>
      </c>
      <c r="E23" s="77">
        <v>96.6</v>
      </c>
      <c r="F23" s="84">
        <f>SUM(E23/100)</f>
        <v>0.96599999999999997</v>
      </c>
      <c r="G23" s="84">
        <v>47.34</v>
      </c>
      <c r="H23" s="85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82" t="s">
        <v>110</v>
      </c>
      <c r="C24" s="83" t="s">
        <v>56</v>
      </c>
      <c r="D24" s="82" t="s">
        <v>121</v>
      </c>
      <c r="E24" s="19">
        <v>40</v>
      </c>
      <c r="F24" s="86">
        <v>4.8</v>
      </c>
      <c r="G24" s="84">
        <v>416.62</v>
      </c>
      <c r="H24" s="85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82" t="s">
        <v>111</v>
      </c>
      <c r="C25" s="83" t="s">
        <v>56</v>
      </c>
      <c r="D25" s="82" t="s">
        <v>121</v>
      </c>
      <c r="E25" s="56">
        <v>17</v>
      </c>
      <c r="F25" s="84">
        <f>SUM(E25/100)</f>
        <v>0.17</v>
      </c>
      <c r="G25" s="84">
        <v>556.74</v>
      </c>
      <c r="H25" s="85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customHeight="1">
      <c r="A26" s="30">
        <v>5</v>
      </c>
      <c r="B26" s="82" t="s">
        <v>69</v>
      </c>
      <c r="C26" s="83" t="s">
        <v>34</v>
      </c>
      <c r="D26" s="82" t="s">
        <v>246</v>
      </c>
      <c r="E26" s="56">
        <v>0.1</v>
      </c>
      <c r="F26" s="84">
        <f>SUM(E26*365)</f>
        <v>36.5</v>
      </c>
      <c r="G26" s="84">
        <v>157.18</v>
      </c>
      <c r="H26" s="85">
        <f>SUM(F26*G26/1000)</f>
        <v>5.737070000000001</v>
      </c>
      <c r="I26" s="13">
        <f>F26/12*G26</f>
        <v>478.08916666666664</v>
      </c>
      <c r="J26" s="24"/>
    </row>
    <row r="27" spans="1:13" ht="15.75" customHeight="1">
      <c r="A27" s="30">
        <v>6</v>
      </c>
      <c r="B27" s="90" t="s">
        <v>23</v>
      </c>
      <c r="C27" s="83" t="s">
        <v>24</v>
      </c>
      <c r="D27" s="82" t="s">
        <v>246</v>
      </c>
      <c r="E27" s="56">
        <v>4591.2</v>
      </c>
      <c r="F27" s="84">
        <f>SUM(E27*12)</f>
        <v>55094.399999999994</v>
      </c>
      <c r="G27" s="84">
        <v>5.85</v>
      </c>
      <c r="H27" s="85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30" t="s">
        <v>91</v>
      </c>
      <c r="B28" s="130"/>
      <c r="C28" s="130"/>
      <c r="D28" s="130"/>
      <c r="E28" s="130"/>
      <c r="F28" s="130"/>
      <c r="G28" s="130"/>
      <c r="H28" s="130"/>
      <c r="I28" s="130"/>
      <c r="J28" s="23"/>
      <c r="K28" s="8"/>
      <c r="L28" s="8"/>
      <c r="M28" s="8"/>
    </row>
    <row r="29" spans="1:13" ht="15.75" hidden="1" customHeight="1">
      <c r="A29" s="30"/>
      <c r="B29" s="106" t="s">
        <v>28</v>
      </c>
      <c r="C29" s="83"/>
      <c r="D29" s="82"/>
      <c r="E29" s="56"/>
      <c r="F29" s="84"/>
      <c r="G29" s="84"/>
      <c r="H29" s="85"/>
      <c r="I29" s="13"/>
      <c r="J29" s="23"/>
      <c r="K29" s="8"/>
      <c r="L29" s="8"/>
      <c r="M29" s="8"/>
    </row>
    <row r="30" spans="1:13" ht="15.75" hidden="1" customHeight="1">
      <c r="A30" s="30">
        <v>7</v>
      </c>
      <c r="B30" s="82" t="s">
        <v>124</v>
      </c>
      <c r="C30" s="83" t="s">
        <v>125</v>
      </c>
      <c r="D30" s="82" t="s">
        <v>126</v>
      </c>
      <c r="E30" s="84">
        <v>844.95</v>
      </c>
      <c r="F30" s="84">
        <f>SUM(E30*52/1000)</f>
        <v>43.937400000000004</v>
      </c>
      <c r="G30" s="84">
        <v>166.65</v>
      </c>
      <c r="H30" s="85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hidden="1" customHeight="1">
      <c r="A31" s="30">
        <v>8</v>
      </c>
      <c r="B31" s="82" t="s">
        <v>182</v>
      </c>
      <c r="C31" s="83" t="s">
        <v>125</v>
      </c>
      <c r="D31" s="82" t="s">
        <v>127</v>
      </c>
      <c r="E31" s="84">
        <v>260.13</v>
      </c>
      <c r="F31" s="84">
        <f>SUM(E31*78/1000)</f>
        <v>20.290140000000001</v>
      </c>
      <c r="G31" s="84">
        <v>276.48</v>
      </c>
      <c r="H31" s="85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82" t="s">
        <v>27</v>
      </c>
      <c r="C32" s="83" t="s">
        <v>125</v>
      </c>
      <c r="D32" s="82" t="s">
        <v>57</v>
      </c>
      <c r="E32" s="84">
        <v>844.95</v>
      </c>
      <c r="F32" s="84">
        <f>SUM(E32/1000)</f>
        <v>0.84495000000000009</v>
      </c>
      <c r="G32" s="84">
        <v>3228.73</v>
      </c>
      <c r="H32" s="85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hidden="1" customHeight="1">
      <c r="A33" s="30">
        <v>9</v>
      </c>
      <c r="B33" s="82" t="s">
        <v>160</v>
      </c>
      <c r="C33" s="83" t="s">
        <v>42</v>
      </c>
      <c r="D33" s="82" t="s">
        <v>68</v>
      </c>
      <c r="E33" s="84">
        <v>8</v>
      </c>
      <c r="F33" s="84">
        <v>12.4</v>
      </c>
      <c r="G33" s="84">
        <v>1391.86</v>
      </c>
      <c r="H33" s="85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hidden="1" customHeight="1">
      <c r="A34" s="30">
        <v>10</v>
      </c>
      <c r="B34" s="82" t="s">
        <v>128</v>
      </c>
      <c r="C34" s="83" t="s">
        <v>31</v>
      </c>
      <c r="D34" s="82" t="s">
        <v>68</v>
      </c>
      <c r="E34" s="89">
        <v>0.33333333333333331</v>
      </c>
      <c r="F34" s="84">
        <f>155/3</f>
        <v>51.666666666666664</v>
      </c>
      <c r="G34" s="84">
        <v>60.6</v>
      </c>
      <c r="H34" s="85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82" t="s">
        <v>70</v>
      </c>
      <c r="C35" s="83" t="s">
        <v>34</v>
      </c>
      <c r="D35" s="82" t="s">
        <v>72</v>
      </c>
      <c r="E35" s="56"/>
      <c r="F35" s="84">
        <v>3</v>
      </c>
      <c r="G35" s="84">
        <v>204.32</v>
      </c>
      <c r="H35" s="85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82" t="s">
        <v>71</v>
      </c>
      <c r="C36" s="83" t="s">
        <v>33</v>
      </c>
      <c r="D36" s="82" t="s">
        <v>72</v>
      </c>
      <c r="E36" s="56"/>
      <c r="F36" s="84">
        <v>2</v>
      </c>
      <c r="G36" s="84">
        <v>1214.73</v>
      </c>
      <c r="H36" s="85">
        <f t="shared" si="1"/>
        <v>2.4294600000000002</v>
      </c>
      <c r="I36" s="13">
        <v>0</v>
      </c>
      <c r="J36" s="24"/>
    </row>
    <row r="37" spans="1:14" ht="15.75" customHeight="1">
      <c r="A37" s="30"/>
      <c r="B37" s="106" t="s">
        <v>5</v>
      </c>
      <c r="C37" s="83"/>
      <c r="D37" s="82"/>
      <c r="E37" s="56"/>
      <c r="F37" s="84"/>
      <c r="G37" s="84"/>
      <c r="H37" s="85" t="s">
        <v>144</v>
      </c>
      <c r="I37" s="13"/>
      <c r="J37" s="24"/>
    </row>
    <row r="38" spans="1:14" ht="15.75" customHeight="1">
      <c r="A38" s="30">
        <v>7</v>
      </c>
      <c r="B38" s="82" t="s">
        <v>26</v>
      </c>
      <c r="C38" s="83" t="s">
        <v>33</v>
      </c>
      <c r="D38" s="82"/>
      <c r="E38" s="56"/>
      <c r="F38" s="84">
        <v>10</v>
      </c>
      <c r="G38" s="84">
        <v>1632.6</v>
      </c>
      <c r="H38" s="85">
        <f t="shared" ref="H38:H44" si="3">SUM(F38*G38/1000)</f>
        <v>16.326000000000001</v>
      </c>
      <c r="I38" s="13">
        <f>F38/6*G38</f>
        <v>2721</v>
      </c>
      <c r="J38" s="24"/>
    </row>
    <row r="39" spans="1:14" ht="15.75" customHeight="1">
      <c r="A39" s="30">
        <v>8</v>
      </c>
      <c r="B39" s="82" t="s">
        <v>162</v>
      </c>
      <c r="C39" s="83" t="s">
        <v>29</v>
      </c>
      <c r="D39" s="82" t="s">
        <v>129</v>
      </c>
      <c r="E39" s="84">
        <v>254.8</v>
      </c>
      <c r="F39" s="84">
        <f>SUM(E39*30/1000)</f>
        <v>7.6440000000000001</v>
      </c>
      <c r="G39" s="84">
        <v>2247.8000000000002</v>
      </c>
      <c r="H39" s="85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82" t="s">
        <v>104</v>
      </c>
      <c r="C40" s="83" t="s">
        <v>130</v>
      </c>
      <c r="D40" s="82" t="s">
        <v>72</v>
      </c>
      <c r="E40" s="56"/>
      <c r="F40" s="84">
        <v>40</v>
      </c>
      <c r="G40" s="84">
        <v>213.2</v>
      </c>
      <c r="H40" s="85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customHeight="1">
      <c r="A41" s="30">
        <v>9</v>
      </c>
      <c r="B41" s="82" t="s">
        <v>73</v>
      </c>
      <c r="C41" s="83" t="s">
        <v>29</v>
      </c>
      <c r="D41" s="82" t="s">
        <v>131</v>
      </c>
      <c r="E41" s="84">
        <v>260.13</v>
      </c>
      <c r="F41" s="84">
        <f>SUM(E41*155/1000)</f>
        <v>40.320149999999998</v>
      </c>
      <c r="G41" s="84">
        <v>374.95</v>
      </c>
      <c r="H41" s="85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customHeight="1">
      <c r="A42" s="30">
        <v>10</v>
      </c>
      <c r="B42" s="82" t="s">
        <v>89</v>
      </c>
      <c r="C42" s="83" t="s">
        <v>125</v>
      </c>
      <c r="D42" s="82" t="s">
        <v>132</v>
      </c>
      <c r="E42" s="84">
        <v>132.72999999999999</v>
      </c>
      <c r="F42" s="84">
        <f>SUM(E42*35/1000)</f>
        <v>4.6455499999999992</v>
      </c>
      <c r="G42" s="84">
        <v>6203.7</v>
      </c>
      <c r="H42" s="85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hidden="1" customHeight="1">
      <c r="A43" s="30">
        <v>11</v>
      </c>
      <c r="B43" s="82" t="s">
        <v>133</v>
      </c>
      <c r="C43" s="83" t="s">
        <v>125</v>
      </c>
      <c r="D43" s="82" t="s">
        <v>74</v>
      </c>
      <c r="E43" s="84">
        <v>254.8</v>
      </c>
      <c r="F43" s="84">
        <f>SUM(E43*45/1000)</f>
        <v>11.465999999999999</v>
      </c>
      <c r="G43" s="84">
        <v>458.28</v>
      </c>
      <c r="H43" s="85">
        <f t="shared" si="3"/>
        <v>5.2546384799999997</v>
      </c>
      <c r="I43" s="13">
        <f>F43/6*G43</f>
        <v>875.77307999999982</v>
      </c>
      <c r="J43" s="24"/>
      <c r="L43" s="20"/>
      <c r="M43" s="21"/>
      <c r="N43" s="22"/>
    </row>
    <row r="44" spans="1:14" ht="15.75" customHeight="1">
      <c r="A44" s="30">
        <v>11</v>
      </c>
      <c r="B44" s="82" t="s">
        <v>75</v>
      </c>
      <c r="C44" s="83" t="s">
        <v>34</v>
      </c>
      <c r="D44" s="82"/>
      <c r="E44" s="56"/>
      <c r="F44" s="84">
        <v>0.9</v>
      </c>
      <c r="G44" s="84">
        <v>853.06</v>
      </c>
      <c r="H44" s="85">
        <f t="shared" si="3"/>
        <v>0.76775400000000005</v>
      </c>
      <c r="I44" s="13">
        <f>F44/6*G44</f>
        <v>127.95899999999999</v>
      </c>
      <c r="J44" s="24"/>
      <c r="L44" s="20"/>
      <c r="M44" s="21"/>
      <c r="N44" s="22"/>
    </row>
    <row r="45" spans="1:14" ht="15.75" customHeight="1">
      <c r="A45" s="131" t="s">
        <v>154</v>
      </c>
      <c r="B45" s="132"/>
      <c r="C45" s="132"/>
      <c r="D45" s="132"/>
      <c r="E45" s="132"/>
      <c r="F45" s="132"/>
      <c r="G45" s="132"/>
      <c r="H45" s="132"/>
      <c r="I45" s="133"/>
      <c r="J45" s="24"/>
      <c r="L45" s="20"/>
      <c r="M45" s="21"/>
      <c r="N45" s="22"/>
    </row>
    <row r="46" spans="1:14" ht="15.75" hidden="1" customHeight="1">
      <c r="A46" s="30"/>
      <c r="B46" s="82" t="s">
        <v>148</v>
      </c>
      <c r="C46" s="83" t="s">
        <v>125</v>
      </c>
      <c r="D46" s="82" t="s">
        <v>44</v>
      </c>
      <c r="E46" s="56">
        <v>1795.9</v>
      </c>
      <c r="F46" s="84">
        <f>SUM(E46*2/1000)</f>
        <v>3.5918000000000001</v>
      </c>
      <c r="G46" s="13">
        <v>865.61</v>
      </c>
      <c r="H46" s="85">
        <f t="shared" ref="H46:H55" si="4">SUM(F46*G46/1000)</f>
        <v>3.1090979980000002</v>
      </c>
      <c r="I46" s="13">
        <v>0</v>
      </c>
      <c r="J46" s="24"/>
      <c r="L46" s="20"/>
      <c r="M46" s="21"/>
      <c r="N46" s="22"/>
    </row>
    <row r="47" spans="1:14" ht="15.75" hidden="1" customHeight="1">
      <c r="A47" s="30"/>
      <c r="B47" s="82" t="s">
        <v>37</v>
      </c>
      <c r="C47" s="83" t="s">
        <v>125</v>
      </c>
      <c r="D47" s="82" t="s">
        <v>44</v>
      </c>
      <c r="E47" s="56">
        <v>104</v>
      </c>
      <c r="F47" s="84">
        <f>SUM(E47*2/1000)</f>
        <v>0.20799999999999999</v>
      </c>
      <c r="G47" s="13">
        <v>619.46</v>
      </c>
      <c r="H47" s="85">
        <f t="shared" si="4"/>
        <v>0.12884767999999999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30"/>
      <c r="B48" s="82" t="s">
        <v>38</v>
      </c>
      <c r="C48" s="83" t="s">
        <v>125</v>
      </c>
      <c r="D48" s="82" t="s">
        <v>44</v>
      </c>
      <c r="E48" s="56">
        <v>1996.87</v>
      </c>
      <c r="F48" s="84">
        <f>SUM(E48*2/1000)</f>
        <v>3.9937399999999998</v>
      </c>
      <c r="G48" s="13">
        <v>619.46</v>
      </c>
      <c r="H48" s="85">
        <f t="shared" si="4"/>
        <v>2.4739621804</v>
      </c>
      <c r="I48" s="13">
        <v>0</v>
      </c>
      <c r="J48" s="24"/>
      <c r="L48" s="20"/>
      <c r="M48" s="21"/>
      <c r="N48" s="22"/>
    </row>
    <row r="49" spans="1:22" ht="15.75" hidden="1" customHeight="1">
      <c r="A49" s="30"/>
      <c r="B49" s="82" t="s">
        <v>39</v>
      </c>
      <c r="C49" s="83" t="s">
        <v>125</v>
      </c>
      <c r="D49" s="82" t="s">
        <v>44</v>
      </c>
      <c r="E49" s="56">
        <v>2630.35</v>
      </c>
      <c r="F49" s="84">
        <f>SUM(E49*2/1000)</f>
        <v>5.2606999999999999</v>
      </c>
      <c r="G49" s="13">
        <v>648.64</v>
      </c>
      <c r="H49" s="85">
        <f t="shared" si="4"/>
        <v>3.4123004479999999</v>
      </c>
      <c r="I49" s="13">
        <v>0</v>
      </c>
      <c r="J49" s="24"/>
      <c r="L49" s="20"/>
      <c r="M49" s="21"/>
      <c r="N49" s="22"/>
    </row>
    <row r="50" spans="1:22" ht="15.75" hidden="1" customHeight="1">
      <c r="A50" s="30"/>
      <c r="B50" s="82" t="s">
        <v>35</v>
      </c>
      <c r="C50" s="83" t="s">
        <v>36</v>
      </c>
      <c r="D50" s="82" t="s">
        <v>44</v>
      </c>
      <c r="E50" s="56">
        <v>131.47</v>
      </c>
      <c r="F50" s="84">
        <f>SUM(E50*2/100)</f>
        <v>2.6294</v>
      </c>
      <c r="G50" s="13">
        <v>77.84</v>
      </c>
      <c r="H50" s="85">
        <f t="shared" si="4"/>
        <v>0.20467249599999998</v>
      </c>
      <c r="I50" s="13">
        <v>0</v>
      </c>
      <c r="J50" s="24"/>
      <c r="L50" s="20"/>
      <c r="M50" s="21"/>
      <c r="N50" s="22"/>
    </row>
    <row r="51" spans="1:22" ht="15.75" customHeight="1">
      <c r="A51" s="30">
        <v>12</v>
      </c>
      <c r="B51" s="82" t="s">
        <v>61</v>
      </c>
      <c r="C51" s="83" t="s">
        <v>125</v>
      </c>
      <c r="D51" s="82" t="s">
        <v>183</v>
      </c>
      <c r="E51" s="56">
        <v>2872.4</v>
      </c>
      <c r="F51" s="84">
        <f>SUM(E51*5/1000)</f>
        <v>14.362</v>
      </c>
      <c r="G51" s="13">
        <v>1297.28</v>
      </c>
      <c r="H51" s="85">
        <f t="shared" si="4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22" ht="31.5" hidden="1" customHeight="1">
      <c r="A52" s="30">
        <v>11</v>
      </c>
      <c r="B52" s="82" t="s">
        <v>134</v>
      </c>
      <c r="C52" s="83" t="s">
        <v>125</v>
      </c>
      <c r="D52" s="82" t="s">
        <v>44</v>
      </c>
      <c r="E52" s="56">
        <v>2872.4</v>
      </c>
      <c r="F52" s="84">
        <f>SUM(E52*2/1000)</f>
        <v>5.7448000000000006</v>
      </c>
      <c r="G52" s="13">
        <v>1297.28</v>
      </c>
      <c r="H52" s="85">
        <f t="shared" si="4"/>
        <v>7.4526141440000009</v>
      </c>
      <c r="I52" s="13">
        <f>F52/2*G52</f>
        <v>3726.3070720000005</v>
      </c>
      <c r="J52" s="24"/>
      <c r="L52" s="20"/>
      <c r="M52" s="21"/>
      <c r="N52" s="22"/>
    </row>
    <row r="53" spans="1:22" ht="31.5" hidden="1" customHeight="1">
      <c r="A53" s="30">
        <v>12</v>
      </c>
      <c r="B53" s="82" t="s">
        <v>135</v>
      </c>
      <c r="C53" s="83" t="s">
        <v>40</v>
      </c>
      <c r="D53" s="82" t="s">
        <v>44</v>
      </c>
      <c r="E53" s="56">
        <v>40</v>
      </c>
      <c r="F53" s="84">
        <f>SUM(E53*2/100)</f>
        <v>0.8</v>
      </c>
      <c r="G53" s="13">
        <v>2918.89</v>
      </c>
      <c r="H53" s="85">
        <f t="shared" si="4"/>
        <v>2.3351120000000001</v>
      </c>
      <c r="I53" s="13">
        <f t="shared" ref="I53:I54" si="5">F53/2*G53</f>
        <v>1167.556</v>
      </c>
      <c r="J53" s="24"/>
      <c r="L53" s="20"/>
      <c r="M53" s="21"/>
      <c r="N53" s="22"/>
    </row>
    <row r="54" spans="1:22" ht="15.75" hidden="1" customHeight="1">
      <c r="A54" s="30">
        <v>13</v>
      </c>
      <c r="B54" s="82" t="s">
        <v>41</v>
      </c>
      <c r="C54" s="83" t="s">
        <v>42</v>
      </c>
      <c r="D54" s="82" t="s">
        <v>44</v>
      </c>
      <c r="E54" s="56">
        <v>1</v>
      </c>
      <c r="F54" s="84">
        <v>0.02</v>
      </c>
      <c r="G54" s="13">
        <v>6042.12</v>
      </c>
      <c r="H54" s="85">
        <f t="shared" si="4"/>
        <v>0.1208424</v>
      </c>
      <c r="I54" s="13">
        <f t="shared" si="5"/>
        <v>60.421199999999999</v>
      </c>
      <c r="J54" s="24"/>
      <c r="L54" s="20"/>
      <c r="M54" s="21"/>
      <c r="N54" s="22"/>
    </row>
    <row r="55" spans="1:22" ht="15.75" hidden="1" customHeight="1">
      <c r="A55" s="30">
        <v>14</v>
      </c>
      <c r="B55" s="82" t="s">
        <v>43</v>
      </c>
      <c r="C55" s="83" t="s">
        <v>31</v>
      </c>
      <c r="D55" s="82" t="s">
        <v>76</v>
      </c>
      <c r="E55" s="56">
        <v>160</v>
      </c>
      <c r="F55" s="84">
        <f>SUM(E55)*3</f>
        <v>480</v>
      </c>
      <c r="G55" s="13">
        <v>70.209999999999994</v>
      </c>
      <c r="H55" s="85">
        <f t="shared" si="4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22" ht="15.75" customHeight="1">
      <c r="A56" s="131" t="s">
        <v>155</v>
      </c>
      <c r="B56" s="132"/>
      <c r="C56" s="132"/>
      <c r="D56" s="132"/>
      <c r="E56" s="132"/>
      <c r="F56" s="132"/>
      <c r="G56" s="132"/>
      <c r="H56" s="132"/>
      <c r="I56" s="133"/>
      <c r="J56" s="24"/>
      <c r="L56" s="20"/>
      <c r="M56" s="21"/>
      <c r="N56" s="22"/>
    </row>
    <row r="57" spans="1:22" ht="15.75" customHeight="1">
      <c r="A57" s="30"/>
      <c r="B57" s="106" t="s">
        <v>45</v>
      </c>
      <c r="C57" s="83"/>
      <c r="D57" s="82"/>
      <c r="E57" s="56"/>
      <c r="F57" s="84"/>
      <c r="G57" s="84"/>
      <c r="H57" s="85"/>
      <c r="I57" s="13"/>
      <c r="J57" s="24"/>
      <c r="L57" s="20"/>
      <c r="M57" s="21"/>
      <c r="N57" s="22"/>
    </row>
    <row r="58" spans="1:22" ht="31.5" customHeight="1">
      <c r="A58" s="30">
        <v>13</v>
      </c>
      <c r="B58" s="82" t="s">
        <v>137</v>
      </c>
      <c r="C58" s="83" t="s">
        <v>116</v>
      </c>
      <c r="D58" s="82" t="s">
        <v>77</v>
      </c>
      <c r="E58" s="56">
        <v>239.59</v>
      </c>
      <c r="F58" s="84">
        <f>E58*6/100</f>
        <v>14.375399999999999</v>
      </c>
      <c r="G58" s="91">
        <v>1654.04</v>
      </c>
      <c r="H58" s="85">
        <f>F58*G58/1000</f>
        <v>23.777486615999997</v>
      </c>
      <c r="I58" s="13">
        <f>F58/6*G58</f>
        <v>3962.9144359999996</v>
      </c>
      <c r="J58" s="24"/>
      <c r="L58" s="20"/>
      <c r="M58" s="21"/>
      <c r="N58" s="22"/>
    </row>
    <row r="59" spans="1:22" ht="15.75" customHeight="1">
      <c r="A59" s="30"/>
      <c r="B59" s="107" t="s">
        <v>46</v>
      </c>
      <c r="C59" s="92"/>
      <c r="D59" s="93"/>
      <c r="E59" s="94"/>
      <c r="F59" s="96"/>
      <c r="G59" s="13"/>
      <c r="H59" s="98"/>
      <c r="I59" s="13"/>
      <c r="J59" s="24"/>
      <c r="L59" s="20"/>
      <c r="M59" s="21"/>
      <c r="N59" s="22"/>
    </row>
    <row r="60" spans="1:22" ht="15.75" hidden="1" customHeight="1">
      <c r="A60" s="30"/>
      <c r="B60" s="93" t="s">
        <v>47</v>
      </c>
      <c r="C60" s="92" t="s">
        <v>56</v>
      </c>
      <c r="D60" s="93" t="s">
        <v>57</v>
      </c>
      <c r="E60" s="94">
        <v>2686</v>
      </c>
      <c r="F60" s="96">
        <f>E60/100</f>
        <v>26.86</v>
      </c>
      <c r="G60" s="13">
        <v>848.37</v>
      </c>
      <c r="H60" s="98">
        <f>G60*F60/1000</f>
        <v>22.787218199999998</v>
      </c>
      <c r="I60" s="13">
        <v>0</v>
      </c>
      <c r="J60" s="24"/>
      <c r="L60" s="20"/>
    </row>
    <row r="61" spans="1:22" ht="15.75" customHeight="1">
      <c r="A61" s="30">
        <v>14</v>
      </c>
      <c r="B61" s="93" t="s">
        <v>105</v>
      </c>
      <c r="C61" s="92" t="s">
        <v>25</v>
      </c>
      <c r="D61" s="93" t="s">
        <v>30</v>
      </c>
      <c r="E61" s="94">
        <v>343</v>
      </c>
      <c r="F61" s="96">
        <v>4116</v>
      </c>
      <c r="G61" s="13">
        <v>2.6</v>
      </c>
      <c r="H61" s="98">
        <f>F61*G61</f>
        <v>10701.6</v>
      </c>
      <c r="I61" s="13">
        <f>F61/12*G61</f>
        <v>891.80000000000007</v>
      </c>
    </row>
    <row r="62" spans="1:22" ht="15.75" hidden="1" customHeight="1">
      <c r="A62" s="30"/>
      <c r="B62" s="107" t="s">
        <v>149</v>
      </c>
      <c r="C62" s="92"/>
      <c r="D62" s="93"/>
      <c r="E62" s="94"/>
      <c r="F62" s="96"/>
      <c r="G62" s="13"/>
      <c r="H62" s="98"/>
      <c r="I62" s="13"/>
    </row>
    <row r="63" spans="1:22" ht="15.75" hidden="1" customHeight="1">
      <c r="A63" s="30"/>
      <c r="B63" s="93" t="s">
        <v>150</v>
      </c>
      <c r="C63" s="92" t="s">
        <v>31</v>
      </c>
      <c r="D63" s="93" t="s">
        <v>72</v>
      </c>
      <c r="E63" s="94">
        <v>3</v>
      </c>
      <c r="F63" s="95">
        <v>3</v>
      </c>
      <c r="G63" s="97">
        <v>254.16</v>
      </c>
      <c r="H63" s="96">
        <v>0.76200000000000001</v>
      </c>
      <c r="I63" s="13">
        <v>0</v>
      </c>
    </row>
    <row r="64" spans="1:22" ht="15.75" hidden="1" customHeight="1">
      <c r="A64" s="30"/>
      <c r="B64" s="107" t="s">
        <v>48</v>
      </c>
      <c r="C64" s="92"/>
      <c r="D64" s="93"/>
      <c r="E64" s="94"/>
      <c r="F64" s="95"/>
      <c r="G64" s="95"/>
      <c r="H64" s="96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0">
        <v>16</v>
      </c>
      <c r="B65" s="14" t="s">
        <v>49</v>
      </c>
      <c r="C65" s="16" t="s">
        <v>136</v>
      </c>
      <c r="D65" s="93" t="s">
        <v>72</v>
      </c>
      <c r="E65" s="19">
        <v>15</v>
      </c>
      <c r="F65" s="84">
        <v>15</v>
      </c>
      <c r="G65" s="13">
        <v>237.74</v>
      </c>
      <c r="H65" s="99">
        <f t="shared" ref="H65:H78" si="6">SUM(F65*G65/1000)</f>
        <v>3.5661000000000005</v>
      </c>
      <c r="I65" s="13">
        <f>G65*2</f>
        <v>475.48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14" t="s">
        <v>50</v>
      </c>
      <c r="C66" s="16" t="s">
        <v>136</v>
      </c>
      <c r="D66" s="93" t="s">
        <v>72</v>
      </c>
      <c r="E66" s="19">
        <v>5</v>
      </c>
      <c r="F66" s="84">
        <v>5</v>
      </c>
      <c r="G66" s="13">
        <v>81.510000000000005</v>
      </c>
      <c r="H66" s="99">
        <f t="shared" si="6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14" t="s">
        <v>51</v>
      </c>
      <c r="C67" s="16" t="s">
        <v>138</v>
      </c>
      <c r="D67" s="14" t="s">
        <v>57</v>
      </c>
      <c r="E67" s="56">
        <v>24123</v>
      </c>
      <c r="F67" s="13">
        <f>SUM(E67/100)</f>
        <v>241.23</v>
      </c>
      <c r="G67" s="13">
        <v>226.79</v>
      </c>
      <c r="H67" s="99">
        <f t="shared" si="6"/>
        <v>54.708551699999994</v>
      </c>
      <c r="I67" s="13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127"/>
      <c r="S67" s="127"/>
      <c r="T67" s="127"/>
      <c r="U67" s="127"/>
    </row>
    <row r="68" spans="1:21" ht="15.75" hidden="1" customHeight="1">
      <c r="A68" s="30"/>
      <c r="B68" s="14" t="s">
        <v>52</v>
      </c>
      <c r="C68" s="16" t="s">
        <v>139</v>
      </c>
      <c r="D68" s="14"/>
      <c r="E68" s="56">
        <v>24123</v>
      </c>
      <c r="F68" s="13">
        <f>SUM(E68/1000)</f>
        <v>24.123000000000001</v>
      </c>
      <c r="G68" s="13">
        <v>176.61</v>
      </c>
      <c r="H68" s="99">
        <f t="shared" si="6"/>
        <v>4.2603630300000006</v>
      </c>
      <c r="I68" s="13">
        <f t="shared" ref="I68:I72" si="7">F68*G68</f>
        <v>4260.3630300000004</v>
      </c>
    </row>
    <row r="69" spans="1:21" ht="15.75" hidden="1" customHeight="1">
      <c r="A69" s="30"/>
      <c r="B69" s="14" t="s">
        <v>53</v>
      </c>
      <c r="C69" s="16" t="s">
        <v>82</v>
      </c>
      <c r="D69" s="14" t="s">
        <v>57</v>
      </c>
      <c r="E69" s="56">
        <v>2730</v>
      </c>
      <c r="F69" s="13">
        <f>SUM(E69/100)</f>
        <v>27.3</v>
      </c>
      <c r="G69" s="13">
        <v>2217.7800000000002</v>
      </c>
      <c r="H69" s="99">
        <f t="shared" si="6"/>
        <v>60.545394000000009</v>
      </c>
      <c r="I69" s="13">
        <f t="shared" si="7"/>
        <v>60545.394000000008</v>
      </c>
    </row>
    <row r="70" spans="1:21" ht="15.75" hidden="1" customHeight="1">
      <c r="A70" s="30"/>
      <c r="B70" s="100" t="s">
        <v>140</v>
      </c>
      <c r="C70" s="16" t="s">
        <v>34</v>
      </c>
      <c r="D70" s="14"/>
      <c r="E70" s="56">
        <v>23</v>
      </c>
      <c r="F70" s="13">
        <f>SUM(E70)</f>
        <v>23</v>
      </c>
      <c r="G70" s="13">
        <v>42.67</v>
      </c>
      <c r="H70" s="99">
        <f t="shared" si="6"/>
        <v>0.98141000000000012</v>
      </c>
      <c r="I70" s="13">
        <f t="shared" si="7"/>
        <v>981.41000000000008</v>
      </c>
    </row>
    <row r="71" spans="1:21" ht="15.75" hidden="1" customHeight="1">
      <c r="A71" s="30"/>
      <c r="B71" s="100" t="s">
        <v>141</v>
      </c>
      <c r="C71" s="16" t="s">
        <v>34</v>
      </c>
      <c r="D71" s="14"/>
      <c r="E71" s="56">
        <v>23</v>
      </c>
      <c r="F71" s="13">
        <f>SUM(E71)</f>
        <v>23</v>
      </c>
      <c r="G71" s="13">
        <v>39.81</v>
      </c>
      <c r="H71" s="99">
        <f t="shared" si="6"/>
        <v>0.91563000000000005</v>
      </c>
      <c r="I71" s="13">
        <f t="shared" si="7"/>
        <v>915.63000000000011</v>
      </c>
    </row>
    <row r="72" spans="1:21" ht="15.75" hidden="1" customHeight="1">
      <c r="A72" s="30"/>
      <c r="B72" s="14" t="s">
        <v>62</v>
      </c>
      <c r="C72" s="16" t="s">
        <v>63</v>
      </c>
      <c r="D72" s="14" t="s">
        <v>57</v>
      </c>
      <c r="E72" s="19">
        <v>10</v>
      </c>
      <c r="F72" s="84">
        <f>SUM(E72)</f>
        <v>10</v>
      </c>
      <c r="G72" s="13">
        <v>53.32</v>
      </c>
      <c r="H72" s="99">
        <f t="shared" si="6"/>
        <v>0.53320000000000001</v>
      </c>
      <c r="I72" s="13">
        <f t="shared" si="7"/>
        <v>533.20000000000005</v>
      </c>
    </row>
    <row r="73" spans="1:21" ht="15.75" hidden="1" customHeight="1">
      <c r="A73" s="30"/>
      <c r="B73" s="114" t="s">
        <v>78</v>
      </c>
      <c r="C73" s="16"/>
      <c r="D73" s="14"/>
      <c r="E73" s="19"/>
      <c r="F73" s="13"/>
      <c r="G73" s="13"/>
      <c r="H73" s="99" t="s">
        <v>144</v>
      </c>
      <c r="I73" s="13"/>
    </row>
    <row r="74" spans="1:21" ht="15.75" hidden="1" customHeight="1">
      <c r="A74" s="30">
        <v>17</v>
      </c>
      <c r="B74" s="14" t="s">
        <v>79</v>
      </c>
      <c r="C74" s="16" t="s">
        <v>32</v>
      </c>
      <c r="D74" s="14"/>
      <c r="E74" s="19">
        <v>2</v>
      </c>
      <c r="F74" s="75">
        <v>0.2</v>
      </c>
      <c r="G74" s="13">
        <v>536.23</v>
      </c>
      <c r="H74" s="99">
        <v>0.251</v>
      </c>
      <c r="I74" s="13">
        <f>G74*0.4</f>
        <v>214.49200000000002</v>
      </c>
    </row>
    <row r="75" spans="1:21" ht="15.75" hidden="1" customHeight="1">
      <c r="A75" s="30"/>
      <c r="B75" s="14" t="s">
        <v>95</v>
      </c>
      <c r="C75" s="16" t="s">
        <v>31</v>
      </c>
      <c r="D75" s="14"/>
      <c r="E75" s="19">
        <v>1</v>
      </c>
      <c r="F75" s="84">
        <f>SUM(E75)</f>
        <v>1</v>
      </c>
      <c r="G75" s="13">
        <v>383.25</v>
      </c>
      <c r="H75" s="99">
        <f t="shared" si="6"/>
        <v>0.38324999999999998</v>
      </c>
      <c r="I75" s="13">
        <v>0</v>
      </c>
    </row>
    <row r="76" spans="1:21" ht="15.75" hidden="1" customHeight="1">
      <c r="A76" s="30"/>
      <c r="B76" s="14" t="s">
        <v>80</v>
      </c>
      <c r="C76" s="16" t="s">
        <v>31</v>
      </c>
      <c r="D76" s="14"/>
      <c r="E76" s="19">
        <v>2</v>
      </c>
      <c r="F76" s="13">
        <v>2</v>
      </c>
      <c r="G76" s="13">
        <v>911.85</v>
      </c>
      <c r="H76" s="99">
        <f>F76*G76/1000</f>
        <v>1.8237000000000001</v>
      </c>
      <c r="I76" s="13">
        <v>0</v>
      </c>
    </row>
    <row r="77" spans="1:21" ht="15.75" hidden="1" customHeight="1">
      <c r="A77" s="30"/>
      <c r="B77" s="101" t="s">
        <v>81</v>
      </c>
      <c r="C77" s="16"/>
      <c r="D77" s="14"/>
      <c r="E77" s="19"/>
      <c r="F77" s="13"/>
      <c r="G77" s="13" t="s">
        <v>144</v>
      </c>
      <c r="H77" s="99" t="s">
        <v>144</v>
      </c>
      <c r="I77" s="13"/>
    </row>
    <row r="78" spans="1:21" ht="15.75" hidden="1" customHeight="1">
      <c r="A78" s="30"/>
      <c r="B78" s="49" t="s">
        <v>145</v>
      </c>
      <c r="C78" s="16" t="s">
        <v>82</v>
      </c>
      <c r="D78" s="14"/>
      <c r="E78" s="19"/>
      <c r="F78" s="13">
        <v>1.35</v>
      </c>
      <c r="G78" s="13">
        <v>2949.85</v>
      </c>
      <c r="H78" s="99">
        <f t="shared" si="6"/>
        <v>3.9822975</v>
      </c>
      <c r="I78" s="13">
        <v>0</v>
      </c>
    </row>
    <row r="79" spans="1:21" ht="15.75" hidden="1" customHeight="1">
      <c r="A79" s="30"/>
      <c r="B79" s="87" t="s">
        <v>142</v>
      </c>
      <c r="C79" s="101"/>
      <c r="D79" s="32"/>
      <c r="E79" s="33"/>
      <c r="F79" s="88"/>
      <c r="G79" s="88"/>
      <c r="H79" s="102">
        <f>SUM(H58:H78)</f>
        <v>10881.285151046004</v>
      </c>
      <c r="I79" s="88"/>
    </row>
    <row r="80" spans="1:21" ht="15.75" hidden="1" customHeight="1">
      <c r="A80" s="30"/>
      <c r="B80" s="82" t="s">
        <v>143</v>
      </c>
      <c r="C80" s="16"/>
      <c r="D80" s="14"/>
      <c r="E80" s="76"/>
      <c r="F80" s="13">
        <v>1</v>
      </c>
      <c r="G80" s="13">
        <v>19342.2</v>
      </c>
      <c r="H80" s="99">
        <f>G80*F80/1000</f>
        <v>19.342200000000002</v>
      </c>
      <c r="I80" s="13">
        <v>0</v>
      </c>
    </row>
    <row r="81" spans="1:9" ht="15.75" customHeight="1">
      <c r="A81" s="140" t="s">
        <v>156</v>
      </c>
      <c r="B81" s="141"/>
      <c r="C81" s="141"/>
      <c r="D81" s="141"/>
      <c r="E81" s="141"/>
      <c r="F81" s="141"/>
      <c r="G81" s="141"/>
      <c r="H81" s="141"/>
      <c r="I81" s="142"/>
    </row>
    <row r="82" spans="1:9" ht="15.75" customHeight="1">
      <c r="A82" s="30">
        <v>15</v>
      </c>
      <c r="B82" s="82" t="s">
        <v>146</v>
      </c>
      <c r="C82" s="16" t="s">
        <v>59</v>
      </c>
      <c r="D82" s="103" t="s">
        <v>60</v>
      </c>
      <c r="E82" s="13">
        <v>4591.2</v>
      </c>
      <c r="F82" s="13">
        <f>SUM(E82*12)</f>
        <v>55094.399999999994</v>
      </c>
      <c r="G82" s="13">
        <v>2.54</v>
      </c>
      <c r="H82" s="99">
        <f>SUM(F82*G82/1000)</f>
        <v>139.93977599999999</v>
      </c>
      <c r="I82" s="13">
        <f>F82/12*G82</f>
        <v>11661.647999999999</v>
      </c>
    </row>
    <row r="83" spans="1:9" ht="31.5" customHeight="1">
      <c r="A83" s="30">
        <v>16</v>
      </c>
      <c r="B83" s="14" t="s">
        <v>83</v>
      </c>
      <c r="C83" s="16"/>
      <c r="D83" s="103" t="s">
        <v>60</v>
      </c>
      <c r="E83" s="56">
        <f>E82</f>
        <v>4591.2</v>
      </c>
      <c r="F83" s="13">
        <f>E83*12</f>
        <v>55094.399999999994</v>
      </c>
      <c r="G83" s="13">
        <v>2.0499999999999998</v>
      </c>
      <c r="H83" s="99">
        <f>F83*G83/1000</f>
        <v>112.94351999999998</v>
      </c>
      <c r="I83" s="13">
        <f>F83/12*G83</f>
        <v>9411.9599999999991</v>
      </c>
    </row>
    <row r="84" spans="1:9" ht="15.75" customHeight="1">
      <c r="A84" s="112"/>
      <c r="B84" s="40" t="s">
        <v>86</v>
      </c>
      <c r="C84" s="42"/>
      <c r="D84" s="15"/>
      <c r="E84" s="15"/>
      <c r="F84" s="15"/>
      <c r="G84" s="19"/>
      <c r="H84" s="19"/>
      <c r="I84" s="33">
        <f>SUM(I16+I17+I18+I20+I26+I27+I38+I39+I41+I42+I44+I51+I58+I61+I82+I83)</f>
        <v>88401.800704249996</v>
      </c>
    </row>
    <row r="85" spans="1:9" ht="15.75" customHeight="1">
      <c r="A85" s="137" t="s">
        <v>65</v>
      </c>
      <c r="B85" s="138"/>
      <c r="C85" s="138"/>
      <c r="D85" s="138"/>
      <c r="E85" s="138"/>
      <c r="F85" s="138"/>
      <c r="G85" s="138"/>
      <c r="H85" s="138"/>
      <c r="I85" s="139"/>
    </row>
    <row r="86" spans="1:9" ht="31.5" customHeight="1">
      <c r="A86" s="30">
        <v>17</v>
      </c>
      <c r="B86" s="115" t="s">
        <v>175</v>
      </c>
      <c r="C86" s="116" t="s">
        <v>40</v>
      </c>
      <c r="D86" s="49"/>
      <c r="E86" s="37"/>
      <c r="F86" s="37">
        <v>0.11</v>
      </c>
      <c r="G86" s="37">
        <v>3581.13</v>
      </c>
      <c r="H86" s="117">
        <f t="shared" ref="H86:H90" si="8">G86*F86/1000</f>
        <v>0.39392430000000001</v>
      </c>
      <c r="I86" s="13">
        <f>G86*0.02</f>
        <v>71.622600000000006</v>
      </c>
    </row>
    <row r="87" spans="1:9" ht="31.5" customHeight="1">
      <c r="A87" s="30">
        <v>18</v>
      </c>
      <c r="B87" s="57" t="s">
        <v>85</v>
      </c>
      <c r="C87" s="55" t="s">
        <v>136</v>
      </c>
      <c r="D87" s="49"/>
      <c r="E87" s="37"/>
      <c r="F87" s="37">
        <v>5</v>
      </c>
      <c r="G87" s="37">
        <v>83.36</v>
      </c>
      <c r="H87" s="117">
        <f t="shared" si="8"/>
        <v>0.4168</v>
      </c>
      <c r="I87" s="13">
        <f>G87</f>
        <v>83.36</v>
      </c>
    </row>
    <row r="88" spans="1:9" ht="15.75" customHeight="1">
      <c r="A88" s="30">
        <v>19</v>
      </c>
      <c r="B88" s="49" t="s">
        <v>94</v>
      </c>
      <c r="C88" s="16" t="s">
        <v>109</v>
      </c>
      <c r="D88" s="118"/>
      <c r="E88" s="37"/>
      <c r="F88" s="37">
        <v>16</v>
      </c>
      <c r="G88" s="37">
        <v>1582</v>
      </c>
      <c r="H88" s="117">
        <f t="shared" si="8"/>
        <v>25.312000000000001</v>
      </c>
      <c r="I88" s="13">
        <f>G88*(3.5+2.5)</f>
        <v>9492</v>
      </c>
    </row>
    <row r="89" spans="1:9" ht="15.75" customHeight="1">
      <c r="A89" s="30">
        <v>20</v>
      </c>
      <c r="B89" s="115" t="s">
        <v>230</v>
      </c>
      <c r="C89" s="116" t="s">
        <v>136</v>
      </c>
      <c r="D89" s="49"/>
      <c r="E89" s="37"/>
      <c r="F89" s="37">
        <v>2</v>
      </c>
      <c r="G89" s="37">
        <v>510.84</v>
      </c>
      <c r="H89" s="117">
        <f t="shared" si="8"/>
        <v>1.0216799999999999</v>
      </c>
      <c r="I89" s="13">
        <f>G89</f>
        <v>510.84</v>
      </c>
    </row>
    <row r="90" spans="1:9" ht="15.75" customHeight="1">
      <c r="A90" s="30">
        <v>21</v>
      </c>
      <c r="B90" s="53" t="s">
        <v>283</v>
      </c>
      <c r="C90" s="58" t="s">
        <v>34</v>
      </c>
      <c r="D90" s="120"/>
      <c r="E90" s="18"/>
      <c r="F90" s="37">
        <f>(14.6+11.12+34.24+33.55)-(12.79*6)</f>
        <v>16.769999999999996</v>
      </c>
      <c r="G90" s="37">
        <v>44.31</v>
      </c>
      <c r="H90" s="37">
        <f t="shared" si="8"/>
        <v>0.74307869999999987</v>
      </c>
      <c r="I90" s="13">
        <f>G90*F90</f>
        <v>743.07869999999991</v>
      </c>
    </row>
    <row r="91" spans="1:9" ht="15.75" customHeight="1">
      <c r="A91" s="30"/>
      <c r="B91" s="47" t="s">
        <v>54</v>
      </c>
      <c r="C91" s="43"/>
      <c r="D91" s="51"/>
      <c r="E91" s="43">
        <v>1</v>
      </c>
      <c r="F91" s="43"/>
      <c r="G91" s="43"/>
      <c r="H91" s="43"/>
      <c r="I91" s="33">
        <f>SUM(I86:I90)</f>
        <v>10900.9013</v>
      </c>
    </row>
    <row r="92" spans="1:9" ht="15.75" customHeight="1">
      <c r="A92" s="30"/>
      <c r="B92" s="49" t="s">
        <v>84</v>
      </c>
      <c r="C92" s="15"/>
      <c r="D92" s="15"/>
      <c r="E92" s="44"/>
      <c r="F92" s="44"/>
      <c r="G92" s="45"/>
      <c r="H92" s="45"/>
      <c r="I92" s="18">
        <v>0</v>
      </c>
    </row>
    <row r="93" spans="1:9" ht="15.75" customHeight="1">
      <c r="A93" s="52"/>
      <c r="B93" s="48" t="s">
        <v>55</v>
      </c>
      <c r="C93" s="36"/>
      <c r="D93" s="36"/>
      <c r="E93" s="36"/>
      <c r="F93" s="36"/>
      <c r="G93" s="36"/>
      <c r="H93" s="36"/>
      <c r="I93" s="46">
        <f>I84+I91</f>
        <v>99302.702004249993</v>
      </c>
    </row>
    <row r="94" spans="1:9" ht="15.75" customHeight="1">
      <c r="A94" s="134" t="s">
        <v>284</v>
      </c>
      <c r="B94" s="134"/>
      <c r="C94" s="134"/>
      <c r="D94" s="134"/>
      <c r="E94" s="134"/>
      <c r="F94" s="134"/>
      <c r="G94" s="134"/>
      <c r="H94" s="134"/>
      <c r="I94" s="134"/>
    </row>
    <row r="95" spans="1:9" ht="15.75" customHeight="1">
      <c r="A95" s="65"/>
      <c r="B95" s="135" t="s">
        <v>285</v>
      </c>
      <c r="C95" s="135"/>
      <c r="D95" s="135"/>
      <c r="E95" s="135"/>
      <c r="F95" s="135"/>
      <c r="G95" s="135"/>
      <c r="H95" s="80"/>
      <c r="I95" s="3"/>
    </row>
    <row r="96" spans="1:9" ht="15.75" customHeight="1">
      <c r="A96" s="110"/>
      <c r="B96" s="125" t="s">
        <v>6</v>
      </c>
      <c r="C96" s="125"/>
      <c r="D96" s="125"/>
      <c r="E96" s="125"/>
      <c r="F96" s="125"/>
      <c r="G96" s="125"/>
      <c r="H96" s="25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36" t="s">
        <v>7</v>
      </c>
      <c r="B98" s="136"/>
      <c r="C98" s="136"/>
      <c r="D98" s="136"/>
      <c r="E98" s="136"/>
      <c r="F98" s="136"/>
      <c r="G98" s="136"/>
      <c r="H98" s="136"/>
      <c r="I98" s="136"/>
    </row>
    <row r="99" spans="1:9" ht="15.75" customHeight="1">
      <c r="A99" s="136" t="s">
        <v>8</v>
      </c>
      <c r="B99" s="136"/>
      <c r="C99" s="136"/>
      <c r="D99" s="136"/>
      <c r="E99" s="136"/>
      <c r="F99" s="136"/>
      <c r="G99" s="136"/>
      <c r="H99" s="136"/>
      <c r="I99" s="136"/>
    </row>
    <row r="100" spans="1:9" ht="15.75" customHeight="1">
      <c r="A100" s="129" t="s">
        <v>66</v>
      </c>
      <c r="B100" s="129"/>
      <c r="C100" s="129"/>
      <c r="D100" s="129"/>
      <c r="E100" s="129"/>
      <c r="F100" s="129"/>
      <c r="G100" s="129"/>
      <c r="H100" s="129"/>
      <c r="I100" s="129"/>
    </row>
    <row r="101" spans="1:9" ht="15.75" customHeight="1">
      <c r="A101" s="11"/>
    </row>
    <row r="102" spans="1:9" ht="15.75" customHeight="1">
      <c r="A102" s="123" t="s">
        <v>9</v>
      </c>
      <c r="B102" s="123"/>
      <c r="C102" s="123"/>
      <c r="D102" s="123"/>
      <c r="E102" s="123"/>
      <c r="F102" s="123"/>
      <c r="G102" s="123"/>
      <c r="H102" s="123"/>
      <c r="I102" s="123"/>
    </row>
    <row r="103" spans="1:9" ht="15.75" customHeight="1">
      <c r="A103" s="4"/>
    </row>
    <row r="104" spans="1:9" ht="15.75" customHeight="1">
      <c r="B104" s="111" t="s">
        <v>10</v>
      </c>
      <c r="C104" s="124" t="s">
        <v>97</v>
      </c>
      <c r="D104" s="124"/>
      <c r="E104" s="124"/>
      <c r="F104" s="78"/>
      <c r="I104" s="109"/>
    </row>
    <row r="105" spans="1:9" ht="15.75" customHeight="1">
      <c r="A105" s="110"/>
      <c r="C105" s="125" t="s">
        <v>11</v>
      </c>
      <c r="D105" s="125"/>
      <c r="E105" s="125"/>
      <c r="F105" s="25"/>
      <c r="I105" s="108" t="s">
        <v>12</v>
      </c>
    </row>
    <row r="106" spans="1:9" ht="15.75" customHeight="1">
      <c r="A106" s="26"/>
      <c r="C106" s="12"/>
      <c r="D106" s="12"/>
      <c r="G106" s="12"/>
      <c r="H106" s="12"/>
    </row>
    <row r="107" spans="1:9" ht="15.75" customHeight="1">
      <c r="B107" s="111" t="s">
        <v>13</v>
      </c>
      <c r="C107" s="126"/>
      <c r="D107" s="126"/>
      <c r="E107" s="126"/>
      <c r="F107" s="79"/>
      <c r="I107" s="109"/>
    </row>
    <row r="108" spans="1:9" ht="15.75" customHeight="1">
      <c r="A108" s="110"/>
      <c r="C108" s="127" t="s">
        <v>11</v>
      </c>
      <c r="D108" s="127"/>
      <c r="E108" s="127"/>
      <c r="F108" s="110"/>
      <c r="I108" s="108" t="s">
        <v>12</v>
      </c>
    </row>
    <row r="109" spans="1:9" ht="15.75" customHeight="1">
      <c r="A109" s="4" t="s">
        <v>14</v>
      </c>
    </row>
    <row r="110" spans="1:9" ht="15.75" customHeight="1">
      <c r="A110" s="128" t="s">
        <v>15</v>
      </c>
      <c r="B110" s="128"/>
      <c r="C110" s="128"/>
      <c r="D110" s="128"/>
      <c r="E110" s="128"/>
      <c r="F110" s="128"/>
      <c r="G110" s="128"/>
      <c r="H110" s="128"/>
      <c r="I110" s="128"/>
    </row>
    <row r="111" spans="1:9" ht="45" customHeight="1">
      <c r="A111" s="122" t="s">
        <v>16</v>
      </c>
      <c r="B111" s="122"/>
      <c r="C111" s="122"/>
      <c r="D111" s="122"/>
      <c r="E111" s="122"/>
      <c r="F111" s="122"/>
      <c r="G111" s="122"/>
      <c r="H111" s="122"/>
      <c r="I111" s="122"/>
    </row>
    <row r="112" spans="1:9" ht="30" customHeight="1">
      <c r="A112" s="122" t="s">
        <v>17</v>
      </c>
      <c r="B112" s="122"/>
      <c r="C112" s="122"/>
      <c r="D112" s="122"/>
      <c r="E112" s="122"/>
      <c r="F112" s="122"/>
      <c r="G112" s="122"/>
      <c r="H112" s="122"/>
      <c r="I112" s="122"/>
    </row>
    <row r="113" spans="1:9" ht="30" customHeight="1">
      <c r="A113" s="122" t="s">
        <v>21</v>
      </c>
      <c r="B113" s="122"/>
      <c r="C113" s="122"/>
      <c r="D113" s="122"/>
      <c r="E113" s="122"/>
      <c r="F113" s="122"/>
      <c r="G113" s="122"/>
      <c r="H113" s="122"/>
      <c r="I113" s="122"/>
    </row>
    <row r="114" spans="1:9" ht="15" customHeight="1">
      <c r="A114" s="122" t="s">
        <v>20</v>
      </c>
      <c r="B114" s="122"/>
      <c r="C114" s="122"/>
      <c r="D114" s="122"/>
      <c r="E114" s="122"/>
      <c r="F114" s="122"/>
      <c r="G114" s="122"/>
      <c r="H114" s="122"/>
      <c r="I114" s="122"/>
    </row>
  </sheetData>
  <autoFilter ref="I12:I62"/>
  <mergeCells count="29"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6:I56"/>
    <mergeCell ref="R67:U67"/>
    <mergeCell ref="C108:E108"/>
    <mergeCell ref="A85:I85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110:I110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92</v>
      </c>
      <c r="I1" s="27"/>
      <c r="J1" s="1"/>
      <c r="K1" s="1"/>
      <c r="L1" s="1"/>
      <c r="M1" s="1"/>
    </row>
    <row r="2" spans="1:13" ht="15.75" customHeight="1">
      <c r="A2" s="29" t="s">
        <v>67</v>
      </c>
      <c r="J2" s="2"/>
      <c r="K2" s="2"/>
      <c r="L2" s="2"/>
      <c r="M2" s="2"/>
    </row>
    <row r="3" spans="1:13" ht="15.75" customHeight="1">
      <c r="A3" s="143" t="s">
        <v>184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147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208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 customHeight="1">
      <c r="A6" s="2"/>
      <c r="B6" s="63"/>
      <c r="C6" s="63"/>
      <c r="D6" s="63"/>
      <c r="E6" s="63"/>
      <c r="F6" s="63"/>
      <c r="G6" s="63"/>
      <c r="H6" s="63"/>
      <c r="I6" s="31">
        <v>42794</v>
      </c>
      <c r="J6" s="2"/>
      <c r="K6" s="2"/>
      <c r="L6" s="2"/>
      <c r="M6" s="2"/>
    </row>
    <row r="7" spans="1:13" ht="15.75" customHeight="1">
      <c r="B7" s="62"/>
      <c r="C7" s="62"/>
      <c r="D7" s="6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158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276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64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30" t="s">
        <v>4</v>
      </c>
      <c r="B15" s="130"/>
      <c r="C15" s="130"/>
      <c r="D15" s="130"/>
      <c r="E15" s="130"/>
      <c r="F15" s="130"/>
      <c r="G15" s="130"/>
      <c r="H15" s="130"/>
      <c r="I15" s="130"/>
      <c r="J15" s="8"/>
      <c r="K15" s="8"/>
      <c r="L15" s="8"/>
      <c r="M15" s="8"/>
    </row>
    <row r="16" spans="1:13" ht="15.75" customHeight="1">
      <c r="A16" s="30">
        <v>1</v>
      </c>
      <c r="B16" s="82" t="s">
        <v>93</v>
      </c>
      <c r="C16" s="83" t="s">
        <v>116</v>
      </c>
      <c r="D16" s="82" t="s">
        <v>117</v>
      </c>
      <c r="E16" s="56">
        <v>127.9</v>
      </c>
      <c r="F16" s="84">
        <f>SUM(E16*156/100)</f>
        <v>199.524</v>
      </c>
      <c r="G16" s="84">
        <v>187.48</v>
      </c>
      <c r="H16" s="85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82" t="s">
        <v>102</v>
      </c>
      <c r="C17" s="83" t="s">
        <v>116</v>
      </c>
      <c r="D17" s="82" t="s">
        <v>181</v>
      </c>
      <c r="E17" s="56">
        <v>511.6</v>
      </c>
      <c r="F17" s="84">
        <f>SUM(E17*104/100)</f>
        <v>532.06399999999996</v>
      </c>
      <c r="G17" s="84">
        <v>185.48</v>
      </c>
      <c r="H17" s="85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82" t="s">
        <v>103</v>
      </c>
      <c r="C18" s="83" t="s">
        <v>116</v>
      </c>
      <c r="D18" s="82" t="s">
        <v>118</v>
      </c>
      <c r="E18" s="56">
        <f>SUM(E16+E17)</f>
        <v>639.5</v>
      </c>
      <c r="F18" s="84">
        <f>SUM(E18*24/100)</f>
        <v>153.47999999999999</v>
      </c>
      <c r="G18" s="84">
        <v>539.30999999999995</v>
      </c>
      <c r="H18" s="85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82" t="s">
        <v>119</v>
      </c>
      <c r="C19" s="83" t="s">
        <v>120</v>
      </c>
      <c r="D19" s="82" t="s">
        <v>121</v>
      </c>
      <c r="E19" s="56">
        <v>38.4</v>
      </c>
      <c r="F19" s="84">
        <f>SUM(E19/10)</f>
        <v>3.84</v>
      </c>
      <c r="G19" s="84">
        <v>181.91</v>
      </c>
      <c r="H19" s="85">
        <f t="shared" si="0"/>
        <v>0.6985344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82" t="s">
        <v>107</v>
      </c>
      <c r="C20" s="83" t="s">
        <v>116</v>
      </c>
      <c r="D20" s="82" t="s">
        <v>30</v>
      </c>
      <c r="E20" s="56">
        <v>58.4</v>
      </c>
      <c r="F20" s="84">
        <f>SUM(E20*12/100)</f>
        <v>7.0079999999999991</v>
      </c>
      <c r="G20" s="84">
        <v>232.92</v>
      </c>
      <c r="H20" s="85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hidden="1" customHeight="1">
      <c r="A21" s="30">
        <v>5</v>
      </c>
      <c r="B21" s="82" t="s">
        <v>108</v>
      </c>
      <c r="C21" s="83" t="s">
        <v>116</v>
      </c>
      <c r="D21" s="82" t="s">
        <v>115</v>
      </c>
      <c r="E21" s="56">
        <v>9.08</v>
      </c>
      <c r="F21" s="84">
        <f>SUM(E21*6/100)</f>
        <v>0.54480000000000006</v>
      </c>
      <c r="G21" s="84">
        <v>231.03</v>
      </c>
      <c r="H21" s="85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82" t="s">
        <v>122</v>
      </c>
      <c r="C22" s="83" t="s">
        <v>56</v>
      </c>
      <c r="D22" s="82" t="s">
        <v>121</v>
      </c>
      <c r="E22" s="56">
        <v>714</v>
      </c>
      <c r="F22" s="84">
        <f>SUM(E22/100)</f>
        <v>7.14</v>
      </c>
      <c r="G22" s="84">
        <v>287.83999999999997</v>
      </c>
      <c r="H22" s="85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82" t="s">
        <v>123</v>
      </c>
      <c r="C23" s="83" t="s">
        <v>56</v>
      </c>
      <c r="D23" s="82" t="s">
        <v>121</v>
      </c>
      <c r="E23" s="77">
        <v>96.6</v>
      </c>
      <c r="F23" s="84">
        <f>SUM(E23/100)</f>
        <v>0.96599999999999997</v>
      </c>
      <c r="G23" s="84">
        <v>47.34</v>
      </c>
      <c r="H23" s="85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82" t="s">
        <v>110</v>
      </c>
      <c r="C24" s="83" t="s">
        <v>56</v>
      </c>
      <c r="D24" s="82" t="s">
        <v>121</v>
      </c>
      <c r="E24" s="19">
        <v>40</v>
      </c>
      <c r="F24" s="86">
        <v>4.8</v>
      </c>
      <c r="G24" s="84">
        <v>416.62</v>
      </c>
      <c r="H24" s="85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82" t="s">
        <v>111</v>
      </c>
      <c r="C25" s="83" t="s">
        <v>56</v>
      </c>
      <c r="D25" s="82" t="s">
        <v>121</v>
      </c>
      <c r="E25" s="56">
        <v>17</v>
      </c>
      <c r="F25" s="84">
        <f>SUM(E25/100)</f>
        <v>0.17</v>
      </c>
      <c r="G25" s="84">
        <v>556.74</v>
      </c>
      <c r="H25" s="85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customHeight="1">
      <c r="A26" s="30">
        <v>5</v>
      </c>
      <c r="B26" s="82" t="s">
        <v>69</v>
      </c>
      <c r="C26" s="83" t="s">
        <v>34</v>
      </c>
      <c r="D26" s="82" t="s">
        <v>161</v>
      </c>
      <c r="E26" s="56">
        <v>0.1</v>
      </c>
      <c r="F26" s="84">
        <f>SUM(E26*365)</f>
        <v>36.5</v>
      </c>
      <c r="G26" s="84">
        <v>157.18</v>
      </c>
      <c r="H26" s="85">
        <f>SUM(F26*G26/1000)</f>
        <v>5.737070000000001</v>
      </c>
      <c r="I26" s="13">
        <f>F26/12*G26</f>
        <v>478.08916666666664</v>
      </c>
      <c r="J26" s="24"/>
    </row>
    <row r="27" spans="1:13" ht="15.75" customHeight="1">
      <c r="A27" s="30">
        <v>6</v>
      </c>
      <c r="B27" s="90" t="s">
        <v>23</v>
      </c>
      <c r="C27" s="83" t="s">
        <v>24</v>
      </c>
      <c r="D27" s="90" t="s">
        <v>161</v>
      </c>
      <c r="E27" s="56">
        <v>4591.2</v>
      </c>
      <c r="F27" s="84">
        <f>SUM(E27*12)</f>
        <v>55094.399999999994</v>
      </c>
      <c r="G27" s="84">
        <v>5.85</v>
      </c>
      <c r="H27" s="85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30" t="s">
        <v>91</v>
      </c>
      <c r="B28" s="130"/>
      <c r="C28" s="130"/>
      <c r="D28" s="130"/>
      <c r="E28" s="130"/>
      <c r="F28" s="130"/>
      <c r="G28" s="130"/>
      <c r="H28" s="130"/>
      <c r="I28" s="130"/>
      <c r="J28" s="23"/>
      <c r="K28" s="8"/>
      <c r="L28" s="8"/>
      <c r="M28" s="8"/>
    </row>
    <row r="29" spans="1:13" ht="15.75" hidden="1" customHeight="1">
      <c r="A29" s="30"/>
      <c r="B29" s="106" t="s">
        <v>28</v>
      </c>
      <c r="C29" s="83"/>
      <c r="D29" s="82"/>
      <c r="E29" s="56"/>
      <c r="F29" s="84"/>
      <c r="G29" s="84"/>
      <c r="H29" s="85"/>
      <c r="I29" s="13"/>
      <c r="J29" s="23"/>
      <c r="K29" s="8"/>
      <c r="L29" s="8"/>
      <c r="M29" s="8"/>
    </row>
    <row r="30" spans="1:13" ht="15.75" hidden="1" customHeight="1">
      <c r="A30" s="30">
        <v>7</v>
      </c>
      <c r="B30" s="82" t="s">
        <v>124</v>
      </c>
      <c r="C30" s="83" t="s">
        <v>125</v>
      </c>
      <c r="D30" s="82" t="s">
        <v>126</v>
      </c>
      <c r="E30" s="84">
        <v>844.95</v>
      </c>
      <c r="F30" s="84">
        <f>SUM(E30*52/1000)</f>
        <v>43.937400000000004</v>
      </c>
      <c r="G30" s="84">
        <v>166.65</v>
      </c>
      <c r="H30" s="85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hidden="1" customHeight="1">
      <c r="A31" s="30">
        <v>8</v>
      </c>
      <c r="B31" s="82" t="s">
        <v>182</v>
      </c>
      <c r="C31" s="83" t="s">
        <v>125</v>
      </c>
      <c r="D31" s="82" t="s">
        <v>127</v>
      </c>
      <c r="E31" s="84">
        <v>260.13</v>
      </c>
      <c r="F31" s="84">
        <f>SUM(E31*78/1000)</f>
        <v>20.290140000000001</v>
      </c>
      <c r="G31" s="84">
        <v>276.48</v>
      </c>
      <c r="H31" s="85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82" t="s">
        <v>27</v>
      </c>
      <c r="C32" s="83" t="s">
        <v>125</v>
      </c>
      <c r="D32" s="82" t="s">
        <v>57</v>
      </c>
      <c r="E32" s="84">
        <v>844.95</v>
      </c>
      <c r="F32" s="84">
        <f>SUM(E32/1000)</f>
        <v>0.84495000000000009</v>
      </c>
      <c r="G32" s="84">
        <v>3228.73</v>
      </c>
      <c r="H32" s="85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hidden="1" customHeight="1">
      <c r="A33" s="30">
        <v>9</v>
      </c>
      <c r="B33" s="82" t="s">
        <v>160</v>
      </c>
      <c r="C33" s="83" t="s">
        <v>42</v>
      </c>
      <c r="D33" s="82" t="s">
        <v>68</v>
      </c>
      <c r="E33" s="84">
        <v>8</v>
      </c>
      <c r="F33" s="84">
        <v>12.4</v>
      </c>
      <c r="G33" s="84">
        <v>1391.86</v>
      </c>
      <c r="H33" s="85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hidden="1" customHeight="1">
      <c r="A34" s="30">
        <v>10</v>
      </c>
      <c r="B34" s="82" t="s">
        <v>128</v>
      </c>
      <c r="C34" s="83" t="s">
        <v>31</v>
      </c>
      <c r="D34" s="82" t="s">
        <v>68</v>
      </c>
      <c r="E34" s="89">
        <v>0.33333333333333331</v>
      </c>
      <c r="F34" s="84">
        <f>155/3</f>
        <v>51.666666666666664</v>
      </c>
      <c r="G34" s="84">
        <v>60.6</v>
      </c>
      <c r="H34" s="85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82" t="s">
        <v>70</v>
      </c>
      <c r="C35" s="83" t="s">
        <v>34</v>
      </c>
      <c r="D35" s="82" t="s">
        <v>72</v>
      </c>
      <c r="E35" s="56"/>
      <c r="F35" s="84">
        <v>3</v>
      </c>
      <c r="G35" s="84">
        <v>204.32</v>
      </c>
      <c r="H35" s="85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82" t="s">
        <v>71</v>
      </c>
      <c r="C36" s="83" t="s">
        <v>33</v>
      </c>
      <c r="D36" s="82" t="s">
        <v>72</v>
      </c>
      <c r="E36" s="56"/>
      <c r="F36" s="84">
        <v>2</v>
      </c>
      <c r="G36" s="84">
        <v>1214.73</v>
      </c>
      <c r="H36" s="85">
        <f t="shared" si="1"/>
        <v>2.4294600000000002</v>
      </c>
      <c r="I36" s="13">
        <v>0</v>
      </c>
      <c r="J36" s="24"/>
    </row>
    <row r="37" spans="1:14" ht="15.75" customHeight="1">
      <c r="A37" s="30"/>
      <c r="B37" s="106" t="s">
        <v>5</v>
      </c>
      <c r="C37" s="83"/>
      <c r="D37" s="82"/>
      <c r="E37" s="56"/>
      <c r="F37" s="84"/>
      <c r="G37" s="84"/>
      <c r="H37" s="85" t="s">
        <v>144</v>
      </c>
      <c r="I37" s="13"/>
      <c r="J37" s="24"/>
    </row>
    <row r="38" spans="1:14" ht="15.75" customHeight="1">
      <c r="A38" s="30">
        <v>7</v>
      </c>
      <c r="B38" s="82" t="s">
        <v>26</v>
      </c>
      <c r="C38" s="83" t="s">
        <v>33</v>
      </c>
      <c r="D38" s="82"/>
      <c r="E38" s="56"/>
      <c r="F38" s="84">
        <v>10</v>
      </c>
      <c r="G38" s="84">
        <v>1632.6</v>
      </c>
      <c r="H38" s="85">
        <f t="shared" ref="H38:H44" si="3">SUM(F38*G38/1000)</f>
        <v>16.326000000000001</v>
      </c>
      <c r="I38" s="13">
        <f>F38/6*G38</f>
        <v>2721</v>
      </c>
      <c r="J38" s="24"/>
    </row>
    <row r="39" spans="1:14" ht="15.75" customHeight="1">
      <c r="A39" s="30">
        <v>8</v>
      </c>
      <c r="B39" s="82" t="s">
        <v>162</v>
      </c>
      <c r="C39" s="83" t="s">
        <v>29</v>
      </c>
      <c r="D39" s="82" t="s">
        <v>129</v>
      </c>
      <c r="E39" s="84">
        <v>254.8</v>
      </c>
      <c r="F39" s="84">
        <f>SUM(E39*30/1000)</f>
        <v>7.6440000000000001</v>
      </c>
      <c r="G39" s="84">
        <v>2247.8000000000002</v>
      </c>
      <c r="H39" s="85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82" t="s">
        <v>104</v>
      </c>
      <c r="C40" s="83" t="s">
        <v>130</v>
      </c>
      <c r="D40" s="82" t="s">
        <v>72</v>
      </c>
      <c r="E40" s="56"/>
      <c r="F40" s="84">
        <v>40</v>
      </c>
      <c r="G40" s="84">
        <v>213.2</v>
      </c>
      <c r="H40" s="85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customHeight="1">
      <c r="A41" s="30">
        <v>9</v>
      </c>
      <c r="B41" s="82" t="s">
        <v>73</v>
      </c>
      <c r="C41" s="83" t="s">
        <v>29</v>
      </c>
      <c r="D41" s="82" t="s">
        <v>131</v>
      </c>
      <c r="E41" s="84">
        <v>260.13</v>
      </c>
      <c r="F41" s="84">
        <f>SUM(E41*155/1000)</f>
        <v>40.320149999999998</v>
      </c>
      <c r="G41" s="84">
        <v>374.95</v>
      </c>
      <c r="H41" s="85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customHeight="1">
      <c r="A42" s="30">
        <v>10</v>
      </c>
      <c r="B42" s="82" t="s">
        <v>89</v>
      </c>
      <c r="C42" s="83" t="s">
        <v>125</v>
      </c>
      <c r="D42" s="82" t="s">
        <v>132</v>
      </c>
      <c r="E42" s="84">
        <v>132.72999999999999</v>
      </c>
      <c r="F42" s="84">
        <f>SUM(E42*35/1000)</f>
        <v>4.6455499999999992</v>
      </c>
      <c r="G42" s="84">
        <v>6203.7</v>
      </c>
      <c r="H42" s="85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hidden="1" customHeight="1">
      <c r="A43" s="30">
        <v>11</v>
      </c>
      <c r="B43" s="82" t="s">
        <v>133</v>
      </c>
      <c r="C43" s="83" t="s">
        <v>125</v>
      </c>
      <c r="D43" s="82" t="s">
        <v>74</v>
      </c>
      <c r="E43" s="84">
        <v>254.8</v>
      </c>
      <c r="F43" s="84">
        <f>SUM(E43*45/1000)</f>
        <v>11.465999999999999</v>
      </c>
      <c r="G43" s="84">
        <v>458.28</v>
      </c>
      <c r="H43" s="85">
        <f t="shared" si="3"/>
        <v>5.2546384799999997</v>
      </c>
      <c r="I43" s="13">
        <f>F43/6*G43</f>
        <v>875.77307999999982</v>
      </c>
      <c r="J43" s="24"/>
      <c r="L43" s="20"/>
      <c r="M43" s="21"/>
      <c r="N43" s="22"/>
    </row>
    <row r="44" spans="1:14" ht="15.75" customHeight="1">
      <c r="A44" s="30">
        <v>11</v>
      </c>
      <c r="B44" s="82" t="s">
        <v>75</v>
      </c>
      <c r="C44" s="83" t="s">
        <v>34</v>
      </c>
      <c r="D44" s="82"/>
      <c r="E44" s="56"/>
      <c r="F44" s="84">
        <v>0.9</v>
      </c>
      <c r="G44" s="84">
        <v>853.06</v>
      </c>
      <c r="H44" s="85">
        <f t="shared" si="3"/>
        <v>0.76775400000000005</v>
      </c>
      <c r="I44" s="13">
        <f>F44/6*G44</f>
        <v>127.95899999999999</v>
      </c>
      <c r="J44" s="24"/>
      <c r="L44" s="20"/>
      <c r="M44" s="21"/>
      <c r="N44" s="22"/>
    </row>
    <row r="45" spans="1:14" ht="15.75" customHeight="1">
      <c r="A45" s="131" t="s">
        <v>154</v>
      </c>
      <c r="B45" s="132"/>
      <c r="C45" s="132"/>
      <c r="D45" s="132"/>
      <c r="E45" s="132"/>
      <c r="F45" s="132"/>
      <c r="G45" s="132"/>
      <c r="H45" s="132"/>
      <c r="I45" s="133"/>
      <c r="J45" s="24"/>
      <c r="L45" s="20"/>
      <c r="M45" s="21"/>
      <c r="N45" s="22"/>
    </row>
    <row r="46" spans="1:14" ht="15.75" hidden="1" customHeight="1">
      <c r="A46" s="30"/>
      <c r="B46" s="82" t="s">
        <v>148</v>
      </c>
      <c r="C46" s="83" t="s">
        <v>125</v>
      </c>
      <c r="D46" s="82" t="s">
        <v>44</v>
      </c>
      <c r="E46" s="56">
        <v>1795.9</v>
      </c>
      <c r="F46" s="84">
        <f>SUM(E46*2/1000)</f>
        <v>3.5918000000000001</v>
      </c>
      <c r="G46" s="13">
        <v>865.61</v>
      </c>
      <c r="H46" s="85">
        <f t="shared" ref="H46:H55" si="4">SUM(F46*G46/1000)</f>
        <v>3.1090979980000002</v>
      </c>
      <c r="I46" s="13">
        <v>0</v>
      </c>
      <c r="J46" s="24"/>
      <c r="L46" s="20"/>
      <c r="M46" s="21"/>
      <c r="N46" s="22"/>
    </row>
    <row r="47" spans="1:14" ht="15.75" hidden="1" customHeight="1">
      <c r="A47" s="30"/>
      <c r="B47" s="82" t="s">
        <v>37</v>
      </c>
      <c r="C47" s="83" t="s">
        <v>125</v>
      </c>
      <c r="D47" s="82" t="s">
        <v>44</v>
      </c>
      <c r="E47" s="56">
        <v>104</v>
      </c>
      <c r="F47" s="84">
        <f>SUM(E47*2/1000)</f>
        <v>0.20799999999999999</v>
      </c>
      <c r="G47" s="13">
        <v>619.46</v>
      </c>
      <c r="H47" s="85">
        <f t="shared" si="4"/>
        <v>0.12884767999999999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30"/>
      <c r="B48" s="82" t="s">
        <v>38</v>
      </c>
      <c r="C48" s="83" t="s">
        <v>125</v>
      </c>
      <c r="D48" s="82" t="s">
        <v>44</v>
      </c>
      <c r="E48" s="56">
        <v>1996.87</v>
      </c>
      <c r="F48" s="84">
        <f>SUM(E48*2/1000)</f>
        <v>3.9937399999999998</v>
      </c>
      <c r="G48" s="13">
        <v>619.46</v>
      </c>
      <c r="H48" s="85">
        <f t="shared" si="4"/>
        <v>2.4739621804</v>
      </c>
      <c r="I48" s="13">
        <v>0</v>
      </c>
      <c r="J48" s="24"/>
      <c r="L48" s="20"/>
      <c r="M48" s="21"/>
      <c r="N48" s="22"/>
    </row>
    <row r="49" spans="1:22" ht="15.75" hidden="1" customHeight="1">
      <c r="A49" s="30"/>
      <c r="B49" s="82" t="s">
        <v>39</v>
      </c>
      <c r="C49" s="83" t="s">
        <v>125</v>
      </c>
      <c r="D49" s="82" t="s">
        <v>44</v>
      </c>
      <c r="E49" s="56">
        <v>2630.35</v>
      </c>
      <c r="F49" s="84">
        <f>SUM(E49*2/1000)</f>
        <v>5.2606999999999999</v>
      </c>
      <c r="G49" s="13">
        <v>648.64</v>
      </c>
      <c r="H49" s="85">
        <f t="shared" si="4"/>
        <v>3.4123004479999999</v>
      </c>
      <c r="I49" s="13">
        <v>0</v>
      </c>
      <c r="J49" s="24"/>
      <c r="L49" s="20"/>
      <c r="M49" s="21"/>
      <c r="N49" s="22"/>
    </row>
    <row r="50" spans="1:22" ht="15.75" hidden="1" customHeight="1">
      <c r="A50" s="30"/>
      <c r="B50" s="82" t="s">
        <v>35</v>
      </c>
      <c r="C50" s="83" t="s">
        <v>36</v>
      </c>
      <c r="D50" s="82" t="s">
        <v>44</v>
      </c>
      <c r="E50" s="56">
        <v>131.47</v>
      </c>
      <c r="F50" s="84">
        <f>SUM(E50*2/100)</f>
        <v>2.6294</v>
      </c>
      <c r="G50" s="13">
        <v>77.84</v>
      </c>
      <c r="H50" s="85">
        <f t="shared" si="4"/>
        <v>0.20467249599999998</v>
      </c>
      <c r="I50" s="13">
        <v>0</v>
      </c>
      <c r="J50" s="24"/>
      <c r="L50" s="20"/>
      <c r="M50" s="21"/>
      <c r="N50" s="22"/>
    </row>
    <row r="51" spans="1:22" ht="15.75" customHeight="1">
      <c r="A51" s="30">
        <v>12</v>
      </c>
      <c r="B51" s="82" t="s">
        <v>61</v>
      </c>
      <c r="C51" s="83" t="s">
        <v>125</v>
      </c>
      <c r="D51" s="82" t="s">
        <v>183</v>
      </c>
      <c r="E51" s="56">
        <v>2872.4</v>
      </c>
      <c r="F51" s="84">
        <f>SUM(E51*5/1000)</f>
        <v>14.362</v>
      </c>
      <c r="G51" s="13">
        <v>1297.28</v>
      </c>
      <c r="H51" s="85">
        <f t="shared" si="4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22" ht="31.5" hidden="1" customHeight="1">
      <c r="A52" s="30"/>
      <c r="B52" s="82" t="s">
        <v>134</v>
      </c>
      <c r="C52" s="83" t="s">
        <v>125</v>
      </c>
      <c r="D52" s="82" t="s">
        <v>44</v>
      </c>
      <c r="E52" s="56">
        <v>2872.4</v>
      </c>
      <c r="F52" s="84">
        <f>SUM(E52*2/1000)</f>
        <v>5.7448000000000006</v>
      </c>
      <c r="G52" s="13">
        <v>1297.28</v>
      </c>
      <c r="H52" s="85">
        <f t="shared" si="4"/>
        <v>7.4526141440000009</v>
      </c>
      <c r="I52" s="13">
        <v>0</v>
      </c>
      <c r="J52" s="24"/>
      <c r="L52" s="20"/>
      <c r="M52" s="21"/>
      <c r="N52" s="22"/>
    </row>
    <row r="53" spans="1:22" ht="31.5" hidden="1" customHeight="1">
      <c r="A53" s="30"/>
      <c r="B53" s="82" t="s">
        <v>135</v>
      </c>
      <c r="C53" s="83" t="s">
        <v>40</v>
      </c>
      <c r="D53" s="82" t="s">
        <v>44</v>
      </c>
      <c r="E53" s="56">
        <v>40</v>
      </c>
      <c r="F53" s="84">
        <f>SUM(E53*2/100)</f>
        <v>0.8</v>
      </c>
      <c r="G53" s="13">
        <v>2918.89</v>
      </c>
      <c r="H53" s="85">
        <f t="shared" si="4"/>
        <v>2.3351120000000001</v>
      </c>
      <c r="I53" s="13">
        <v>0</v>
      </c>
      <c r="J53" s="24"/>
      <c r="L53" s="20"/>
      <c r="M53" s="21"/>
      <c r="N53" s="22"/>
    </row>
    <row r="54" spans="1:22" ht="15.75" hidden="1" customHeight="1">
      <c r="A54" s="30"/>
      <c r="B54" s="82" t="s">
        <v>41</v>
      </c>
      <c r="C54" s="83" t="s">
        <v>42</v>
      </c>
      <c r="D54" s="82" t="s">
        <v>44</v>
      </c>
      <c r="E54" s="56">
        <v>1</v>
      </c>
      <c r="F54" s="84">
        <v>0.02</v>
      </c>
      <c r="G54" s="13">
        <v>6042.12</v>
      </c>
      <c r="H54" s="85">
        <f t="shared" si="4"/>
        <v>0.1208424</v>
      </c>
      <c r="I54" s="13">
        <v>0</v>
      </c>
      <c r="J54" s="24"/>
      <c r="L54" s="20"/>
      <c r="M54" s="21"/>
      <c r="N54" s="22"/>
    </row>
    <row r="55" spans="1:22" ht="15.75" hidden="1" customHeight="1">
      <c r="A55" s="30">
        <v>15</v>
      </c>
      <c r="B55" s="82" t="s">
        <v>43</v>
      </c>
      <c r="C55" s="83" t="s">
        <v>31</v>
      </c>
      <c r="D55" s="82" t="s">
        <v>76</v>
      </c>
      <c r="E55" s="56">
        <v>160</v>
      </c>
      <c r="F55" s="84">
        <f>SUM(E55)*3</f>
        <v>480</v>
      </c>
      <c r="G55" s="13">
        <v>70.209999999999994</v>
      </c>
      <c r="H55" s="85">
        <f t="shared" si="4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22" ht="15.75" customHeight="1">
      <c r="A56" s="131" t="s">
        <v>155</v>
      </c>
      <c r="B56" s="132"/>
      <c r="C56" s="132"/>
      <c r="D56" s="132"/>
      <c r="E56" s="132"/>
      <c r="F56" s="132"/>
      <c r="G56" s="132"/>
      <c r="H56" s="132"/>
      <c r="I56" s="133"/>
      <c r="J56" s="24"/>
      <c r="L56" s="20"/>
      <c r="M56" s="21"/>
      <c r="N56" s="22"/>
    </row>
    <row r="57" spans="1:22" ht="15.75" customHeight="1">
      <c r="A57" s="30"/>
      <c r="B57" s="106" t="s">
        <v>45</v>
      </c>
      <c r="C57" s="83"/>
      <c r="D57" s="82"/>
      <c r="E57" s="56"/>
      <c r="F57" s="84"/>
      <c r="G57" s="84"/>
      <c r="H57" s="85"/>
      <c r="I57" s="13"/>
      <c r="J57" s="24"/>
      <c r="L57" s="20"/>
      <c r="M57" s="21"/>
      <c r="N57" s="22"/>
    </row>
    <row r="58" spans="1:22" ht="31.5" customHeight="1">
      <c r="A58" s="30">
        <v>13</v>
      </c>
      <c r="B58" s="82" t="s">
        <v>137</v>
      </c>
      <c r="C58" s="83" t="s">
        <v>116</v>
      </c>
      <c r="D58" s="82" t="s">
        <v>77</v>
      </c>
      <c r="E58" s="56">
        <v>239.59</v>
      </c>
      <c r="F58" s="84">
        <f>E58*6/100</f>
        <v>14.375399999999999</v>
      </c>
      <c r="G58" s="91">
        <v>1654.04</v>
      </c>
      <c r="H58" s="85">
        <f>F58*G58/1000</f>
        <v>23.777486615999997</v>
      </c>
      <c r="I58" s="13">
        <f>F58/6*G58</f>
        <v>3962.9144359999996</v>
      </c>
      <c r="J58" s="24"/>
      <c r="L58" s="20"/>
      <c r="M58" s="21"/>
      <c r="N58" s="22"/>
    </row>
    <row r="59" spans="1:22" ht="15.75" customHeight="1">
      <c r="A59" s="30"/>
      <c r="B59" s="107" t="s">
        <v>46</v>
      </c>
      <c r="C59" s="92"/>
      <c r="D59" s="93"/>
      <c r="E59" s="94"/>
      <c r="F59" s="96"/>
      <c r="G59" s="13"/>
      <c r="H59" s="98"/>
      <c r="I59" s="13"/>
      <c r="J59" s="24"/>
      <c r="L59" s="20"/>
      <c r="M59" s="21"/>
      <c r="N59" s="22"/>
    </row>
    <row r="60" spans="1:22" ht="15.75" hidden="1" customHeight="1">
      <c r="A60" s="30"/>
      <c r="B60" s="93" t="s">
        <v>47</v>
      </c>
      <c r="C60" s="92" t="s">
        <v>56</v>
      </c>
      <c r="D60" s="93" t="s">
        <v>57</v>
      </c>
      <c r="E60" s="94">
        <v>2686</v>
      </c>
      <c r="F60" s="96">
        <f>E60/100</f>
        <v>26.86</v>
      </c>
      <c r="G60" s="13">
        <v>848.37</v>
      </c>
      <c r="H60" s="98">
        <f>G60*F60/1000</f>
        <v>22.787218199999998</v>
      </c>
      <c r="I60" s="13">
        <v>0</v>
      </c>
      <c r="J60" s="24"/>
      <c r="L60" s="20"/>
    </row>
    <row r="61" spans="1:22" ht="15.75" customHeight="1">
      <c r="A61" s="30">
        <v>14</v>
      </c>
      <c r="B61" s="93" t="s">
        <v>105</v>
      </c>
      <c r="C61" s="92" t="s">
        <v>25</v>
      </c>
      <c r="D61" s="93" t="s">
        <v>30</v>
      </c>
      <c r="E61" s="94">
        <v>343</v>
      </c>
      <c r="F61" s="96">
        <v>4116</v>
      </c>
      <c r="G61" s="13">
        <v>2.6</v>
      </c>
      <c r="H61" s="98">
        <f>F61*G61</f>
        <v>10701.6</v>
      </c>
      <c r="I61" s="13">
        <f>F61/12*G61</f>
        <v>891.80000000000007</v>
      </c>
    </row>
    <row r="62" spans="1:22" ht="15.75" hidden="1" customHeight="1">
      <c r="A62" s="30"/>
      <c r="B62" s="107" t="s">
        <v>149</v>
      </c>
      <c r="C62" s="92"/>
      <c r="D62" s="93"/>
      <c r="E62" s="94"/>
      <c r="F62" s="96"/>
      <c r="G62" s="13"/>
      <c r="H62" s="98"/>
      <c r="I62" s="13"/>
    </row>
    <row r="63" spans="1:22" ht="15.75" hidden="1" customHeight="1">
      <c r="A63" s="30"/>
      <c r="B63" s="93" t="s">
        <v>150</v>
      </c>
      <c r="C63" s="92" t="s">
        <v>31</v>
      </c>
      <c r="D63" s="93" t="s">
        <v>72</v>
      </c>
      <c r="E63" s="94">
        <v>3</v>
      </c>
      <c r="F63" s="95">
        <v>3</v>
      </c>
      <c r="G63" s="97">
        <v>254.16</v>
      </c>
      <c r="H63" s="96">
        <v>0.76200000000000001</v>
      </c>
      <c r="I63" s="13">
        <v>0</v>
      </c>
    </row>
    <row r="64" spans="1:22" ht="15.75" hidden="1" customHeight="1">
      <c r="A64" s="30"/>
      <c r="B64" s="107" t="s">
        <v>48</v>
      </c>
      <c r="C64" s="92"/>
      <c r="D64" s="93"/>
      <c r="E64" s="94"/>
      <c r="F64" s="95"/>
      <c r="G64" s="95"/>
      <c r="H64" s="96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0"/>
      <c r="B65" s="14" t="s">
        <v>49</v>
      </c>
      <c r="C65" s="16" t="s">
        <v>136</v>
      </c>
      <c r="D65" s="93" t="s">
        <v>72</v>
      </c>
      <c r="E65" s="19">
        <v>15</v>
      </c>
      <c r="F65" s="84">
        <v>15</v>
      </c>
      <c r="G65" s="13">
        <v>237.74</v>
      </c>
      <c r="H65" s="99">
        <f t="shared" ref="H65:H78" si="5">SUM(F65*G65/1000)</f>
        <v>3.5661000000000005</v>
      </c>
      <c r="I65" s="13">
        <v>0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14" t="s">
        <v>50</v>
      </c>
      <c r="C66" s="16" t="s">
        <v>136</v>
      </c>
      <c r="D66" s="93" t="s">
        <v>72</v>
      </c>
      <c r="E66" s="19">
        <v>5</v>
      </c>
      <c r="F66" s="84">
        <v>5</v>
      </c>
      <c r="G66" s="13">
        <v>81.510000000000005</v>
      </c>
      <c r="H66" s="99">
        <f t="shared" si="5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14" t="s">
        <v>51</v>
      </c>
      <c r="C67" s="16" t="s">
        <v>138</v>
      </c>
      <c r="D67" s="14" t="s">
        <v>57</v>
      </c>
      <c r="E67" s="56">
        <v>24123</v>
      </c>
      <c r="F67" s="13">
        <f>SUM(E67/100)</f>
        <v>241.23</v>
      </c>
      <c r="G67" s="13">
        <v>226.79</v>
      </c>
      <c r="H67" s="99">
        <f t="shared" si="5"/>
        <v>54.708551699999994</v>
      </c>
      <c r="I67" s="13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127"/>
      <c r="S67" s="127"/>
      <c r="T67" s="127"/>
      <c r="U67" s="127"/>
    </row>
    <row r="68" spans="1:21" ht="15.75" hidden="1" customHeight="1">
      <c r="A68" s="30"/>
      <c r="B68" s="14" t="s">
        <v>52</v>
      </c>
      <c r="C68" s="16" t="s">
        <v>139</v>
      </c>
      <c r="D68" s="14"/>
      <c r="E68" s="56">
        <v>24123</v>
      </c>
      <c r="F68" s="13">
        <f>SUM(E68/1000)</f>
        <v>24.123000000000001</v>
      </c>
      <c r="G68" s="13">
        <v>176.61</v>
      </c>
      <c r="H68" s="99">
        <f t="shared" si="5"/>
        <v>4.2603630300000006</v>
      </c>
      <c r="I68" s="13">
        <f t="shared" ref="I68:I72" si="6">F68*G68</f>
        <v>4260.3630300000004</v>
      </c>
    </row>
    <row r="69" spans="1:21" ht="15.75" hidden="1" customHeight="1">
      <c r="A69" s="30"/>
      <c r="B69" s="14" t="s">
        <v>53</v>
      </c>
      <c r="C69" s="16" t="s">
        <v>82</v>
      </c>
      <c r="D69" s="14" t="s">
        <v>57</v>
      </c>
      <c r="E69" s="56">
        <v>2730</v>
      </c>
      <c r="F69" s="13">
        <f>SUM(E69/100)</f>
        <v>27.3</v>
      </c>
      <c r="G69" s="13">
        <v>2217.7800000000002</v>
      </c>
      <c r="H69" s="99">
        <f t="shared" si="5"/>
        <v>60.545394000000009</v>
      </c>
      <c r="I69" s="13">
        <f t="shared" si="6"/>
        <v>60545.394000000008</v>
      </c>
    </row>
    <row r="70" spans="1:21" ht="15.75" hidden="1" customHeight="1">
      <c r="A70" s="30"/>
      <c r="B70" s="100" t="s">
        <v>140</v>
      </c>
      <c r="C70" s="16" t="s">
        <v>34</v>
      </c>
      <c r="D70" s="14"/>
      <c r="E70" s="56">
        <v>23</v>
      </c>
      <c r="F70" s="13">
        <f>SUM(E70)</f>
        <v>23</v>
      </c>
      <c r="G70" s="13">
        <v>42.67</v>
      </c>
      <c r="H70" s="99">
        <f t="shared" si="5"/>
        <v>0.98141000000000012</v>
      </c>
      <c r="I70" s="13">
        <f t="shared" si="6"/>
        <v>981.41000000000008</v>
      </c>
    </row>
    <row r="71" spans="1:21" ht="15.75" hidden="1" customHeight="1">
      <c r="A71" s="30"/>
      <c r="B71" s="100" t="s">
        <v>141</v>
      </c>
      <c r="C71" s="16" t="s">
        <v>34</v>
      </c>
      <c r="D71" s="14"/>
      <c r="E71" s="56">
        <v>23</v>
      </c>
      <c r="F71" s="13">
        <f>SUM(E71)</f>
        <v>23</v>
      </c>
      <c r="G71" s="13">
        <v>39.81</v>
      </c>
      <c r="H71" s="99">
        <f t="shared" si="5"/>
        <v>0.91563000000000005</v>
      </c>
      <c r="I71" s="13">
        <f t="shared" si="6"/>
        <v>915.63000000000011</v>
      </c>
    </row>
    <row r="72" spans="1:21" ht="15.75" hidden="1" customHeight="1">
      <c r="A72" s="30"/>
      <c r="B72" s="14" t="s">
        <v>62</v>
      </c>
      <c r="C72" s="16" t="s">
        <v>63</v>
      </c>
      <c r="D72" s="14" t="s">
        <v>57</v>
      </c>
      <c r="E72" s="19">
        <v>10</v>
      </c>
      <c r="F72" s="84">
        <f>SUM(E72)</f>
        <v>10</v>
      </c>
      <c r="G72" s="13">
        <v>53.32</v>
      </c>
      <c r="H72" s="99">
        <f t="shared" si="5"/>
        <v>0.53320000000000001</v>
      </c>
      <c r="I72" s="13">
        <f t="shared" si="6"/>
        <v>533.20000000000005</v>
      </c>
    </row>
    <row r="73" spans="1:21" ht="15.75" hidden="1" customHeight="1">
      <c r="A73" s="30"/>
      <c r="B73" s="64" t="s">
        <v>78</v>
      </c>
      <c r="C73" s="16"/>
      <c r="D73" s="14"/>
      <c r="E73" s="19"/>
      <c r="F73" s="13"/>
      <c r="G73" s="13"/>
      <c r="H73" s="99" t="s">
        <v>144</v>
      </c>
      <c r="I73" s="13"/>
    </row>
    <row r="74" spans="1:21" ht="15.75" hidden="1" customHeight="1">
      <c r="A74" s="30">
        <v>16</v>
      </c>
      <c r="B74" s="14" t="s">
        <v>79</v>
      </c>
      <c r="C74" s="16" t="s">
        <v>32</v>
      </c>
      <c r="D74" s="14"/>
      <c r="E74" s="19">
        <v>2</v>
      </c>
      <c r="F74" s="75">
        <v>0.2</v>
      </c>
      <c r="G74" s="13">
        <v>536.23</v>
      </c>
      <c r="H74" s="99">
        <v>0.251</v>
      </c>
      <c r="I74" s="13">
        <f>G74*1.5</f>
        <v>804.34500000000003</v>
      </c>
    </row>
    <row r="75" spans="1:21" ht="15.75" hidden="1" customHeight="1">
      <c r="A75" s="30"/>
      <c r="B75" s="14" t="s">
        <v>95</v>
      </c>
      <c r="C75" s="16" t="s">
        <v>31</v>
      </c>
      <c r="D75" s="14"/>
      <c r="E75" s="19">
        <v>1</v>
      </c>
      <c r="F75" s="84">
        <f>SUM(E75)</f>
        <v>1</v>
      </c>
      <c r="G75" s="13">
        <v>383.25</v>
      </c>
      <c r="H75" s="99">
        <f t="shared" si="5"/>
        <v>0.38324999999999998</v>
      </c>
      <c r="I75" s="13">
        <v>0</v>
      </c>
    </row>
    <row r="76" spans="1:21" ht="15.75" hidden="1" customHeight="1">
      <c r="A76" s="30"/>
      <c r="B76" s="14" t="s">
        <v>80</v>
      </c>
      <c r="C76" s="16" t="s">
        <v>31</v>
      </c>
      <c r="D76" s="14"/>
      <c r="E76" s="19">
        <v>2</v>
      </c>
      <c r="F76" s="13">
        <v>2</v>
      </c>
      <c r="G76" s="13">
        <v>911.85</v>
      </c>
      <c r="H76" s="99">
        <f>F76*G76/1000</f>
        <v>1.8237000000000001</v>
      </c>
      <c r="I76" s="13">
        <v>0</v>
      </c>
    </row>
    <row r="77" spans="1:21" ht="15.75" hidden="1" customHeight="1">
      <c r="A77" s="30"/>
      <c r="B77" s="101" t="s">
        <v>81</v>
      </c>
      <c r="C77" s="16"/>
      <c r="D77" s="14"/>
      <c r="E77" s="19"/>
      <c r="F77" s="13"/>
      <c r="G77" s="13" t="s">
        <v>144</v>
      </c>
      <c r="H77" s="99" t="s">
        <v>144</v>
      </c>
      <c r="I77" s="13"/>
    </row>
    <row r="78" spans="1:21" ht="15.75" hidden="1" customHeight="1">
      <c r="A78" s="30"/>
      <c r="B78" s="49" t="s">
        <v>145</v>
      </c>
      <c r="C78" s="16" t="s">
        <v>82</v>
      </c>
      <c r="D78" s="14"/>
      <c r="E78" s="19"/>
      <c r="F78" s="13">
        <v>1.35</v>
      </c>
      <c r="G78" s="13">
        <v>2949.85</v>
      </c>
      <c r="H78" s="99">
        <f t="shared" si="5"/>
        <v>3.9822975</v>
      </c>
      <c r="I78" s="13">
        <v>0</v>
      </c>
    </row>
    <row r="79" spans="1:21" ht="15.75" hidden="1" customHeight="1">
      <c r="A79" s="30"/>
      <c r="B79" s="87" t="s">
        <v>142</v>
      </c>
      <c r="C79" s="101"/>
      <c r="D79" s="32"/>
      <c r="E79" s="33"/>
      <c r="F79" s="88"/>
      <c r="G79" s="88"/>
      <c r="H79" s="102">
        <f>SUM(H58:H78)</f>
        <v>10881.285151046004</v>
      </c>
      <c r="I79" s="88"/>
    </row>
    <row r="80" spans="1:21" ht="15.75" hidden="1" customHeight="1">
      <c r="A80" s="30"/>
      <c r="B80" s="82" t="s">
        <v>143</v>
      </c>
      <c r="C80" s="16"/>
      <c r="D80" s="14"/>
      <c r="E80" s="76"/>
      <c r="F80" s="13">
        <v>1</v>
      </c>
      <c r="G80" s="13">
        <v>19342.2</v>
      </c>
      <c r="H80" s="99">
        <f>G80*F80/1000</f>
        <v>19.342200000000002</v>
      </c>
      <c r="I80" s="13">
        <v>0</v>
      </c>
    </row>
    <row r="81" spans="1:9" ht="15.75" customHeight="1">
      <c r="A81" s="140" t="s">
        <v>156</v>
      </c>
      <c r="B81" s="141"/>
      <c r="C81" s="141"/>
      <c r="D81" s="141"/>
      <c r="E81" s="141"/>
      <c r="F81" s="141"/>
      <c r="G81" s="141"/>
      <c r="H81" s="141"/>
      <c r="I81" s="142"/>
    </row>
    <row r="82" spans="1:9" ht="15.75" customHeight="1">
      <c r="A82" s="30">
        <v>15</v>
      </c>
      <c r="B82" s="82" t="s">
        <v>146</v>
      </c>
      <c r="C82" s="16" t="s">
        <v>59</v>
      </c>
      <c r="D82" s="103" t="s">
        <v>60</v>
      </c>
      <c r="E82" s="13">
        <v>4591.2</v>
      </c>
      <c r="F82" s="13">
        <f>SUM(E82*12)</f>
        <v>55094.399999999994</v>
      </c>
      <c r="G82" s="13">
        <v>2.54</v>
      </c>
      <c r="H82" s="99">
        <f>SUM(F82*G82/1000)</f>
        <v>139.93977599999999</v>
      </c>
      <c r="I82" s="13">
        <f>F82/12*G82</f>
        <v>11661.647999999999</v>
      </c>
    </row>
    <row r="83" spans="1:9" ht="31.5" customHeight="1">
      <c r="A83" s="30">
        <v>16</v>
      </c>
      <c r="B83" s="14" t="s">
        <v>83</v>
      </c>
      <c r="C83" s="16"/>
      <c r="D83" s="103" t="s">
        <v>60</v>
      </c>
      <c r="E83" s="56">
        <f>E82</f>
        <v>4591.2</v>
      </c>
      <c r="F83" s="13">
        <f>E83*12</f>
        <v>55094.399999999994</v>
      </c>
      <c r="G83" s="13">
        <v>2.0499999999999998</v>
      </c>
      <c r="H83" s="99">
        <f>F83*G83/1000</f>
        <v>112.94351999999998</v>
      </c>
      <c r="I83" s="13">
        <f>F83/12*G83</f>
        <v>9411.9599999999991</v>
      </c>
    </row>
    <row r="84" spans="1:9" ht="15.75" customHeight="1">
      <c r="A84" s="50"/>
      <c r="B84" s="40" t="s">
        <v>86</v>
      </c>
      <c r="C84" s="42"/>
      <c r="D84" s="15"/>
      <c r="E84" s="15"/>
      <c r="F84" s="15"/>
      <c r="G84" s="19"/>
      <c r="H84" s="19"/>
      <c r="I84" s="33">
        <f>SUM(I16+I17+I18+I20+I26+I27+I38+I39+I41+I42+I44+I51+I58+I61+I82+I83)</f>
        <v>88401.800704249996</v>
      </c>
    </row>
    <row r="85" spans="1:9" ht="15.75" customHeight="1">
      <c r="A85" s="137" t="s">
        <v>65</v>
      </c>
      <c r="B85" s="138"/>
      <c r="C85" s="138"/>
      <c r="D85" s="138"/>
      <c r="E85" s="138"/>
      <c r="F85" s="138"/>
      <c r="G85" s="138"/>
      <c r="H85" s="138"/>
      <c r="I85" s="139"/>
    </row>
    <row r="86" spans="1:9" ht="31.5" customHeight="1">
      <c r="A86" s="30">
        <v>17</v>
      </c>
      <c r="B86" s="115" t="s">
        <v>175</v>
      </c>
      <c r="C86" s="116" t="s">
        <v>40</v>
      </c>
      <c r="D86" s="49"/>
      <c r="E86" s="37"/>
      <c r="F86" s="37">
        <v>0.06</v>
      </c>
      <c r="G86" s="37">
        <v>3581.13</v>
      </c>
      <c r="H86" s="117">
        <f t="shared" ref="H86:H92" si="7">G86*F86/1000</f>
        <v>0.2148678</v>
      </c>
      <c r="I86" s="13">
        <f>G86*0.01</f>
        <v>35.811300000000003</v>
      </c>
    </row>
    <row r="87" spans="1:9" ht="31.5" customHeight="1">
      <c r="A87" s="30">
        <v>18</v>
      </c>
      <c r="B87" s="57" t="s">
        <v>85</v>
      </c>
      <c r="C87" s="55" t="s">
        <v>136</v>
      </c>
      <c r="D87" s="49"/>
      <c r="E87" s="37"/>
      <c r="F87" s="37">
        <v>3</v>
      </c>
      <c r="G87" s="37">
        <v>83.36</v>
      </c>
      <c r="H87" s="117">
        <f t="shared" si="7"/>
        <v>0.25007999999999997</v>
      </c>
      <c r="I87" s="13">
        <f>G87</f>
        <v>83.36</v>
      </c>
    </row>
    <row r="88" spans="1:9" ht="31.5" customHeight="1">
      <c r="A88" s="30">
        <v>19</v>
      </c>
      <c r="B88" s="53" t="s">
        <v>207</v>
      </c>
      <c r="C88" s="58" t="s">
        <v>87</v>
      </c>
      <c r="D88" s="49"/>
      <c r="E88" s="13"/>
      <c r="F88" s="13">
        <v>11</v>
      </c>
      <c r="G88" s="13">
        <v>1187</v>
      </c>
      <c r="H88" s="99">
        <f t="shared" si="7"/>
        <v>13.057</v>
      </c>
      <c r="I88" s="13">
        <f>G88*5</f>
        <v>5935</v>
      </c>
    </row>
    <row r="89" spans="1:9" ht="31.5" customHeight="1">
      <c r="A89" s="30">
        <v>20</v>
      </c>
      <c r="B89" s="81" t="s">
        <v>165</v>
      </c>
      <c r="C89" s="30" t="s">
        <v>164</v>
      </c>
      <c r="D89" s="49"/>
      <c r="E89" s="13"/>
      <c r="F89" s="13">
        <v>1</v>
      </c>
      <c r="G89" s="13">
        <v>403.69</v>
      </c>
      <c r="H89" s="99">
        <f t="shared" si="7"/>
        <v>0.40368999999999999</v>
      </c>
      <c r="I89" s="13">
        <f>G89</f>
        <v>403.69</v>
      </c>
    </row>
    <row r="90" spans="1:9" ht="31.5" customHeight="1">
      <c r="A90" s="30">
        <v>21</v>
      </c>
      <c r="B90" s="81" t="s">
        <v>163</v>
      </c>
      <c r="C90" s="30" t="s">
        <v>164</v>
      </c>
      <c r="D90" s="49"/>
      <c r="E90" s="13"/>
      <c r="F90" s="13">
        <v>1</v>
      </c>
      <c r="G90" s="13">
        <v>1934.94</v>
      </c>
      <c r="H90" s="99">
        <f t="shared" si="7"/>
        <v>1.9349400000000001</v>
      </c>
      <c r="I90" s="13">
        <f t="shared" ref="I90:I91" si="8">G90</f>
        <v>1934.94</v>
      </c>
    </row>
    <row r="91" spans="1:9" ht="31.5" customHeight="1">
      <c r="A91" s="30">
        <v>22</v>
      </c>
      <c r="B91" s="53" t="s">
        <v>209</v>
      </c>
      <c r="C91" s="58" t="s">
        <v>136</v>
      </c>
      <c r="D91" s="49"/>
      <c r="E91" s="13"/>
      <c r="F91" s="13">
        <v>1</v>
      </c>
      <c r="G91" s="13">
        <v>300.58</v>
      </c>
      <c r="H91" s="99">
        <f t="shared" si="7"/>
        <v>0.30057999999999996</v>
      </c>
      <c r="I91" s="13">
        <f t="shared" si="8"/>
        <v>300.58</v>
      </c>
    </row>
    <row r="92" spans="1:9" ht="15.75" customHeight="1">
      <c r="A92" s="30">
        <v>23</v>
      </c>
      <c r="B92" s="49" t="s">
        <v>94</v>
      </c>
      <c r="C92" s="16" t="s">
        <v>109</v>
      </c>
      <c r="D92" s="49"/>
      <c r="E92" s="13"/>
      <c r="F92" s="13">
        <v>2</v>
      </c>
      <c r="G92" s="13">
        <v>1582</v>
      </c>
      <c r="H92" s="99">
        <f t="shared" si="7"/>
        <v>3.1640000000000001</v>
      </c>
      <c r="I92" s="13">
        <f>G92*2</f>
        <v>3164</v>
      </c>
    </row>
    <row r="93" spans="1:9" ht="15.75" customHeight="1">
      <c r="A93" s="30"/>
      <c r="B93" s="47" t="s">
        <v>54</v>
      </c>
      <c r="C93" s="43"/>
      <c r="D93" s="51"/>
      <c r="E93" s="43">
        <v>1</v>
      </c>
      <c r="F93" s="43"/>
      <c r="G93" s="43"/>
      <c r="H93" s="43"/>
      <c r="I93" s="33">
        <f>SUM(I86:I92)</f>
        <v>11857.381299999999</v>
      </c>
    </row>
    <row r="94" spans="1:9" ht="15.75" customHeight="1">
      <c r="A94" s="30"/>
      <c r="B94" s="49" t="s">
        <v>84</v>
      </c>
      <c r="C94" s="15"/>
      <c r="D94" s="15"/>
      <c r="E94" s="44"/>
      <c r="F94" s="44"/>
      <c r="G94" s="45"/>
      <c r="H94" s="45"/>
      <c r="I94" s="18">
        <v>0</v>
      </c>
    </row>
    <row r="95" spans="1:9" ht="15.75" customHeight="1">
      <c r="A95" s="52"/>
      <c r="B95" s="48" t="s">
        <v>203</v>
      </c>
      <c r="C95" s="36"/>
      <c r="D95" s="36"/>
      <c r="E95" s="36"/>
      <c r="F95" s="36"/>
      <c r="G95" s="36"/>
      <c r="H95" s="36"/>
      <c r="I95" s="46">
        <f>I84+I93</f>
        <v>100259.18200424999</v>
      </c>
    </row>
    <row r="96" spans="1:9" ht="15.75" customHeight="1">
      <c r="A96" s="134" t="s">
        <v>274</v>
      </c>
      <c r="B96" s="134"/>
      <c r="C96" s="134"/>
      <c r="D96" s="134"/>
      <c r="E96" s="134"/>
      <c r="F96" s="134"/>
      <c r="G96" s="134"/>
      <c r="H96" s="134"/>
      <c r="I96" s="134"/>
    </row>
    <row r="97" spans="1:9" ht="15.75" customHeight="1">
      <c r="A97" s="65"/>
      <c r="B97" s="135" t="s">
        <v>275</v>
      </c>
      <c r="C97" s="135"/>
      <c r="D97" s="135"/>
      <c r="E97" s="135"/>
      <c r="F97" s="135"/>
      <c r="G97" s="135"/>
      <c r="H97" s="80"/>
      <c r="I97" s="3"/>
    </row>
    <row r="98" spans="1:9" ht="15.75" customHeight="1">
      <c r="A98" s="59"/>
      <c r="B98" s="125" t="s">
        <v>6</v>
      </c>
      <c r="C98" s="125"/>
      <c r="D98" s="125"/>
      <c r="E98" s="125"/>
      <c r="F98" s="125"/>
      <c r="G98" s="125"/>
      <c r="H98" s="25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36" t="s">
        <v>7</v>
      </c>
      <c r="B100" s="136"/>
      <c r="C100" s="136"/>
      <c r="D100" s="136"/>
      <c r="E100" s="136"/>
      <c r="F100" s="136"/>
      <c r="G100" s="136"/>
      <c r="H100" s="136"/>
      <c r="I100" s="136"/>
    </row>
    <row r="101" spans="1:9" ht="15.75" customHeight="1">
      <c r="A101" s="136" t="s">
        <v>8</v>
      </c>
      <c r="B101" s="136"/>
      <c r="C101" s="136"/>
      <c r="D101" s="136"/>
      <c r="E101" s="136"/>
      <c r="F101" s="136"/>
      <c r="G101" s="136"/>
      <c r="H101" s="136"/>
      <c r="I101" s="136"/>
    </row>
    <row r="102" spans="1:9" ht="15.75" customHeight="1">
      <c r="A102" s="129" t="s">
        <v>66</v>
      </c>
      <c r="B102" s="129"/>
      <c r="C102" s="129"/>
      <c r="D102" s="129"/>
      <c r="E102" s="129"/>
      <c r="F102" s="129"/>
      <c r="G102" s="129"/>
      <c r="H102" s="129"/>
      <c r="I102" s="129"/>
    </row>
    <row r="103" spans="1:9" ht="15.75" customHeight="1">
      <c r="A103" s="11"/>
    </row>
    <row r="104" spans="1:9" ht="15.75" customHeight="1">
      <c r="A104" s="123" t="s">
        <v>9</v>
      </c>
      <c r="B104" s="123"/>
      <c r="C104" s="123"/>
      <c r="D104" s="123"/>
      <c r="E104" s="123"/>
      <c r="F104" s="123"/>
      <c r="G104" s="123"/>
      <c r="H104" s="123"/>
      <c r="I104" s="123"/>
    </row>
    <row r="105" spans="1:9" ht="15.75" customHeight="1">
      <c r="A105" s="4"/>
    </row>
    <row r="106" spans="1:9" ht="15.75" customHeight="1">
      <c r="B106" s="62" t="s">
        <v>10</v>
      </c>
      <c r="C106" s="124" t="s">
        <v>97</v>
      </c>
      <c r="D106" s="124"/>
      <c r="E106" s="124"/>
      <c r="F106" s="78"/>
      <c r="I106" s="61"/>
    </row>
    <row r="107" spans="1:9" ht="15.75" customHeight="1">
      <c r="A107" s="59"/>
      <c r="C107" s="125" t="s">
        <v>11</v>
      </c>
      <c r="D107" s="125"/>
      <c r="E107" s="125"/>
      <c r="F107" s="25"/>
      <c r="I107" s="60" t="s">
        <v>12</v>
      </c>
    </row>
    <row r="108" spans="1:9" ht="15.75" customHeight="1">
      <c r="A108" s="26"/>
      <c r="C108" s="12"/>
      <c r="D108" s="12"/>
      <c r="G108" s="12"/>
      <c r="H108" s="12"/>
    </row>
    <row r="109" spans="1:9" ht="15.75" customHeight="1">
      <c r="B109" s="62" t="s">
        <v>13</v>
      </c>
      <c r="C109" s="126"/>
      <c r="D109" s="126"/>
      <c r="E109" s="126"/>
      <c r="F109" s="79"/>
      <c r="I109" s="61"/>
    </row>
    <row r="110" spans="1:9" ht="15.75" customHeight="1">
      <c r="A110" s="59"/>
      <c r="C110" s="127" t="s">
        <v>11</v>
      </c>
      <c r="D110" s="127"/>
      <c r="E110" s="127"/>
      <c r="F110" s="59"/>
      <c r="I110" s="60" t="s">
        <v>12</v>
      </c>
    </row>
    <row r="111" spans="1:9" ht="15.75" customHeight="1">
      <c r="A111" s="4" t="s">
        <v>14</v>
      </c>
    </row>
    <row r="112" spans="1:9" ht="15.75" customHeight="1">
      <c r="A112" s="128" t="s">
        <v>15</v>
      </c>
      <c r="B112" s="128"/>
      <c r="C112" s="128"/>
      <c r="D112" s="128"/>
      <c r="E112" s="128"/>
      <c r="F112" s="128"/>
      <c r="G112" s="128"/>
      <c r="H112" s="128"/>
      <c r="I112" s="128"/>
    </row>
    <row r="113" spans="1:9" ht="45" customHeight="1">
      <c r="A113" s="122" t="s">
        <v>16</v>
      </c>
      <c r="B113" s="122"/>
      <c r="C113" s="122"/>
      <c r="D113" s="122"/>
      <c r="E113" s="122"/>
      <c r="F113" s="122"/>
      <c r="G113" s="122"/>
      <c r="H113" s="122"/>
      <c r="I113" s="122"/>
    </row>
    <row r="114" spans="1:9" ht="30" customHeight="1">
      <c r="A114" s="122" t="s">
        <v>17</v>
      </c>
      <c r="B114" s="122"/>
      <c r="C114" s="122"/>
      <c r="D114" s="122"/>
      <c r="E114" s="122"/>
      <c r="F114" s="122"/>
      <c r="G114" s="122"/>
      <c r="H114" s="122"/>
      <c r="I114" s="122"/>
    </row>
    <row r="115" spans="1:9" ht="30" customHeight="1">
      <c r="A115" s="122" t="s">
        <v>21</v>
      </c>
      <c r="B115" s="122"/>
      <c r="C115" s="122"/>
      <c r="D115" s="122"/>
      <c r="E115" s="122"/>
      <c r="F115" s="122"/>
      <c r="G115" s="122"/>
      <c r="H115" s="122"/>
      <c r="I115" s="122"/>
    </row>
    <row r="116" spans="1:9" ht="15" customHeight="1">
      <c r="A116" s="122" t="s">
        <v>20</v>
      </c>
      <c r="B116" s="122"/>
      <c r="C116" s="122"/>
      <c r="D116" s="122"/>
      <c r="E116" s="122"/>
      <c r="F116" s="122"/>
      <c r="G116" s="122"/>
      <c r="H116" s="122"/>
      <c r="I116" s="122"/>
    </row>
  </sheetData>
  <autoFilter ref="I12:I62"/>
  <mergeCells count="29">
    <mergeCell ref="R67:U67"/>
    <mergeCell ref="A81:I81"/>
    <mergeCell ref="A3:I3"/>
    <mergeCell ref="A4:I4"/>
    <mergeCell ref="A5:I5"/>
    <mergeCell ref="A8:I8"/>
    <mergeCell ref="A10:I10"/>
    <mergeCell ref="A14:I14"/>
    <mergeCell ref="A102:I102"/>
    <mergeCell ref="A15:I15"/>
    <mergeCell ref="A28:I28"/>
    <mergeCell ref="A45:I45"/>
    <mergeCell ref="A56:I56"/>
    <mergeCell ref="A96:I96"/>
    <mergeCell ref="B97:G97"/>
    <mergeCell ref="B98:G98"/>
    <mergeCell ref="A100:I100"/>
    <mergeCell ref="A101:I101"/>
    <mergeCell ref="A85:I85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92</v>
      </c>
      <c r="I1" s="27"/>
      <c r="J1" s="1"/>
      <c r="K1" s="1"/>
      <c r="L1" s="1"/>
      <c r="M1" s="1"/>
    </row>
    <row r="2" spans="1:13" ht="15.75" customHeight="1">
      <c r="A2" s="29" t="s">
        <v>67</v>
      </c>
      <c r="J2" s="2"/>
      <c r="K2" s="2"/>
      <c r="L2" s="2"/>
      <c r="M2" s="2"/>
    </row>
    <row r="3" spans="1:13" ht="15.75" customHeight="1">
      <c r="A3" s="143" t="s">
        <v>185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147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210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 customHeight="1">
      <c r="A6" s="2"/>
      <c r="B6" s="63"/>
      <c r="C6" s="63"/>
      <c r="D6" s="63"/>
      <c r="E6" s="63"/>
      <c r="F6" s="63"/>
      <c r="G6" s="63"/>
      <c r="H6" s="63"/>
      <c r="I6" s="31">
        <v>42825</v>
      </c>
      <c r="J6" s="2"/>
      <c r="K6" s="2"/>
      <c r="L6" s="2"/>
      <c r="M6" s="2"/>
    </row>
    <row r="7" spans="1:13" ht="15.75" customHeight="1">
      <c r="B7" s="62"/>
      <c r="C7" s="62"/>
      <c r="D7" s="6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158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276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64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30" t="s">
        <v>4</v>
      </c>
      <c r="B15" s="130"/>
      <c r="C15" s="130"/>
      <c r="D15" s="130"/>
      <c r="E15" s="130"/>
      <c r="F15" s="130"/>
      <c r="G15" s="130"/>
      <c r="H15" s="130"/>
      <c r="I15" s="130"/>
      <c r="J15" s="8"/>
      <c r="K15" s="8"/>
      <c r="L15" s="8"/>
      <c r="M15" s="8"/>
    </row>
    <row r="16" spans="1:13" ht="15.75" customHeight="1">
      <c r="A16" s="30">
        <v>1</v>
      </c>
      <c r="B16" s="82" t="s">
        <v>93</v>
      </c>
      <c r="C16" s="83" t="s">
        <v>116</v>
      </c>
      <c r="D16" s="82" t="s">
        <v>117</v>
      </c>
      <c r="E16" s="56">
        <v>127.9</v>
      </c>
      <c r="F16" s="84">
        <f>SUM(E16*156/100)</f>
        <v>199.524</v>
      </c>
      <c r="G16" s="84">
        <v>187.48</v>
      </c>
      <c r="H16" s="85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82" t="s">
        <v>102</v>
      </c>
      <c r="C17" s="83" t="s">
        <v>116</v>
      </c>
      <c r="D17" s="82" t="s">
        <v>181</v>
      </c>
      <c r="E17" s="56">
        <v>511.6</v>
      </c>
      <c r="F17" s="84">
        <f>SUM(E17*104/100)</f>
        <v>532.06399999999996</v>
      </c>
      <c r="G17" s="84">
        <v>185.48</v>
      </c>
      <c r="H17" s="85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82" t="s">
        <v>103</v>
      </c>
      <c r="C18" s="83" t="s">
        <v>116</v>
      </c>
      <c r="D18" s="82" t="s">
        <v>118</v>
      </c>
      <c r="E18" s="56">
        <f>SUM(E16+E17)</f>
        <v>639.5</v>
      </c>
      <c r="F18" s="84">
        <f>SUM(E18*24/100)</f>
        <v>153.47999999999999</v>
      </c>
      <c r="G18" s="84">
        <v>539.30999999999995</v>
      </c>
      <c r="H18" s="85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82" t="s">
        <v>119</v>
      </c>
      <c r="C19" s="83" t="s">
        <v>120</v>
      </c>
      <c r="D19" s="82" t="s">
        <v>121</v>
      </c>
      <c r="E19" s="56">
        <v>38.4</v>
      </c>
      <c r="F19" s="84">
        <f>SUM(E19/10)</f>
        <v>3.84</v>
      </c>
      <c r="G19" s="84">
        <v>181.91</v>
      </c>
      <c r="H19" s="85">
        <f t="shared" si="0"/>
        <v>0.6985344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82" t="s">
        <v>107</v>
      </c>
      <c r="C20" s="83" t="s">
        <v>116</v>
      </c>
      <c r="D20" s="82" t="s">
        <v>30</v>
      </c>
      <c r="E20" s="56">
        <v>58.4</v>
      </c>
      <c r="F20" s="84">
        <f>SUM(E20*12/100)</f>
        <v>7.0079999999999991</v>
      </c>
      <c r="G20" s="84">
        <v>232.92</v>
      </c>
      <c r="H20" s="85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customHeight="1">
      <c r="A21" s="30">
        <v>5</v>
      </c>
      <c r="B21" s="82" t="s">
        <v>108</v>
      </c>
      <c r="C21" s="83" t="s">
        <v>116</v>
      </c>
      <c r="D21" s="82" t="s">
        <v>115</v>
      </c>
      <c r="E21" s="56">
        <v>9.08</v>
      </c>
      <c r="F21" s="84">
        <f>SUM(E21*6/100)</f>
        <v>0.54480000000000006</v>
      </c>
      <c r="G21" s="84">
        <v>231.03</v>
      </c>
      <c r="H21" s="85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82" t="s">
        <v>122</v>
      </c>
      <c r="C22" s="83" t="s">
        <v>56</v>
      </c>
      <c r="D22" s="82" t="s">
        <v>121</v>
      </c>
      <c r="E22" s="56">
        <v>714</v>
      </c>
      <c r="F22" s="84">
        <f>SUM(E22/100)</f>
        <v>7.14</v>
      </c>
      <c r="G22" s="84">
        <v>287.83999999999997</v>
      </c>
      <c r="H22" s="85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82" t="s">
        <v>123</v>
      </c>
      <c r="C23" s="83" t="s">
        <v>56</v>
      </c>
      <c r="D23" s="82" t="s">
        <v>121</v>
      </c>
      <c r="E23" s="77">
        <v>96.6</v>
      </c>
      <c r="F23" s="84">
        <f>SUM(E23/100)</f>
        <v>0.96599999999999997</v>
      </c>
      <c r="G23" s="84">
        <v>47.34</v>
      </c>
      <c r="H23" s="85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82" t="s">
        <v>110</v>
      </c>
      <c r="C24" s="83" t="s">
        <v>56</v>
      </c>
      <c r="D24" s="82" t="s">
        <v>121</v>
      </c>
      <c r="E24" s="19">
        <v>40</v>
      </c>
      <c r="F24" s="86">
        <v>4.8</v>
      </c>
      <c r="G24" s="84">
        <v>416.62</v>
      </c>
      <c r="H24" s="85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82" t="s">
        <v>111</v>
      </c>
      <c r="C25" s="83" t="s">
        <v>56</v>
      </c>
      <c r="D25" s="82" t="s">
        <v>121</v>
      </c>
      <c r="E25" s="56">
        <v>17</v>
      </c>
      <c r="F25" s="84">
        <f>SUM(E25/100)</f>
        <v>0.17</v>
      </c>
      <c r="G25" s="84">
        <v>556.74</v>
      </c>
      <c r="H25" s="85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customHeight="1">
      <c r="A26" s="30">
        <v>6</v>
      </c>
      <c r="B26" s="82" t="s">
        <v>69</v>
      </c>
      <c r="C26" s="83" t="s">
        <v>34</v>
      </c>
      <c r="D26" s="82" t="s">
        <v>161</v>
      </c>
      <c r="E26" s="56">
        <v>0.1</v>
      </c>
      <c r="F26" s="84">
        <f>SUM(E26*365)</f>
        <v>36.5</v>
      </c>
      <c r="G26" s="84">
        <v>157.18</v>
      </c>
      <c r="H26" s="85">
        <f>SUM(F26*G26/1000)</f>
        <v>5.737070000000001</v>
      </c>
      <c r="I26" s="13">
        <f>F26/12*G26</f>
        <v>478.08916666666664</v>
      </c>
      <c r="J26" s="24"/>
    </row>
    <row r="27" spans="1:13" ht="15.75" customHeight="1">
      <c r="A27" s="30">
        <v>7</v>
      </c>
      <c r="B27" s="90" t="s">
        <v>23</v>
      </c>
      <c r="C27" s="83" t="s">
        <v>24</v>
      </c>
      <c r="D27" s="90" t="s">
        <v>161</v>
      </c>
      <c r="E27" s="56">
        <v>4591.2</v>
      </c>
      <c r="F27" s="84">
        <f>SUM(E27*12)</f>
        <v>55094.399999999994</v>
      </c>
      <c r="G27" s="84">
        <v>5.85</v>
      </c>
      <c r="H27" s="85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30" t="s">
        <v>91</v>
      </c>
      <c r="B28" s="130"/>
      <c r="C28" s="130"/>
      <c r="D28" s="130"/>
      <c r="E28" s="130"/>
      <c r="F28" s="130"/>
      <c r="G28" s="130"/>
      <c r="H28" s="130"/>
      <c r="I28" s="130"/>
      <c r="J28" s="23"/>
      <c r="K28" s="8"/>
      <c r="L28" s="8"/>
      <c r="M28" s="8"/>
    </row>
    <row r="29" spans="1:13" ht="15.75" hidden="1" customHeight="1">
      <c r="A29" s="30"/>
      <c r="B29" s="106" t="s">
        <v>28</v>
      </c>
      <c r="C29" s="83"/>
      <c r="D29" s="82"/>
      <c r="E29" s="56"/>
      <c r="F29" s="84"/>
      <c r="G29" s="84"/>
      <c r="H29" s="85"/>
      <c r="I29" s="13"/>
      <c r="J29" s="23"/>
      <c r="K29" s="8"/>
      <c r="L29" s="8"/>
      <c r="M29" s="8"/>
    </row>
    <row r="30" spans="1:13" ht="15.75" hidden="1" customHeight="1">
      <c r="A30" s="30">
        <v>7</v>
      </c>
      <c r="B30" s="82" t="s">
        <v>124</v>
      </c>
      <c r="C30" s="83" t="s">
        <v>125</v>
      </c>
      <c r="D30" s="82" t="s">
        <v>126</v>
      </c>
      <c r="E30" s="84">
        <v>844.95</v>
      </c>
      <c r="F30" s="84">
        <f>SUM(E30*52/1000)</f>
        <v>43.937400000000004</v>
      </c>
      <c r="G30" s="84">
        <v>166.65</v>
      </c>
      <c r="H30" s="85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hidden="1" customHeight="1">
      <c r="A31" s="30">
        <v>8</v>
      </c>
      <c r="B31" s="82" t="s">
        <v>182</v>
      </c>
      <c r="C31" s="83" t="s">
        <v>125</v>
      </c>
      <c r="D31" s="82" t="s">
        <v>127</v>
      </c>
      <c r="E31" s="84">
        <v>260.13</v>
      </c>
      <c r="F31" s="84">
        <f>SUM(E31*78/1000)</f>
        <v>20.290140000000001</v>
      </c>
      <c r="G31" s="84">
        <v>276.48</v>
      </c>
      <c r="H31" s="85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82" t="s">
        <v>27</v>
      </c>
      <c r="C32" s="83" t="s">
        <v>125</v>
      </c>
      <c r="D32" s="82" t="s">
        <v>57</v>
      </c>
      <c r="E32" s="84">
        <v>844.95</v>
      </c>
      <c r="F32" s="84">
        <f>SUM(E32/1000)</f>
        <v>0.84495000000000009</v>
      </c>
      <c r="G32" s="84">
        <v>3228.73</v>
      </c>
      <c r="H32" s="85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hidden="1" customHeight="1">
      <c r="A33" s="30">
        <v>9</v>
      </c>
      <c r="B33" s="82" t="s">
        <v>160</v>
      </c>
      <c r="C33" s="83" t="s">
        <v>42</v>
      </c>
      <c r="D33" s="82" t="s">
        <v>68</v>
      </c>
      <c r="E33" s="84">
        <v>8</v>
      </c>
      <c r="F33" s="84">
        <v>12.4</v>
      </c>
      <c r="G33" s="84">
        <v>1391.86</v>
      </c>
      <c r="H33" s="85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hidden="1" customHeight="1">
      <c r="A34" s="30">
        <v>10</v>
      </c>
      <c r="B34" s="82" t="s">
        <v>128</v>
      </c>
      <c r="C34" s="83" t="s">
        <v>31</v>
      </c>
      <c r="D34" s="82" t="s">
        <v>68</v>
      </c>
      <c r="E34" s="89">
        <v>0.33333333333333331</v>
      </c>
      <c r="F34" s="84">
        <f>155/3</f>
        <v>51.666666666666664</v>
      </c>
      <c r="G34" s="84">
        <v>60.6</v>
      </c>
      <c r="H34" s="85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82" t="s">
        <v>70</v>
      </c>
      <c r="C35" s="83" t="s">
        <v>34</v>
      </c>
      <c r="D35" s="82" t="s">
        <v>72</v>
      </c>
      <c r="E35" s="56"/>
      <c r="F35" s="84">
        <v>3</v>
      </c>
      <c r="G35" s="84">
        <v>204.32</v>
      </c>
      <c r="H35" s="85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82" t="s">
        <v>71</v>
      </c>
      <c r="C36" s="83" t="s">
        <v>33</v>
      </c>
      <c r="D36" s="82" t="s">
        <v>72</v>
      </c>
      <c r="E36" s="56"/>
      <c r="F36" s="84">
        <v>2</v>
      </c>
      <c r="G36" s="84">
        <v>1214.73</v>
      </c>
      <c r="H36" s="85">
        <f t="shared" si="1"/>
        <v>2.4294600000000002</v>
      </c>
      <c r="I36" s="13">
        <v>0</v>
      </c>
      <c r="J36" s="24"/>
    </row>
    <row r="37" spans="1:14" ht="15.75" customHeight="1">
      <c r="A37" s="30"/>
      <c r="B37" s="106" t="s">
        <v>5</v>
      </c>
      <c r="C37" s="83"/>
      <c r="D37" s="82"/>
      <c r="E37" s="56"/>
      <c r="F37" s="84"/>
      <c r="G37" s="84"/>
      <c r="H37" s="85" t="s">
        <v>144</v>
      </c>
      <c r="I37" s="13"/>
      <c r="J37" s="24"/>
    </row>
    <row r="38" spans="1:14" ht="15.75" customHeight="1">
      <c r="A38" s="30">
        <v>8</v>
      </c>
      <c r="B38" s="82" t="s">
        <v>26</v>
      </c>
      <c r="C38" s="83" t="s">
        <v>33</v>
      </c>
      <c r="D38" s="82"/>
      <c r="E38" s="56"/>
      <c r="F38" s="84">
        <v>10</v>
      </c>
      <c r="G38" s="84">
        <v>1632.6</v>
      </c>
      <c r="H38" s="85">
        <f t="shared" ref="H38:H44" si="3">SUM(F38*G38/1000)</f>
        <v>16.326000000000001</v>
      </c>
      <c r="I38" s="13">
        <f>F38/6*G38</f>
        <v>2721</v>
      </c>
      <c r="J38" s="24"/>
    </row>
    <row r="39" spans="1:14" ht="15.75" customHeight="1">
      <c r="A39" s="30">
        <v>9</v>
      </c>
      <c r="B39" s="82" t="s">
        <v>162</v>
      </c>
      <c r="C39" s="83" t="s">
        <v>29</v>
      </c>
      <c r="D39" s="82" t="s">
        <v>129</v>
      </c>
      <c r="E39" s="84">
        <v>254.8</v>
      </c>
      <c r="F39" s="84">
        <f>SUM(E39*30/1000)</f>
        <v>7.6440000000000001</v>
      </c>
      <c r="G39" s="84">
        <v>2247.8000000000002</v>
      </c>
      <c r="H39" s="85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82" t="s">
        <v>104</v>
      </c>
      <c r="C40" s="83" t="s">
        <v>130</v>
      </c>
      <c r="D40" s="82" t="s">
        <v>72</v>
      </c>
      <c r="E40" s="56"/>
      <c r="F40" s="84">
        <v>40</v>
      </c>
      <c r="G40" s="84">
        <v>213.2</v>
      </c>
      <c r="H40" s="85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customHeight="1">
      <c r="A41" s="30">
        <v>10</v>
      </c>
      <c r="B41" s="82" t="s">
        <v>73</v>
      </c>
      <c r="C41" s="83" t="s">
        <v>29</v>
      </c>
      <c r="D41" s="82" t="s">
        <v>131</v>
      </c>
      <c r="E41" s="84">
        <v>260.13</v>
      </c>
      <c r="F41" s="84">
        <f>SUM(E41*155/1000)</f>
        <v>40.320149999999998</v>
      </c>
      <c r="G41" s="84">
        <v>374.95</v>
      </c>
      <c r="H41" s="85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customHeight="1">
      <c r="A42" s="30">
        <v>11</v>
      </c>
      <c r="B42" s="82" t="s">
        <v>89</v>
      </c>
      <c r="C42" s="83" t="s">
        <v>125</v>
      </c>
      <c r="D42" s="82" t="s">
        <v>132</v>
      </c>
      <c r="E42" s="84">
        <v>132.72999999999999</v>
      </c>
      <c r="F42" s="84">
        <f>SUM(E42*35/1000)</f>
        <v>4.6455499999999992</v>
      </c>
      <c r="G42" s="84">
        <v>6203.7</v>
      </c>
      <c r="H42" s="85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customHeight="1">
      <c r="A43" s="30">
        <v>12</v>
      </c>
      <c r="B43" s="82" t="s">
        <v>133</v>
      </c>
      <c r="C43" s="83" t="s">
        <v>125</v>
      </c>
      <c r="D43" s="35" t="s">
        <v>277</v>
      </c>
      <c r="E43" s="34">
        <v>254.8</v>
      </c>
      <c r="F43" s="149">
        <f>SUM(E43*15/1000)</f>
        <v>3.8220000000000001</v>
      </c>
      <c r="G43" s="34">
        <v>458.28</v>
      </c>
      <c r="H43" s="150">
        <f t="shared" ref="H43" si="4">SUM(F43*G43/1000)</f>
        <v>1.75154616</v>
      </c>
      <c r="I43" s="13">
        <f>F43/2*G43</f>
        <v>875.77307999999994</v>
      </c>
      <c r="J43" s="24"/>
      <c r="L43" s="20"/>
      <c r="M43" s="21"/>
      <c r="N43" s="22"/>
    </row>
    <row r="44" spans="1:14" ht="15.75" customHeight="1">
      <c r="A44" s="30">
        <v>13</v>
      </c>
      <c r="B44" s="82" t="s">
        <v>75</v>
      </c>
      <c r="C44" s="83" t="s">
        <v>34</v>
      </c>
      <c r="D44" s="82"/>
      <c r="E44" s="56"/>
      <c r="F44" s="84">
        <v>0.9</v>
      </c>
      <c r="G44" s="84">
        <v>853.06</v>
      </c>
      <c r="H44" s="85">
        <f t="shared" si="3"/>
        <v>0.76775400000000005</v>
      </c>
      <c r="I44" s="13">
        <f>F44/6*G44</f>
        <v>127.95899999999999</v>
      </c>
      <c r="J44" s="24"/>
      <c r="L44" s="20"/>
      <c r="M44" s="21"/>
      <c r="N44" s="22"/>
    </row>
    <row r="45" spans="1:14" ht="15.75" hidden="1" customHeight="1">
      <c r="A45" s="131" t="s">
        <v>154</v>
      </c>
      <c r="B45" s="132"/>
      <c r="C45" s="132"/>
      <c r="D45" s="132"/>
      <c r="E45" s="132"/>
      <c r="F45" s="132"/>
      <c r="G45" s="132"/>
      <c r="H45" s="132"/>
      <c r="I45" s="133"/>
      <c r="J45" s="24"/>
      <c r="L45" s="20"/>
      <c r="M45" s="21"/>
      <c r="N45" s="22"/>
    </row>
    <row r="46" spans="1:14" ht="15.75" hidden="1" customHeight="1">
      <c r="A46" s="30"/>
      <c r="B46" s="82" t="s">
        <v>148</v>
      </c>
      <c r="C46" s="83" t="s">
        <v>125</v>
      </c>
      <c r="D46" s="82" t="s">
        <v>44</v>
      </c>
      <c r="E46" s="56">
        <v>1795.9</v>
      </c>
      <c r="F46" s="84">
        <f>SUM(E46*2/1000)</f>
        <v>3.5918000000000001</v>
      </c>
      <c r="G46" s="13">
        <v>865.61</v>
      </c>
      <c r="H46" s="85">
        <f t="shared" ref="H46:H55" si="5">SUM(F46*G46/1000)</f>
        <v>3.1090979980000002</v>
      </c>
      <c r="I46" s="13">
        <v>0</v>
      </c>
      <c r="J46" s="24"/>
      <c r="L46" s="20"/>
      <c r="M46" s="21"/>
      <c r="N46" s="22"/>
    </row>
    <row r="47" spans="1:14" ht="15.75" hidden="1" customHeight="1">
      <c r="A47" s="30"/>
      <c r="B47" s="82" t="s">
        <v>37</v>
      </c>
      <c r="C47" s="83" t="s">
        <v>125</v>
      </c>
      <c r="D47" s="82" t="s">
        <v>44</v>
      </c>
      <c r="E47" s="56">
        <v>104</v>
      </c>
      <c r="F47" s="84">
        <f>SUM(E47*2/1000)</f>
        <v>0.20799999999999999</v>
      </c>
      <c r="G47" s="13">
        <v>619.46</v>
      </c>
      <c r="H47" s="85">
        <f t="shared" si="5"/>
        <v>0.12884767999999999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30"/>
      <c r="B48" s="82" t="s">
        <v>38</v>
      </c>
      <c r="C48" s="83" t="s">
        <v>125</v>
      </c>
      <c r="D48" s="82" t="s">
        <v>44</v>
      </c>
      <c r="E48" s="56">
        <v>1996.87</v>
      </c>
      <c r="F48" s="84">
        <f>SUM(E48*2/1000)</f>
        <v>3.9937399999999998</v>
      </c>
      <c r="G48" s="13">
        <v>619.46</v>
      </c>
      <c r="H48" s="85">
        <f t="shared" si="5"/>
        <v>2.4739621804</v>
      </c>
      <c r="I48" s="13">
        <v>0</v>
      </c>
      <c r="J48" s="24"/>
      <c r="L48" s="20"/>
      <c r="M48" s="21"/>
      <c r="N48" s="22"/>
    </row>
    <row r="49" spans="1:22" ht="15.75" hidden="1" customHeight="1">
      <c r="A49" s="30"/>
      <c r="B49" s="82" t="s">
        <v>39</v>
      </c>
      <c r="C49" s="83" t="s">
        <v>125</v>
      </c>
      <c r="D49" s="82" t="s">
        <v>44</v>
      </c>
      <c r="E49" s="56">
        <v>2630.35</v>
      </c>
      <c r="F49" s="84">
        <f>SUM(E49*2/1000)</f>
        <v>5.2606999999999999</v>
      </c>
      <c r="G49" s="13">
        <v>648.64</v>
      </c>
      <c r="H49" s="85">
        <f t="shared" si="5"/>
        <v>3.4123004479999999</v>
      </c>
      <c r="I49" s="13">
        <v>0</v>
      </c>
      <c r="J49" s="24"/>
      <c r="L49" s="20"/>
      <c r="M49" s="21"/>
      <c r="N49" s="22"/>
    </row>
    <row r="50" spans="1:22" ht="15.75" hidden="1" customHeight="1">
      <c r="A50" s="30"/>
      <c r="B50" s="82" t="s">
        <v>35</v>
      </c>
      <c r="C50" s="83" t="s">
        <v>36</v>
      </c>
      <c r="D50" s="82" t="s">
        <v>44</v>
      </c>
      <c r="E50" s="56">
        <v>131.47</v>
      </c>
      <c r="F50" s="84">
        <f>SUM(E50*2/100)</f>
        <v>2.6294</v>
      </c>
      <c r="G50" s="13">
        <v>77.84</v>
      </c>
      <c r="H50" s="85">
        <f t="shared" si="5"/>
        <v>0.20467249599999998</v>
      </c>
      <c r="I50" s="13">
        <v>0</v>
      </c>
      <c r="J50" s="24"/>
      <c r="L50" s="20"/>
      <c r="M50" s="21"/>
      <c r="N50" s="22"/>
    </row>
    <row r="51" spans="1:22" ht="15.75" hidden="1" customHeight="1">
      <c r="A51" s="30">
        <v>14</v>
      </c>
      <c r="B51" s="82" t="s">
        <v>61</v>
      </c>
      <c r="C51" s="83" t="s">
        <v>125</v>
      </c>
      <c r="D51" s="82" t="s">
        <v>183</v>
      </c>
      <c r="E51" s="56">
        <v>2872.4</v>
      </c>
      <c r="F51" s="84">
        <f>SUM(E51*5/1000)</f>
        <v>14.362</v>
      </c>
      <c r="G51" s="13">
        <v>1297.28</v>
      </c>
      <c r="H51" s="85">
        <f t="shared" si="5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22" ht="31.5" hidden="1" customHeight="1">
      <c r="A52" s="30"/>
      <c r="B52" s="82" t="s">
        <v>134</v>
      </c>
      <c r="C52" s="83" t="s">
        <v>125</v>
      </c>
      <c r="D52" s="82" t="s">
        <v>44</v>
      </c>
      <c r="E52" s="56">
        <v>2872.4</v>
      </c>
      <c r="F52" s="84">
        <f>SUM(E52*2/1000)</f>
        <v>5.7448000000000006</v>
      </c>
      <c r="G52" s="13">
        <v>1297.28</v>
      </c>
      <c r="H52" s="85">
        <f t="shared" si="5"/>
        <v>7.4526141440000009</v>
      </c>
      <c r="I52" s="13">
        <v>0</v>
      </c>
      <c r="J52" s="24"/>
      <c r="L52" s="20"/>
      <c r="M52" s="21"/>
      <c r="N52" s="22"/>
    </row>
    <row r="53" spans="1:22" ht="31.5" hidden="1" customHeight="1">
      <c r="A53" s="30"/>
      <c r="B53" s="82" t="s">
        <v>135</v>
      </c>
      <c r="C53" s="83" t="s">
        <v>40</v>
      </c>
      <c r="D53" s="82" t="s">
        <v>44</v>
      </c>
      <c r="E53" s="56">
        <v>40</v>
      </c>
      <c r="F53" s="84">
        <f>SUM(E53*2/100)</f>
        <v>0.8</v>
      </c>
      <c r="G53" s="13">
        <v>2918.89</v>
      </c>
      <c r="H53" s="85">
        <f t="shared" si="5"/>
        <v>2.3351120000000001</v>
      </c>
      <c r="I53" s="13">
        <v>0</v>
      </c>
      <c r="J53" s="24"/>
      <c r="L53" s="20"/>
      <c r="M53" s="21"/>
      <c r="N53" s="22"/>
    </row>
    <row r="54" spans="1:22" ht="15.75" hidden="1" customHeight="1">
      <c r="A54" s="30"/>
      <c r="B54" s="82" t="s">
        <v>41</v>
      </c>
      <c r="C54" s="83" t="s">
        <v>42</v>
      </c>
      <c r="D54" s="82" t="s">
        <v>44</v>
      </c>
      <c r="E54" s="56">
        <v>1</v>
      </c>
      <c r="F54" s="84">
        <v>0.02</v>
      </c>
      <c r="G54" s="13">
        <v>6042.12</v>
      </c>
      <c r="H54" s="85">
        <f t="shared" si="5"/>
        <v>0.1208424</v>
      </c>
      <c r="I54" s="13">
        <v>0</v>
      </c>
      <c r="J54" s="24"/>
      <c r="L54" s="20"/>
      <c r="M54" s="21"/>
      <c r="N54" s="22"/>
    </row>
    <row r="55" spans="1:22" ht="15.75" hidden="1" customHeight="1">
      <c r="A55" s="30">
        <v>15</v>
      </c>
      <c r="B55" s="82" t="s">
        <v>43</v>
      </c>
      <c r="C55" s="83" t="s">
        <v>31</v>
      </c>
      <c r="D55" s="82" t="s">
        <v>76</v>
      </c>
      <c r="E55" s="56">
        <v>160</v>
      </c>
      <c r="F55" s="84">
        <f>SUM(E55)*3</f>
        <v>480</v>
      </c>
      <c r="G55" s="13">
        <v>70.209999999999994</v>
      </c>
      <c r="H55" s="85">
        <f t="shared" si="5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22" ht="15.75" customHeight="1">
      <c r="A56" s="131" t="s">
        <v>186</v>
      </c>
      <c r="B56" s="132"/>
      <c r="C56" s="132"/>
      <c r="D56" s="132"/>
      <c r="E56" s="132"/>
      <c r="F56" s="132"/>
      <c r="G56" s="132"/>
      <c r="H56" s="132"/>
      <c r="I56" s="133"/>
      <c r="J56" s="24"/>
      <c r="L56" s="20"/>
      <c r="M56" s="21"/>
      <c r="N56" s="22"/>
    </row>
    <row r="57" spans="1:22" ht="15.75" customHeight="1">
      <c r="A57" s="30"/>
      <c r="B57" s="106" t="s">
        <v>45</v>
      </c>
      <c r="C57" s="83"/>
      <c r="D57" s="82"/>
      <c r="E57" s="56"/>
      <c r="F57" s="84"/>
      <c r="G57" s="84"/>
      <c r="H57" s="85"/>
      <c r="I57" s="13"/>
      <c r="J57" s="24"/>
      <c r="L57" s="20"/>
      <c r="M57" s="21"/>
      <c r="N57" s="22"/>
    </row>
    <row r="58" spans="1:22" ht="31.5" customHeight="1">
      <c r="A58" s="30">
        <v>14</v>
      </c>
      <c r="B58" s="82" t="s">
        <v>137</v>
      </c>
      <c r="C58" s="83" t="s">
        <v>116</v>
      </c>
      <c r="D58" s="82" t="s">
        <v>77</v>
      </c>
      <c r="E58" s="56">
        <v>239.59</v>
      </c>
      <c r="F58" s="84">
        <f>E58*6/100</f>
        <v>14.375399999999999</v>
      </c>
      <c r="G58" s="91">
        <v>1654.04</v>
      </c>
      <c r="H58" s="85">
        <f>F58*G58/1000</f>
        <v>23.777486615999997</v>
      </c>
      <c r="I58" s="13">
        <f>F58/6*G58</f>
        <v>3962.9144359999996</v>
      </c>
      <c r="J58" s="24"/>
      <c r="L58" s="20"/>
      <c r="M58" s="21"/>
      <c r="N58" s="22"/>
    </row>
    <row r="59" spans="1:22" ht="15.75" customHeight="1">
      <c r="A59" s="30"/>
      <c r="B59" s="107" t="s">
        <v>46</v>
      </c>
      <c r="C59" s="92"/>
      <c r="D59" s="93"/>
      <c r="E59" s="94"/>
      <c r="F59" s="96"/>
      <c r="G59" s="13"/>
      <c r="H59" s="98"/>
      <c r="I59" s="13"/>
      <c r="J59" s="24"/>
      <c r="L59" s="20"/>
      <c r="M59" s="21"/>
      <c r="N59" s="22"/>
    </row>
    <row r="60" spans="1:22" ht="15.75" hidden="1" customHeight="1">
      <c r="A60" s="30"/>
      <c r="B60" s="93" t="s">
        <v>47</v>
      </c>
      <c r="C60" s="92" t="s">
        <v>56</v>
      </c>
      <c r="D60" s="93" t="s">
        <v>57</v>
      </c>
      <c r="E60" s="94">
        <v>2686</v>
      </c>
      <c r="F60" s="96">
        <f>E60/100</f>
        <v>26.86</v>
      </c>
      <c r="G60" s="13">
        <v>848.37</v>
      </c>
      <c r="H60" s="98">
        <f>G60*F60/1000</f>
        <v>22.787218199999998</v>
      </c>
      <c r="I60" s="13">
        <v>0</v>
      </c>
      <c r="J60" s="24"/>
      <c r="L60" s="20"/>
    </row>
    <row r="61" spans="1:22" ht="15.75" customHeight="1">
      <c r="A61" s="30">
        <v>15</v>
      </c>
      <c r="B61" s="93" t="s">
        <v>105</v>
      </c>
      <c r="C61" s="92" t="s">
        <v>25</v>
      </c>
      <c r="D61" s="93" t="s">
        <v>30</v>
      </c>
      <c r="E61" s="94">
        <v>343</v>
      </c>
      <c r="F61" s="96">
        <v>4116</v>
      </c>
      <c r="G61" s="13">
        <v>2.6</v>
      </c>
      <c r="H61" s="98">
        <f>F61*G61</f>
        <v>10701.6</v>
      </c>
      <c r="I61" s="13">
        <f>F61/12*G61</f>
        <v>891.80000000000007</v>
      </c>
    </row>
    <row r="62" spans="1:22" ht="15.75" hidden="1" customHeight="1">
      <c r="A62" s="30"/>
      <c r="B62" s="107" t="s">
        <v>149</v>
      </c>
      <c r="C62" s="92"/>
      <c r="D62" s="93"/>
      <c r="E62" s="94"/>
      <c r="F62" s="96"/>
      <c r="G62" s="13"/>
      <c r="H62" s="98"/>
      <c r="I62" s="13"/>
    </row>
    <row r="63" spans="1:22" ht="15.75" hidden="1" customHeight="1">
      <c r="A63" s="30"/>
      <c r="B63" s="93" t="s">
        <v>150</v>
      </c>
      <c r="C63" s="92" t="s">
        <v>31</v>
      </c>
      <c r="D63" s="93" t="s">
        <v>72</v>
      </c>
      <c r="E63" s="94">
        <v>3</v>
      </c>
      <c r="F63" s="95">
        <v>3</v>
      </c>
      <c r="G63" s="97">
        <v>254.16</v>
      </c>
      <c r="H63" s="96">
        <v>0.76200000000000001</v>
      </c>
      <c r="I63" s="13">
        <v>0</v>
      </c>
    </row>
    <row r="64" spans="1:22" ht="15.75" customHeight="1">
      <c r="A64" s="30"/>
      <c r="B64" s="107" t="s">
        <v>48</v>
      </c>
      <c r="C64" s="92"/>
      <c r="D64" s="93"/>
      <c r="E64" s="94"/>
      <c r="F64" s="95"/>
      <c r="G64" s="95"/>
      <c r="H64" s="96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30">
        <v>16</v>
      </c>
      <c r="B65" s="14" t="s">
        <v>49</v>
      </c>
      <c r="C65" s="16" t="s">
        <v>136</v>
      </c>
      <c r="D65" s="93" t="s">
        <v>72</v>
      </c>
      <c r="E65" s="19">
        <v>15</v>
      </c>
      <c r="F65" s="84">
        <v>15</v>
      </c>
      <c r="G65" s="13">
        <v>237.74</v>
      </c>
      <c r="H65" s="99">
        <f t="shared" ref="H65:H78" si="6">SUM(F65*G65/1000)</f>
        <v>3.5661000000000005</v>
      </c>
      <c r="I65" s="13">
        <f>G65</f>
        <v>237.74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14" t="s">
        <v>50</v>
      </c>
      <c r="C66" s="16" t="s">
        <v>136</v>
      </c>
      <c r="D66" s="93" t="s">
        <v>72</v>
      </c>
      <c r="E66" s="19">
        <v>5</v>
      </c>
      <c r="F66" s="84">
        <v>5</v>
      </c>
      <c r="G66" s="13">
        <v>81.510000000000005</v>
      </c>
      <c r="H66" s="99">
        <f t="shared" si="6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14" t="s">
        <v>51</v>
      </c>
      <c r="C67" s="16" t="s">
        <v>138</v>
      </c>
      <c r="D67" s="14" t="s">
        <v>57</v>
      </c>
      <c r="E67" s="56">
        <v>24123</v>
      </c>
      <c r="F67" s="13">
        <f>SUM(E67/100)</f>
        <v>241.23</v>
      </c>
      <c r="G67" s="13">
        <v>226.79</v>
      </c>
      <c r="H67" s="99">
        <f t="shared" si="6"/>
        <v>54.708551699999994</v>
      </c>
      <c r="I67" s="13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127"/>
      <c r="S67" s="127"/>
      <c r="T67" s="127"/>
      <c r="U67" s="127"/>
    </row>
    <row r="68" spans="1:21" ht="15.75" hidden="1" customHeight="1">
      <c r="A68" s="30"/>
      <c r="B68" s="14" t="s">
        <v>52</v>
      </c>
      <c r="C68" s="16" t="s">
        <v>139</v>
      </c>
      <c r="D68" s="14"/>
      <c r="E68" s="56">
        <v>24123</v>
      </c>
      <c r="F68" s="13">
        <f>SUM(E68/1000)</f>
        <v>24.123000000000001</v>
      </c>
      <c r="G68" s="13">
        <v>176.61</v>
      </c>
      <c r="H68" s="99">
        <f t="shared" si="6"/>
        <v>4.2603630300000006</v>
      </c>
      <c r="I68" s="13">
        <f t="shared" ref="I68:I72" si="7">F68*G68</f>
        <v>4260.3630300000004</v>
      </c>
    </row>
    <row r="69" spans="1:21" ht="15.75" hidden="1" customHeight="1">
      <c r="A69" s="30"/>
      <c r="B69" s="14" t="s">
        <v>53</v>
      </c>
      <c r="C69" s="16" t="s">
        <v>82</v>
      </c>
      <c r="D69" s="14" t="s">
        <v>57</v>
      </c>
      <c r="E69" s="56">
        <v>2730</v>
      </c>
      <c r="F69" s="13">
        <f>SUM(E69/100)</f>
        <v>27.3</v>
      </c>
      <c r="G69" s="13">
        <v>2217.7800000000002</v>
      </c>
      <c r="H69" s="99">
        <f t="shared" si="6"/>
        <v>60.545394000000009</v>
      </c>
      <c r="I69" s="13">
        <f t="shared" si="7"/>
        <v>60545.394000000008</v>
      </c>
    </row>
    <row r="70" spans="1:21" ht="15.75" hidden="1" customHeight="1">
      <c r="A70" s="30"/>
      <c r="B70" s="100" t="s">
        <v>140</v>
      </c>
      <c r="C70" s="16" t="s">
        <v>34</v>
      </c>
      <c r="D70" s="14"/>
      <c r="E70" s="56">
        <v>23</v>
      </c>
      <c r="F70" s="13">
        <f>SUM(E70)</f>
        <v>23</v>
      </c>
      <c r="G70" s="13">
        <v>42.67</v>
      </c>
      <c r="H70" s="99">
        <f t="shared" si="6"/>
        <v>0.98141000000000012</v>
      </c>
      <c r="I70" s="13">
        <f t="shared" si="7"/>
        <v>981.41000000000008</v>
      </c>
    </row>
    <row r="71" spans="1:21" ht="15.75" hidden="1" customHeight="1">
      <c r="A71" s="30"/>
      <c r="B71" s="100" t="s">
        <v>141</v>
      </c>
      <c r="C71" s="16" t="s">
        <v>34</v>
      </c>
      <c r="D71" s="14"/>
      <c r="E71" s="56">
        <v>23</v>
      </c>
      <c r="F71" s="13">
        <f>SUM(E71)</f>
        <v>23</v>
      </c>
      <c r="G71" s="13">
        <v>39.81</v>
      </c>
      <c r="H71" s="99">
        <f t="shared" si="6"/>
        <v>0.91563000000000005</v>
      </c>
      <c r="I71" s="13">
        <f t="shared" si="7"/>
        <v>915.63000000000011</v>
      </c>
    </row>
    <row r="72" spans="1:21" ht="15.75" hidden="1" customHeight="1">
      <c r="A72" s="30"/>
      <c r="B72" s="14" t="s">
        <v>62</v>
      </c>
      <c r="C72" s="16" t="s">
        <v>63</v>
      </c>
      <c r="D72" s="14" t="s">
        <v>57</v>
      </c>
      <c r="E72" s="19">
        <v>10</v>
      </c>
      <c r="F72" s="84">
        <f>SUM(E72)</f>
        <v>10</v>
      </c>
      <c r="G72" s="13">
        <v>53.32</v>
      </c>
      <c r="H72" s="99">
        <f t="shared" si="6"/>
        <v>0.53320000000000001</v>
      </c>
      <c r="I72" s="13">
        <f t="shared" si="7"/>
        <v>533.20000000000005</v>
      </c>
    </row>
    <row r="73" spans="1:21" ht="15.75" hidden="1" customHeight="1">
      <c r="A73" s="30"/>
      <c r="B73" s="64" t="s">
        <v>78</v>
      </c>
      <c r="C73" s="16"/>
      <c r="D73" s="14"/>
      <c r="E73" s="19"/>
      <c r="F73" s="13"/>
      <c r="G73" s="13"/>
      <c r="H73" s="99" t="s">
        <v>144</v>
      </c>
      <c r="I73" s="13"/>
    </row>
    <row r="74" spans="1:21" ht="15.75" hidden="1" customHeight="1">
      <c r="A74" s="30"/>
      <c r="B74" s="14" t="s">
        <v>79</v>
      </c>
      <c r="C74" s="16" t="s">
        <v>32</v>
      </c>
      <c r="D74" s="14"/>
      <c r="E74" s="19">
        <v>2</v>
      </c>
      <c r="F74" s="75">
        <v>0.2</v>
      </c>
      <c r="G74" s="13">
        <v>536.23</v>
      </c>
      <c r="H74" s="99">
        <v>0.251</v>
      </c>
      <c r="I74" s="13">
        <v>0</v>
      </c>
    </row>
    <row r="75" spans="1:21" ht="15.75" hidden="1" customHeight="1">
      <c r="A75" s="30"/>
      <c r="B75" s="14" t="s">
        <v>95</v>
      </c>
      <c r="C75" s="16" t="s">
        <v>31</v>
      </c>
      <c r="D75" s="14"/>
      <c r="E75" s="19">
        <v>1</v>
      </c>
      <c r="F75" s="84">
        <f>SUM(E75)</f>
        <v>1</v>
      </c>
      <c r="G75" s="13">
        <v>383.25</v>
      </c>
      <c r="H75" s="99">
        <f t="shared" si="6"/>
        <v>0.38324999999999998</v>
      </c>
      <c r="I75" s="13">
        <v>0</v>
      </c>
    </row>
    <row r="76" spans="1:21" ht="15.75" hidden="1" customHeight="1">
      <c r="A76" s="30"/>
      <c r="B76" s="14" t="s">
        <v>80</v>
      </c>
      <c r="C76" s="16" t="s">
        <v>31</v>
      </c>
      <c r="D76" s="14"/>
      <c r="E76" s="19">
        <v>2</v>
      </c>
      <c r="F76" s="13">
        <v>2</v>
      </c>
      <c r="G76" s="13">
        <v>911.85</v>
      </c>
      <c r="H76" s="99">
        <f>F76*G76/1000</f>
        <v>1.8237000000000001</v>
      </c>
      <c r="I76" s="13">
        <v>0</v>
      </c>
    </row>
    <row r="77" spans="1:21" ht="15.75" hidden="1" customHeight="1">
      <c r="A77" s="30"/>
      <c r="B77" s="101" t="s">
        <v>81</v>
      </c>
      <c r="C77" s="16"/>
      <c r="D77" s="14"/>
      <c r="E77" s="19"/>
      <c r="F77" s="13"/>
      <c r="G77" s="13" t="s">
        <v>144</v>
      </c>
      <c r="H77" s="99" t="s">
        <v>144</v>
      </c>
      <c r="I77" s="13"/>
    </row>
    <row r="78" spans="1:21" ht="15.75" hidden="1" customHeight="1">
      <c r="A78" s="30"/>
      <c r="B78" s="49" t="s">
        <v>145</v>
      </c>
      <c r="C78" s="16" t="s">
        <v>82</v>
      </c>
      <c r="D78" s="14"/>
      <c r="E78" s="19"/>
      <c r="F78" s="13">
        <v>1.35</v>
      </c>
      <c r="G78" s="13">
        <v>2949.85</v>
      </c>
      <c r="H78" s="99">
        <f t="shared" si="6"/>
        <v>3.9822975</v>
      </c>
      <c r="I78" s="13">
        <v>0</v>
      </c>
    </row>
    <row r="79" spans="1:21" ht="15.75" hidden="1" customHeight="1">
      <c r="A79" s="30"/>
      <c r="B79" s="87" t="s">
        <v>142</v>
      </c>
      <c r="C79" s="101"/>
      <c r="D79" s="32"/>
      <c r="E79" s="33"/>
      <c r="F79" s="88"/>
      <c r="G79" s="88"/>
      <c r="H79" s="102">
        <f>SUM(H58:H78)</f>
        <v>10881.285151046004</v>
      </c>
      <c r="I79" s="88"/>
    </row>
    <row r="80" spans="1:21" ht="15.75" hidden="1" customHeight="1">
      <c r="A80" s="30"/>
      <c r="B80" s="82" t="s">
        <v>143</v>
      </c>
      <c r="C80" s="16"/>
      <c r="D80" s="14"/>
      <c r="E80" s="76"/>
      <c r="F80" s="13">
        <v>1</v>
      </c>
      <c r="G80" s="13">
        <v>19342.2</v>
      </c>
      <c r="H80" s="99">
        <f>G80*F80/1000</f>
        <v>19.342200000000002</v>
      </c>
      <c r="I80" s="13">
        <v>0</v>
      </c>
    </row>
    <row r="81" spans="1:9" ht="15.75" customHeight="1">
      <c r="A81" s="140" t="s">
        <v>187</v>
      </c>
      <c r="B81" s="141"/>
      <c r="C81" s="141"/>
      <c r="D81" s="141"/>
      <c r="E81" s="141"/>
      <c r="F81" s="141"/>
      <c r="G81" s="141"/>
      <c r="H81" s="141"/>
      <c r="I81" s="142"/>
    </row>
    <row r="82" spans="1:9" ht="15.75" customHeight="1">
      <c r="A82" s="30">
        <v>17</v>
      </c>
      <c r="B82" s="82" t="s">
        <v>146</v>
      </c>
      <c r="C82" s="16" t="s">
        <v>59</v>
      </c>
      <c r="D82" s="103" t="s">
        <v>60</v>
      </c>
      <c r="E82" s="13">
        <v>4591.2</v>
      </c>
      <c r="F82" s="13">
        <f>SUM(E82*12)</f>
        <v>55094.399999999994</v>
      </c>
      <c r="G82" s="13">
        <v>2.54</v>
      </c>
      <c r="H82" s="99">
        <f>SUM(F82*G82/1000)</f>
        <v>139.93977599999999</v>
      </c>
      <c r="I82" s="13">
        <f>F82/12*G82</f>
        <v>11661.647999999999</v>
      </c>
    </row>
    <row r="83" spans="1:9" ht="31.5" customHeight="1">
      <c r="A83" s="30">
        <v>18</v>
      </c>
      <c r="B83" s="14" t="s">
        <v>83</v>
      </c>
      <c r="C83" s="16"/>
      <c r="D83" s="103" t="s">
        <v>60</v>
      </c>
      <c r="E83" s="56">
        <f>E82</f>
        <v>4591.2</v>
      </c>
      <c r="F83" s="13">
        <f>E83*12</f>
        <v>55094.399999999994</v>
      </c>
      <c r="G83" s="13">
        <v>2.0499999999999998</v>
      </c>
      <c r="H83" s="99">
        <f>F83*G83/1000</f>
        <v>112.94351999999998</v>
      </c>
      <c r="I83" s="13">
        <f>F83/12*G83</f>
        <v>9411.9599999999991</v>
      </c>
    </row>
    <row r="84" spans="1:9" ht="15.75" customHeight="1">
      <c r="A84" s="50"/>
      <c r="B84" s="40" t="s">
        <v>86</v>
      </c>
      <c r="C84" s="42"/>
      <c r="D84" s="15"/>
      <c r="E84" s="15"/>
      <c r="F84" s="15"/>
      <c r="G84" s="19"/>
      <c r="H84" s="19"/>
      <c r="I84" s="33">
        <f>SUM(I16+I17+I18+I20+I21+I26+I27+I38+I39+I41+I42+I43+I44+I58+I61+I65+I82+I83)</f>
        <v>85809.984236249991</v>
      </c>
    </row>
    <row r="85" spans="1:9" ht="15.75" customHeight="1">
      <c r="A85" s="137" t="s">
        <v>65</v>
      </c>
      <c r="B85" s="138"/>
      <c r="C85" s="138"/>
      <c r="D85" s="138"/>
      <c r="E85" s="138"/>
      <c r="F85" s="138"/>
      <c r="G85" s="138"/>
      <c r="H85" s="138"/>
      <c r="I85" s="139"/>
    </row>
    <row r="86" spans="1:9" ht="15.75" customHeight="1">
      <c r="A86" s="30">
        <v>19</v>
      </c>
      <c r="B86" s="66" t="s">
        <v>204</v>
      </c>
      <c r="C86" s="67" t="s">
        <v>99</v>
      </c>
      <c r="D86" s="49"/>
      <c r="E86" s="37"/>
      <c r="F86" s="37">
        <f>124/3</f>
        <v>41.333333333333336</v>
      </c>
      <c r="G86" s="37">
        <v>1120.8900000000001</v>
      </c>
      <c r="H86" s="117">
        <f t="shared" ref="H86:H90" si="8">G86*F86/1000</f>
        <v>46.330120000000008</v>
      </c>
      <c r="I86" s="13">
        <f>G86*((15)/3)</f>
        <v>5604.4500000000007</v>
      </c>
    </row>
    <row r="87" spans="1:9" ht="15.75" customHeight="1">
      <c r="A87" s="30">
        <v>20</v>
      </c>
      <c r="B87" s="115" t="s">
        <v>211</v>
      </c>
      <c r="C87" s="116" t="s">
        <v>212</v>
      </c>
      <c r="D87" s="118"/>
      <c r="E87" s="37"/>
      <c r="F87" s="37">
        <v>3</v>
      </c>
      <c r="G87" s="37">
        <v>663.38</v>
      </c>
      <c r="H87" s="117">
        <f t="shared" si="8"/>
        <v>1.9901399999999998</v>
      </c>
      <c r="I87" s="13">
        <f>G87</f>
        <v>663.38</v>
      </c>
    </row>
    <row r="88" spans="1:9" ht="15.75" customHeight="1">
      <c r="A88" s="30">
        <v>21</v>
      </c>
      <c r="B88" s="53" t="s">
        <v>169</v>
      </c>
      <c r="C88" s="58" t="s">
        <v>101</v>
      </c>
      <c r="D88" s="49"/>
      <c r="E88" s="37"/>
      <c r="F88" s="37">
        <v>2</v>
      </c>
      <c r="G88" s="38">
        <v>506.98</v>
      </c>
      <c r="H88" s="117">
        <f t="shared" si="8"/>
        <v>1.01396</v>
      </c>
      <c r="I88" s="13">
        <f t="shared" ref="I88:I89" si="9">G88</f>
        <v>506.98</v>
      </c>
    </row>
    <row r="89" spans="1:9" ht="15.75" customHeight="1">
      <c r="A89" s="30">
        <v>22</v>
      </c>
      <c r="B89" s="115" t="s">
        <v>213</v>
      </c>
      <c r="C89" s="116" t="s">
        <v>101</v>
      </c>
      <c r="D89" s="49"/>
      <c r="E89" s="37"/>
      <c r="F89" s="37">
        <v>2</v>
      </c>
      <c r="G89" s="38">
        <v>440.8</v>
      </c>
      <c r="H89" s="117">
        <f t="shared" si="8"/>
        <v>0.88160000000000005</v>
      </c>
      <c r="I89" s="13">
        <f t="shared" si="9"/>
        <v>440.8</v>
      </c>
    </row>
    <row r="90" spans="1:9" ht="15.75" customHeight="1">
      <c r="A90" s="30">
        <v>23</v>
      </c>
      <c r="B90" s="53" t="s">
        <v>214</v>
      </c>
      <c r="C90" s="58" t="s">
        <v>215</v>
      </c>
      <c r="D90" s="49"/>
      <c r="E90" s="37"/>
      <c r="F90" s="37">
        <v>6</v>
      </c>
      <c r="G90" s="13">
        <v>1582</v>
      </c>
      <c r="H90" s="117">
        <f t="shared" si="8"/>
        <v>9.4920000000000009</v>
      </c>
      <c r="I90" s="13">
        <f>G90*6</f>
        <v>9492</v>
      </c>
    </row>
    <row r="91" spans="1:9" ht="15.75" customHeight="1">
      <c r="A91" s="30">
        <v>24</v>
      </c>
      <c r="B91" s="104" t="s">
        <v>216</v>
      </c>
      <c r="C91" s="58" t="s">
        <v>136</v>
      </c>
      <c r="D91" s="49"/>
      <c r="E91" s="37"/>
      <c r="F91" s="37">
        <v>2</v>
      </c>
      <c r="G91" s="37">
        <v>189.7</v>
      </c>
      <c r="H91" s="117">
        <f>G91*F91/1000</f>
        <v>0.37939999999999996</v>
      </c>
      <c r="I91" s="13">
        <f>G91</f>
        <v>189.7</v>
      </c>
    </row>
    <row r="92" spans="1:9" ht="15.75" customHeight="1">
      <c r="A92" s="30">
        <v>25</v>
      </c>
      <c r="B92" s="35" t="s">
        <v>113</v>
      </c>
      <c r="C92" s="41" t="s">
        <v>31</v>
      </c>
      <c r="D92" s="49"/>
      <c r="E92" s="37"/>
      <c r="F92" s="34">
        <v>1</v>
      </c>
      <c r="G92" s="38">
        <v>86.15</v>
      </c>
      <c r="H92" s="117">
        <f>G92*F92/1000</f>
        <v>8.6150000000000004E-2</v>
      </c>
      <c r="I92" s="13">
        <f t="shared" ref="I92" si="10">G92</f>
        <v>86.15</v>
      </c>
    </row>
    <row r="93" spans="1:9" ht="15.75" customHeight="1">
      <c r="A93" s="30">
        <v>26</v>
      </c>
      <c r="B93" s="104" t="s">
        <v>167</v>
      </c>
      <c r="C93" s="105" t="s">
        <v>168</v>
      </c>
      <c r="D93" s="118"/>
      <c r="E93" s="37"/>
      <c r="F93" s="37">
        <f>2/10</f>
        <v>0.2</v>
      </c>
      <c r="G93" s="37">
        <v>14148.8</v>
      </c>
      <c r="H93" s="117">
        <f t="shared" ref="H93" si="11">G93*F93/1000</f>
        <v>2.8297600000000003</v>
      </c>
      <c r="I93" s="13">
        <f>G93*0.1</f>
        <v>1414.88</v>
      </c>
    </row>
    <row r="94" spans="1:9" ht="15.75" customHeight="1">
      <c r="A94" s="30"/>
      <c r="B94" s="47" t="s">
        <v>54</v>
      </c>
      <c r="C94" s="43"/>
      <c r="D94" s="51"/>
      <c r="E94" s="43">
        <v>1</v>
      </c>
      <c r="F94" s="43"/>
      <c r="G94" s="43"/>
      <c r="H94" s="43"/>
      <c r="I94" s="33">
        <f>SUM(I86:I93)</f>
        <v>18398.340000000004</v>
      </c>
    </row>
    <row r="95" spans="1:9" ht="15.75" customHeight="1">
      <c r="A95" s="30"/>
      <c r="B95" s="49" t="s">
        <v>84</v>
      </c>
      <c r="C95" s="15"/>
      <c r="D95" s="15"/>
      <c r="E95" s="44"/>
      <c r="F95" s="44"/>
      <c r="G95" s="45"/>
      <c r="H95" s="45"/>
      <c r="I95" s="18">
        <v>0</v>
      </c>
    </row>
    <row r="96" spans="1:9" ht="15.75" customHeight="1">
      <c r="A96" s="52"/>
      <c r="B96" s="48" t="s">
        <v>203</v>
      </c>
      <c r="C96" s="36"/>
      <c r="D96" s="36"/>
      <c r="E96" s="36"/>
      <c r="F96" s="36"/>
      <c r="G96" s="36"/>
      <c r="H96" s="36"/>
      <c r="I96" s="46">
        <f>I84+I94</f>
        <v>104208.32423624999</v>
      </c>
    </row>
    <row r="97" spans="1:9" ht="15.75" customHeight="1">
      <c r="A97" s="134" t="s">
        <v>217</v>
      </c>
      <c r="B97" s="134"/>
      <c r="C97" s="134"/>
      <c r="D97" s="134"/>
      <c r="E97" s="134"/>
      <c r="F97" s="134"/>
      <c r="G97" s="134"/>
      <c r="H97" s="134"/>
      <c r="I97" s="134"/>
    </row>
    <row r="98" spans="1:9" ht="15.75" customHeight="1">
      <c r="A98" s="65"/>
      <c r="B98" s="135" t="s">
        <v>218</v>
      </c>
      <c r="C98" s="135"/>
      <c r="D98" s="135"/>
      <c r="E98" s="135"/>
      <c r="F98" s="135"/>
      <c r="G98" s="135"/>
      <c r="H98" s="80"/>
      <c r="I98" s="3"/>
    </row>
    <row r="99" spans="1:9" ht="15.75" customHeight="1">
      <c r="A99" s="59"/>
      <c r="B99" s="125" t="s">
        <v>6</v>
      </c>
      <c r="C99" s="125"/>
      <c r="D99" s="125"/>
      <c r="E99" s="125"/>
      <c r="F99" s="125"/>
      <c r="G99" s="125"/>
      <c r="H99" s="25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136" t="s">
        <v>7</v>
      </c>
      <c r="B101" s="136"/>
      <c r="C101" s="136"/>
      <c r="D101" s="136"/>
      <c r="E101" s="136"/>
      <c r="F101" s="136"/>
      <c r="G101" s="136"/>
      <c r="H101" s="136"/>
      <c r="I101" s="136"/>
    </row>
    <row r="102" spans="1:9" ht="15.75" customHeight="1">
      <c r="A102" s="136" t="s">
        <v>8</v>
      </c>
      <c r="B102" s="136"/>
      <c r="C102" s="136"/>
      <c r="D102" s="136"/>
      <c r="E102" s="136"/>
      <c r="F102" s="136"/>
      <c r="G102" s="136"/>
      <c r="H102" s="136"/>
      <c r="I102" s="136"/>
    </row>
    <row r="103" spans="1:9" ht="15.75" customHeight="1">
      <c r="A103" s="129" t="s">
        <v>66</v>
      </c>
      <c r="B103" s="129"/>
      <c r="C103" s="129"/>
      <c r="D103" s="129"/>
      <c r="E103" s="129"/>
      <c r="F103" s="129"/>
      <c r="G103" s="129"/>
      <c r="H103" s="129"/>
      <c r="I103" s="129"/>
    </row>
    <row r="104" spans="1:9" ht="15.75" customHeight="1">
      <c r="A104" s="11"/>
    </row>
    <row r="105" spans="1:9" ht="15.75" customHeight="1">
      <c r="A105" s="123" t="s">
        <v>9</v>
      </c>
      <c r="B105" s="123"/>
      <c r="C105" s="123"/>
      <c r="D105" s="123"/>
      <c r="E105" s="123"/>
      <c r="F105" s="123"/>
      <c r="G105" s="123"/>
      <c r="H105" s="123"/>
      <c r="I105" s="123"/>
    </row>
    <row r="106" spans="1:9" ht="15.75" customHeight="1">
      <c r="A106" s="4"/>
    </row>
    <row r="107" spans="1:9" ht="15.75" customHeight="1">
      <c r="B107" s="62" t="s">
        <v>10</v>
      </c>
      <c r="C107" s="124" t="s">
        <v>97</v>
      </c>
      <c r="D107" s="124"/>
      <c r="E107" s="124"/>
      <c r="F107" s="78"/>
      <c r="I107" s="61"/>
    </row>
    <row r="108" spans="1:9" ht="15.75" customHeight="1">
      <c r="A108" s="59"/>
      <c r="C108" s="125" t="s">
        <v>11</v>
      </c>
      <c r="D108" s="125"/>
      <c r="E108" s="125"/>
      <c r="F108" s="25"/>
      <c r="I108" s="60" t="s">
        <v>12</v>
      </c>
    </row>
    <row r="109" spans="1:9" ht="15.75" customHeight="1">
      <c r="A109" s="26"/>
      <c r="C109" s="12"/>
      <c r="D109" s="12"/>
      <c r="G109" s="12"/>
      <c r="H109" s="12"/>
    </row>
    <row r="110" spans="1:9" ht="15.75" customHeight="1">
      <c r="B110" s="62" t="s">
        <v>13</v>
      </c>
      <c r="C110" s="126"/>
      <c r="D110" s="126"/>
      <c r="E110" s="126"/>
      <c r="F110" s="79"/>
      <c r="I110" s="61"/>
    </row>
    <row r="111" spans="1:9" ht="15.75" customHeight="1">
      <c r="A111" s="59"/>
      <c r="C111" s="127" t="s">
        <v>11</v>
      </c>
      <c r="D111" s="127"/>
      <c r="E111" s="127"/>
      <c r="F111" s="59"/>
      <c r="I111" s="60" t="s">
        <v>12</v>
      </c>
    </row>
    <row r="112" spans="1:9" ht="15.75" customHeight="1">
      <c r="A112" s="4" t="s">
        <v>14</v>
      </c>
    </row>
    <row r="113" spans="1:9" ht="15.75" customHeight="1">
      <c r="A113" s="128" t="s">
        <v>15</v>
      </c>
      <c r="B113" s="128"/>
      <c r="C113" s="128"/>
      <c r="D113" s="128"/>
      <c r="E113" s="128"/>
      <c r="F113" s="128"/>
      <c r="G113" s="128"/>
      <c r="H113" s="128"/>
      <c r="I113" s="128"/>
    </row>
    <row r="114" spans="1:9" ht="45" customHeight="1">
      <c r="A114" s="122" t="s">
        <v>16</v>
      </c>
      <c r="B114" s="122"/>
      <c r="C114" s="122"/>
      <c r="D114" s="122"/>
      <c r="E114" s="122"/>
      <c r="F114" s="122"/>
      <c r="G114" s="122"/>
      <c r="H114" s="122"/>
      <c r="I114" s="122"/>
    </row>
    <row r="115" spans="1:9" ht="30" customHeight="1">
      <c r="A115" s="122" t="s">
        <v>17</v>
      </c>
      <c r="B115" s="122"/>
      <c r="C115" s="122"/>
      <c r="D115" s="122"/>
      <c r="E115" s="122"/>
      <c r="F115" s="122"/>
      <c r="G115" s="122"/>
      <c r="H115" s="122"/>
      <c r="I115" s="122"/>
    </row>
    <row r="116" spans="1:9" ht="30" customHeight="1">
      <c r="A116" s="122" t="s">
        <v>21</v>
      </c>
      <c r="B116" s="122"/>
      <c r="C116" s="122"/>
      <c r="D116" s="122"/>
      <c r="E116" s="122"/>
      <c r="F116" s="122"/>
      <c r="G116" s="122"/>
      <c r="H116" s="122"/>
      <c r="I116" s="122"/>
    </row>
    <row r="117" spans="1:9" ht="15" customHeight="1">
      <c r="A117" s="122" t="s">
        <v>20</v>
      </c>
      <c r="B117" s="122"/>
      <c r="C117" s="122"/>
      <c r="D117" s="122"/>
      <c r="E117" s="122"/>
      <c r="F117" s="122"/>
      <c r="G117" s="122"/>
      <c r="H117" s="122"/>
      <c r="I117" s="122"/>
    </row>
  </sheetData>
  <autoFilter ref="I12:I62"/>
  <mergeCells count="29">
    <mergeCell ref="R67:U67"/>
    <mergeCell ref="A81:I81"/>
    <mergeCell ref="A3:I3"/>
    <mergeCell ref="A4:I4"/>
    <mergeCell ref="A5:I5"/>
    <mergeCell ref="A8:I8"/>
    <mergeCell ref="A10:I10"/>
    <mergeCell ref="A14:I14"/>
    <mergeCell ref="A103:I103"/>
    <mergeCell ref="A15:I15"/>
    <mergeCell ref="A28:I28"/>
    <mergeCell ref="A45:I45"/>
    <mergeCell ref="A56:I56"/>
    <mergeCell ref="A97:I97"/>
    <mergeCell ref="B98:G98"/>
    <mergeCell ref="B99:G99"/>
    <mergeCell ref="A101:I101"/>
    <mergeCell ref="A102:I102"/>
    <mergeCell ref="A85:I85"/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92</v>
      </c>
      <c r="I1" s="27"/>
      <c r="J1" s="1"/>
      <c r="K1" s="1"/>
      <c r="L1" s="1"/>
      <c r="M1" s="1"/>
    </row>
    <row r="2" spans="1:13" ht="15.75" customHeight="1">
      <c r="A2" s="29" t="s">
        <v>67</v>
      </c>
      <c r="J2" s="2"/>
      <c r="K2" s="2"/>
      <c r="L2" s="2"/>
      <c r="M2" s="2"/>
    </row>
    <row r="3" spans="1:13" ht="15.75" customHeight="1">
      <c r="A3" s="143" t="s">
        <v>188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147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219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 customHeight="1">
      <c r="A6" s="2"/>
      <c r="B6" s="63"/>
      <c r="C6" s="63"/>
      <c r="D6" s="63"/>
      <c r="E6" s="63"/>
      <c r="F6" s="63"/>
      <c r="G6" s="63"/>
      <c r="H6" s="63"/>
      <c r="I6" s="31">
        <v>42855</v>
      </c>
      <c r="J6" s="2"/>
      <c r="K6" s="2"/>
      <c r="L6" s="2"/>
      <c r="M6" s="2"/>
    </row>
    <row r="7" spans="1:13" ht="15.75" customHeight="1">
      <c r="B7" s="62"/>
      <c r="C7" s="62"/>
      <c r="D7" s="6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158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276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64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30" t="s">
        <v>4</v>
      </c>
      <c r="B15" s="130"/>
      <c r="C15" s="130"/>
      <c r="D15" s="130"/>
      <c r="E15" s="130"/>
      <c r="F15" s="130"/>
      <c r="G15" s="130"/>
      <c r="H15" s="130"/>
      <c r="I15" s="130"/>
      <c r="J15" s="8"/>
      <c r="K15" s="8"/>
      <c r="L15" s="8"/>
      <c r="M15" s="8"/>
    </row>
    <row r="16" spans="1:13" ht="15.75" customHeight="1">
      <c r="A16" s="30">
        <v>1</v>
      </c>
      <c r="B16" s="82" t="s">
        <v>93</v>
      </c>
      <c r="C16" s="83" t="s">
        <v>116</v>
      </c>
      <c r="D16" s="82" t="s">
        <v>117</v>
      </c>
      <c r="E16" s="56">
        <v>127.9</v>
      </c>
      <c r="F16" s="84">
        <f>SUM(E16*156/100)</f>
        <v>199.524</v>
      </c>
      <c r="G16" s="84">
        <v>187.48</v>
      </c>
      <c r="H16" s="85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82" t="s">
        <v>102</v>
      </c>
      <c r="C17" s="83" t="s">
        <v>116</v>
      </c>
      <c r="D17" s="82" t="s">
        <v>181</v>
      </c>
      <c r="E17" s="56">
        <v>511.6</v>
      </c>
      <c r="F17" s="84">
        <f>SUM(E17*104/100)</f>
        <v>532.06399999999996</v>
      </c>
      <c r="G17" s="84">
        <v>185.48</v>
      </c>
      <c r="H17" s="85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82" t="s">
        <v>103</v>
      </c>
      <c r="C18" s="83" t="s">
        <v>116</v>
      </c>
      <c r="D18" s="82" t="s">
        <v>118</v>
      </c>
      <c r="E18" s="56">
        <f>SUM(E16+E17)</f>
        <v>639.5</v>
      </c>
      <c r="F18" s="84">
        <f>SUM(E18*24/100)</f>
        <v>153.47999999999999</v>
      </c>
      <c r="G18" s="84">
        <v>539.30999999999995</v>
      </c>
      <c r="H18" s="85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82" t="s">
        <v>119</v>
      </c>
      <c r="C19" s="83" t="s">
        <v>120</v>
      </c>
      <c r="D19" s="82" t="s">
        <v>121</v>
      </c>
      <c r="E19" s="56">
        <v>38.4</v>
      </c>
      <c r="F19" s="84">
        <f>SUM(E19/10)</f>
        <v>3.84</v>
      </c>
      <c r="G19" s="84">
        <v>181.91</v>
      </c>
      <c r="H19" s="85">
        <f t="shared" si="0"/>
        <v>0.6985344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82" t="s">
        <v>107</v>
      </c>
      <c r="C20" s="83" t="s">
        <v>116</v>
      </c>
      <c r="D20" s="82" t="s">
        <v>30</v>
      </c>
      <c r="E20" s="56">
        <v>58.4</v>
      </c>
      <c r="F20" s="84">
        <f>SUM(E20*12/100)</f>
        <v>7.0079999999999991</v>
      </c>
      <c r="G20" s="84">
        <v>232.92</v>
      </c>
      <c r="H20" s="85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hidden="1" customHeight="1">
      <c r="A21" s="30">
        <v>5</v>
      </c>
      <c r="B21" s="82" t="s">
        <v>108</v>
      </c>
      <c r="C21" s="83" t="s">
        <v>116</v>
      </c>
      <c r="D21" s="82" t="s">
        <v>115</v>
      </c>
      <c r="E21" s="56">
        <v>9.08</v>
      </c>
      <c r="F21" s="84">
        <f>SUM(E21*6/100)</f>
        <v>0.54480000000000006</v>
      </c>
      <c r="G21" s="84">
        <v>231.03</v>
      </c>
      <c r="H21" s="85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82" t="s">
        <v>122</v>
      </c>
      <c r="C22" s="83" t="s">
        <v>56</v>
      </c>
      <c r="D22" s="82" t="s">
        <v>121</v>
      </c>
      <c r="E22" s="56">
        <v>714</v>
      </c>
      <c r="F22" s="84">
        <f>SUM(E22/100)</f>
        <v>7.14</v>
      </c>
      <c r="G22" s="84">
        <v>287.83999999999997</v>
      </c>
      <c r="H22" s="85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82" t="s">
        <v>123</v>
      </c>
      <c r="C23" s="83" t="s">
        <v>56</v>
      </c>
      <c r="D23" s="82" t="s">
        <v>121</v>
      </c>
      <c r="E23" s="77">
        <v>96.6</v>
      </c>
      <c r="F23" s="84">
        <f>SUM(E23/100)</f>
        <v>0.96599999999999997</v>
      </c>
      <c r="G23" s="84">
        <v>47.34</v>
      </c>
      <c r="H23" s="85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82" t="s">
        <v>110</v>
      </c>
      <c r="C24" s="83" t="s">
        <v>56</v>
      </c>
      <c r="D24" s="82" t="s">
        <v>121</v>
      </c>
      <c r="E24" s="19">
        <v>40</v>
      </c>
      <c r="F24" s="86">
        <v>4.8</v>
      </c>
      <c r="G24" s="84">
        <v>416.62</v>
      </c>
      <c r="H24" s="85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82" t="s">
        <v>111</v>
      </c>
      <c r="C25" s="83" t="s">
        <v>56</v>
      </c>
      <c r="D25" s="82" t="s">
        <v>121</v>
      </c>
      <c r="E25" s="56">
        <v>17</v>
      </c>
      <c r="F25" s="84">
        <f>SUM(E25/100)</f>
        <v>0.17</v>
      </c>
      <c r="G25" s="84">
        <v>556.74</v>
      </c>
      <c r="H25" s="85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customHeight="1">
      <c r="A26" s="30">
        <v>5</v>
      </c>
      <c r="B26" s="82" t="s">
        <v>69</v>
      </c>
      <c r="C26" s="83" t="s">
        <v>34</v>
      </c>
      <c r="D26" s="82" t="s">
        <v>161</v>
      </c>
      <c r="E26" s="56">
        <v>0.1</v>
      </c>
      <c r="F26" s="84">
        <f>SUM(E26*365)</f>
        <v>36.5</v>
      </c>
      <c r="G26" s="84">
        <v>157.18</v>
      </c>
      <c r="H26" s="85">
        <f>SUM(F26*G26/1000)</f>
        <v>5.737070000000001</v>
      </c>
      <c r="I26" s="13">
        <f>F26/12*G26</f>
        <v>478.08916666666664</v>
      </c>
      <c r="J26" s="24"/>
    </row>
    <row r="27" spans="1:13" ht="15.75" customHeight="1">
      <c r="A27" s="30">
        <v>6</v>
      </c>
      <c r="B27" s="90" t="s">
        <v>23</v>
      </c>
      <c r="C27" s="83" t="s">
        <v>24</v>
      </c>
      <c r="D27" s="90" t="s">
        <v>161</v>
      </c>
      <c r="E27" s="56">
        <v>4591.2</v>
      </c>
      <c r="F27" s="84">
        <f>SUM(E27*12)</f>
        <v>55094.399999999994</v>
      </c>
      <c r="G27" s="84">
        <v>5.85</v>
      </c>
      <c r="H27" s="85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30" t="s">
        <v>91</v>
      </c>
      <c r="B28" s="130"/>
      <c r="C28" s="130"/>
      <c r="D28" s="130"/>
      <c r="E28" s="130"/>
      <c r="F28" s="130"/>
      <c r="G28" s="130"/>
      <c r="H28" s="130"/>
      <c r="I28" s="130"/>
      <c r="J28" s="23"/>
      <c r="K28" s="8"/>
      <c r="L28" s="8"/>
      <c r="M28" s="8"/>
    </row>
    <row r="29" spans="1:13" ht="15.75" hidden="1" customHeight="1">
      <c r="A29" s="30"/>
      <c r="B29" s="106" t="s">
        <v>28</v>
      </c>
      <c r="C29" s="83"/>
      <c r="D29" s="82"/>
      <c r="E29" s="56"/>
      <c r="F29" s="84"/>
      <c r="G29" s="84"/>
      <c r="H29" s="85"/>
      <c r="I29" s="13"/>
      <c r="J29" s="23"/>
      <c r="K29" s="8"/>
      <c r="L29" s="8"/>
      <c r="M29" s="8"/>
    </row>
    <row r="30" spans="1:13" ht="15.75" hidden="1" customHeight="1">
      <c r="A30" s="30">
        <v>7</v>
      </c>
      <c r="B30" s="82" t="s">
        <v>124</v>
      </c>
      <c r="C30" s="83" t="s">
        <v>125</v>
      </c>
      <c r="D30" s="82" t="s">
        <v>126</v>
      </c>
      <c r="E30" s="84">
        <v>844.95</v>
      </c>
      <c r="F30" s="84">
        <f>SUM(E30*52/1000)</f>
        <v>43.937400000000004</v>
      </c>
      <c r="G30" s="84">
        <v>166.65</v>
      </c>
      <c r="H30" s="85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hidden="1" customHeight="1">
      <c r="A31" s="30">
        <v>8</v>
      </c>
      <c r="B31" s="82" t="s">
        <v>182</v>
      </c>
      <c r="C31" s="83" t="s">
        <v>125</v>
      </c>
      <c r="D31" s="82" t="s">
        <v>127</v>
      </c>
      <c r="E31" s="84">
        <v>260.13</v>
      </c>
      <c r="F31" s="84">
        <f>SUM(E31*78/1000)</f>
        <v>20.290140000000001</v>
      </c>
      <c r="G31" s="84">
        <v>276.48</v>
      </c>
      <c r="H31" s="85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82" t="s">
        <v>27</v>
      </c>
      <c r="C32" s="83" t="s">
        <v>125</v>
      </c>
      <c r="D32" s="82" t="s">
        <v>57</v>
      </c>
      <c r="E32" s="84">
        <v>844.95</v>
      </c>
      <c r="F32" s="84">
        <f>SUM(E32/1000)</f>
        <v>0.84495000000000009</v>
      </c>
      <c r="G32" s="84">
        <v>3228.73</v>
      </c>
      <c r="H32" s="85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hidden="1" customHeight="1">
      <c r="A33" s="30">
        <v>9</v>
      </c>
      <c r="B33" s="82" t="s">
        <v>160</v>
      </c>
      <c r="C33" s="83" t="s">
        <v>42</v>
      </c>
      <c r="D33" s="82" t="s">
        <v>68</v>
      </c>
      <c r="E33" s="84">
        <v>8</v>
      </c>
      <c r="F33" s="84">
        <v>12.4</v>
      </c>
      <c r="G33" s="84">
        <v>1391.86</v>
      </c>
      <c r="H33" s="85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hidden="1" customHeight="1">
      <c r="A34" s="30">
        <v>10</v>
      </c>
      <c r="B34" s="82" t="s">
        <v>128</v>
      </c>
      <c r="C34" s="83" t="s">
        <v>31</v>
      </c>
      <c r="D34" s="82" t="s">
        <v>68</v>
      </c>
      <c r="E34" s="89">
        <v>0.33333333333333331</v>
      </c>
      <c r="F34" s="84">
        <f>155/3</f>
        <v>51.666666666666664</v>
      </c>
      <c r="G34" s="84">
        <v>60.6</v>
      </c>
      <c r="H34" s="85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82" t="s">
        <v>70</v>
      </c>
      <c r="C35" s="83" t="s">
        <v>34</v>
      </c>
      <c r="D35" s="82" t="s">
        <v>72</v>
      </c>
      <c r="E35" s="56"/>
      <c r="F35" s="84">
        <v>3</v>
      </c>
      <c r="G35" s="84">
        <v>204.32</v>
      </c>
      <c r="H35" s="85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82" t="s">
        <v>71</v>
      </c>
      <c r="C36" s="83" t="s">
        <v>33</v>
      </c>
      <c r="D36" s="82" t="s">
        <v>72</v>
      </c>
      <c r="E36" s="56"/>
      <c r="F36" s="84">
        <v>2</v>
      </c>
      <c r="G36" s="84">
        <v>1214.73</v>
      </c>
      <c r="H36" s="85">
        <f t="shared" si="1"/>
        <v>2.4294600000000002</v>
      </c>
      <c r="I36" s="13">
        <v>0</v>
      </c>
      <c r="J36" s="24"/>
    </row>
    <row r="37" spans="1:14" ht="15.75" customHeight="1">
      <c r="A37" s="30"/>
      <c r="B37" s="106" t="s">
        <v>5</v>
      </c>
      <c r="C37" s="83"/>
      <c r="D37" s="82"/>
      <c r="E37" s="56"/>
      <c r="F37" s="84"/>
      <c r="G37" s="84"/>
      <c r="H37" s="85" t="s">
        <v>144</v>
      </c>
      <c r="I37" s="13"/>
      <c r="J37" s="24"/>
    </row>
    <row r="38" spans="1:14" ht="15.75" customHeight="1">
      <c r="A38" s="30">
        <v>7</v>
      </c>
      <c r="B38" s="82" t="s">
        <v>26</v>
      </c>
      <c r="C38" s="83" t="s">
        <v>33</v>
      </c>
      <c r="D38" s="82"/>
      <c r="E38" s="56"/>
      <c r="F38" s="84">
        <v>10</v>
      </c>
      <c r="G38" s="84">
        <v>1632.6</v>
      </c>
      <c r="H38" s="85">
        <f t="shared" ref="H38:H44" si="3">SUM(F38*G38/1000)</f>
        <v>16.326000000000001</v>
      </c>
      <c r="I38" s="13">
        <f>F38/6*G38</f>
        <v>2721</v>
      </c>
      <c r="J38" s="24"/>
    </row>
    <row r="39" spans="1:14" ht="15.75" customHeight="1">
      <c r="A39" s="30">
        <v>8</v>
      </c>
      <c r="B39" s="82" t="s">
        <v>162</v>
      </c>
      <c r="C39" s="83" t="s">
        <v>29</v>
      </c>
      <c r="D39" s="82" t="s">
        <v>129</v>
      </c>
      <c r="E39" s="84">
        <v>254.8</v>
      </c>
      <c r="F39" s="84">
        <f>SUM(E39*30/1000)</f>
        <v>7.6440000000000001</v>
      </c>
      <c r="G39" s="84">
        <v>2247.8000000000002</v>
      </c>
      <c r="H39" s="85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82" t="s">
        <v>104</v>
      </c>
      <c r="C40" s="83" t="s">
        <v>130</v>
      </c>
      <c r="D40" s="82" t="s">
        <v>72</v>
      </c>
      <c r="E40" s="56"/>
      <c r="F40" s="84">
        <v>40</v>
      </c>
      <c r="G40" s="84">
        <v>213.2</v>
      </c>
      <c r="H40" s="85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customHeight="1">
      <c r="A41" s="30">
        <v>9</v>
      </c>
      <c r="B41" s="82" t="s">
        <v>73</v>
      </c>
      <c r="C41" s="83" t="s">
        <v>29</v>
      </c>
      <c r="D41" s="82" t="s">
        <v>131</v>
      </c>
      <c r="E41" s="84">
        <v>260.13</v>
      </c>
      <c r="F41" s="84">
        <f>SUM(E41*155/1000)</f>
        <v>40.320149999999998</v>
      </c>
      <c r="G41" s="84">
        <v>374.95</v>
      </c>
      <c r="H41" s="85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customHeight="1">
      <c r="A42" s="30">
        <v>10</v>
      </c>
      <c r="B42" s="82" t="s">
        <v>89</v>
      </c>
      <c r="C42" s="83" t="s">
        <v>125</v>
      </c>
      <c r="D42" s="82" t="s">
        <v>132</v>
      </c>
      <c r="E42" s="84">
        <v>132.72999999999999</v>
      </c>
      <c r="F42" s="84">
        <f>SUM(E42*35/1000)</f>
        <v>4.6455499999999992</v>
      </c>
      <c r="G42" s="84">
        <v>6203.7</v>
      </c>
      <c r="H42" s="85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customHeight="1">
      <c r="A43" s="30">
        <v>11</v>
      </c>
      <c r="B43" s="82" t="s">
        <v>133</v>
      </c>
      <c r="C43" s="83" t="s">
        <v>125</v>
      </c>
      <c r="D43" s="35" t="s">
        <v>277</v>
      </c>
      <c r="E43" s="34">
        <v>254.8</v>
      </c>
      <c r="F43" s="149">
        <f>SUM(E43*15/1000)</f>
        <v>3.8220000000000001</v>
      </c>
      <c r="G43" s="34">
        <v>458.28</v>
      </c>
      <c r="H43" s="150">
        <f t="shared" ref="H43" si="4">SUM(F43*G43/1000)</f>
        <v>1.75154616</v>
      </c>
      <c r="I43" s="13">
        <f>F43/2*G43</f>
        <v>875.77307999999994</v>
      </c>
      <c r="J43" s="24"/>
      <c r="L43" s="20"/>
      <c r="M43" s="21"/>
      <c r="N43" s="22"/>
    </row>
    <row r="44" spans="1:14" ht="15.75" customHeight="1">
      <c r="A44" s="30">
        <v>12</v>
      </c>
      <c r="B44" s="82" t="s">
        <v>75</v>
      </c>
      <c r="C44" s="83" t="s">
        <v>34</v>
      </c>
      <c r="D44" s="82"/>
      <c r="E44" s="56"/>
      <c r="F44" s="84">
        <v>0.9</v>
      </c>
      <c r="G44" s="84">
        <v>853.06</v>
      </c>
      <c r="H44" s="85">
        <f t="shared" si="3"/>
        <v>0.76775400000000005</v>
      </c>
      <c r="I44" s="13">
        <f>F44/6*G44</f>
        <v>127.95899999999999</v>
      </c>
      <c r="J44" s="24"/>
      <c r="L44" s="20"/>
      <c r="M44" s="21"/>
      <c r="N44" s="22"/>
    </row>
    <row r="45" spans="1:14" ht="15.75" hidden="1" customHeight="1">
      <c r="A45" s="131" t="s">
        <v>154</v>
      </c>
      <c r="B45" s="132"/>
      <c r="C45" s="132"/>
      <c r="D45" s="132"/>
      <c r="E45" s="132"/>
      <c r="F45" s="132"/>
      <c r="G45" s="132"/>
      <c r="H45" s="132"/>
      <c r="I45" s="133"/>
      <c r="J45" s="24"/>
      <c r="L45" s="20"/>
      <c r="M45" s="21"/>
      <c r="N45" s="22"/>
    </row>
    <row r="46" spans="1:14" ht="15.75" hidden="1" customHeight="1">
      <c r="A46" s="30"/>
      <c r="B46" s="82" t="s">
        <v>148</v>
      </c>
      <c r="C46" s="83" t="s">
        <v>125</v>
      </c>
      <c r="D46" s="82" t="s">
        <v>44</v>
      </c>
      <c r="E46" s="56">
        <v>1795.9</v>
      </c>
      <c r="F46" s="84">
        <f>SUM(E46*2/1000)</f>
        <v>3.5918000000000001</v>
      </c>
      <c r="G46" s="13">
        <v>865.61</v>
      </c>
      <c r="H46" s="85">
        <f t="shared" ref="H46:H55" si="5">SUM(F46*G46/1000)</f>
        <v>3.1090979980000002</v>
      </c>
      <c r="I46" s="13">
        <v>0</v>
      </c>
      <c r="J46" s="24"/>
      <c r="L46" s="20"/>
      <c r="M46" s="21"/>
      <c r="N46" s="22"/>
    </row>
    <row r="47" spans="1:14" ht="15.75" hidden="1" customHeight="1">
      <c r="A47" s="30"/>
      <c r="B47" s="82" t="s">
        <v>37</v>
      </c>
      <c r="C47" s="83" t="s">
        <v>125</v>
      </c>
      <c r="D47" s="82" t="s">
        <v>44</v>
      </c>
      <c r="E47" s="56">
        <v>104</v>
      </c>
      <c r="F47" s="84">
        <f>SUM(E47*2/1000)</f>
        <v>0.20799999999999999</v>
      </c>
      <c r="G47" s="13">
        <v>619.46</v>
      </c>
      <c r="H47" s="85">
        <f t="shared" si="5"/>
        <v>0.12884767999999999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30"/>
      <c r="B48" s="82" t="s">
        <v>38</v>
      </c>
      <c r="C48" s="83" t="s">
        <v>125</v>
      </c>
      <c r="D48" s="82" t="s">
        <v>44</v>
      </c>
      <c r="E48" s="56">
        <v>1996.87</v>
      </c>
      <c r="F48" s="84">
        <f>SUM(E48*2/1000)</f>
        <v>3.9937399999999998</v>
      </c>
      <c r="G48" s="13">
        <v>619.46</v>
      </c>
      <c r="H48" s="85">
        <f t="shared" si="5"/>
        <v>2.4739621804</v>
      </c>
      <c r="I48" s="13">
        <v>0</v>
      </c>
      <c r="J48" s="24"/>
      <c r="L48" s="20"/>
      <c r="M48" s="21"/>
      <c r="N48" s="22"/>
    </row>
    <row r="49" spans="1:22" ht="15.75" hidden="1" customHeight="1">
      <c r="A49" s="30"/>
      <c r="B49" s="82" t="s">
        <v>39</v>
      </c>
      <c r="C49" s="83" t="s">
        <v>125</v>
      </c>
      <c r="D49" s="82" t="s">
        <v>44</v>
      </c>
      <c r="E49" s="56">
        <v>2630.35</v>
      </c>
      <c r="F49" s="84">
        <f>SUM(E49*2/1000)</f>
        <v>5.2606999999999999</v>
      </c>
      <c r="G49" s="13">
        <v>648.64</v>
      </c>
      <c r="H49" s="85">
        <f t="shared" si="5"/>
        <v>3.4123004479999999</v>
      </c>
      <c r="I49" s="13">
        <v>0</v>
      </c>
      <c r="J49" s="24"/>
      <c r="L49" s="20"/>
      <c r="M49" s="21"/>
      <c r="N49" s="22"/>
    </row>
    <row r="50" spans="1:22" ht="15.75" hidden="1" customHeight="1">
      <c r="A50" s="30"/>
      <c r="B50" s="82" t="s">
        <v>35</v>
      </c>
      <c r="C50" s="83" t="s">
        <v>36</v>
      </c>
      <c r="D50" s="82" t="s">
        <v>44</v>
      </c>
      <c r="E50" s="56">
        <v>131.47</v>
      </c>
      <c r="F50" s="84">
        <f>SUM(E50*2/100)</f>
        <v>2.6294</v>
      </c>
      <c r="G50" s="13">
        <v>77.84</v>
      </c>
      <c r="H50" s="85">
        <f t="shared" si="5"/>
        <v>0.20467249599999998</v>
      </c>
      <c r="I50" s="13">
        <v>0</v>
      </c>
      <c r="J50" s="24"/>
      <c r="L50" s="20"/>
      <c r="M50" s="21"/>
      <c r="N50" s="22"/>
    </row>
    <row r="51" spans="1:22" ht="15.75" hidden="1" customHeight="1">
      <c r="A51" s="30">
        <v>14</v>
      </c>
      <c r="B51" s="82" t="s">
        <v>61</v>
      </c>
      <c r="C51" s="83" t="s">
        <v>125</v>
      </c>
      <c r="D51" s="82" t="s">
        <v>183</v>
      </c>
      <c r="E51" s="56">
        <v>2872.4</v>
      </c>
      <c r="F51" s="84">
        <f>SUM(E51*5/1000)</f>
        <v>14.362</v>
      </c>
      <c r="G51" s="13">
        <v>1297.28</v>
      </c>
      <c r="H51" s="85">
        <f t="shared" si="5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22" ht="31.5" hidden="1" customHeight="1">
      <c r="A52" s="30"/>
      <c r="B52" s="82" t="s">
        <v>134</v>
      </c>
      <c r="C52" s="83" t="s">
        <v>125</v>
      </c>
      <c r="D52" s="82" t="s">
        <v>44</v>
      </c>
      <c r="E52" s="56">
        <v>2872.4</v>
      </c>
      <c r="F52" s="84">
        <f>SUM(E52*2/1000)</f>
        <v>5.7448000000000006</v>
      </c>
      <c r="G52" s="13">
        <v>1297.28</v>
      </c>
      <c r="H52" s="85">
        <f t="shared" si="5"/>
        <v>7.4526141440000009</v>
      </c>
      <c r="I52" s="13">
        <v>0</v>
      </c>
      <c r="J52" s="24"/>
      <c r="L52" s="20"/>
      <c r="M52" s="21"/>
      <c r="N52" s="22"/>
    </row>
    <row r="53" spans="1:22" ht="31.5" hidden="1" customHeight="1">
      <c r="A53" s="30"/>
      <c r="B53" s="82" t="s">
        <v>135</v>
      </c>
      <c r="C53" s="83" t="s">
        <v>40</v>
      </c>
      <c r="D53" s="82" t="s">
        <v>44</v>
      </c>
      <c r="E53" s="56">
        <v>40</v>
      </c>
      <c r="F53" s="84">
        <f>SUM(E53*2/100)</f>
        <v>0.8</v>
      </c>
      <c r="G53" s="13">
        <v>2918.89</v>
      </c>
      <c r="H53" s="85">
        <f t="shared" si="5"/>
        <v>2.3351120000000001</v>
      </c>
      <c r="I53" s="13">
        <v>0</v>
      </c>
      <c r="J53" s="24"/>
      <c r="L53" s="20"/>
      <c r="M53" s="21"/>
      <c r="N53" s="22"/>
    </row>
    <row r="54" spans="1:22" ht="15.75" hidden="1" customHeight="1">
      <c r="A54" s="30"/>
      <c r="B54" s="82" t="s">
        <v>41</v>
      </c>
      <c r="C54" s="83" t="s">
        <v>42</v>
      </c>
      <c r="D54" s="82" t="s">
        <v>44</v>
      </c>
      <c r="E54" s="56">
        <v>1</v>
      </c>
      <c r="F54" s="84">
        <v>0.02</v>
      </c>
      <c r="G54" s="13">
        <v>6042.12</v>
      </c>
      <c r="H54" s="85">
        <f t="shared" si="5"/>
        <v>0.1208424</v>
      </c>
      <c r="I54" s="13">
        <v>0</v>
      </c>
      <c r="J54" s="24"/>
      <c r="L54" s="20"/>
      <c r="M54" s="21"/>
      <c r="N54" s="22"/>
    </row>
    <row r="55" spans="1:22" ht="15.75" hidden="1" customHeight="1">
      <c r="A55" s="30">
        <v>13</v>
      </c>
      <c r="B55" s="82" t="s">
        <v>43</v>
      </c>
      <c r="C55" s="83" t="s">
        <v>31</v>
      </c>
      <c r="D55" s="82" t="s">
        <v>76</v>
      </c>
      <c r="E55" s="56">
        <v>160</v>
      </c>
      <c r="F55" s="84">
        <f>SUM(E55)*3</f>
        <v>480</v>
      </c>
      <c r="G55" s="13">
        <v>70.209999999999994</v>
      </c>
      <c r="H55" s="85">
        <f t="shared" si="5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22" ht="15.75" customHeight="1">
      <c r="A56" s="131" t="s">
        <v>186</v>
      </c>
      <c r="B56" s="132"/>
      <c r="C56" s="132"/>
      <c r="D56" s="132"/>
      <c r="E56" s="132"/>
      <c r="F56" s="132"/>
      <c r="G56" s="132"/>
      <c r="H56" s="132"/>
      <c r="I56" s="133"/>
      <c r="J56" s="24"/>
      <c r="L56" s="20"/>
      <c r="M56" s="21"/>
      <c r="N56" s="22"/>
    </row>
    <row r="57" spans="1:22" ht="15.75" customHeight="1">
      <c r="A57" s="30"/>
      <c r="B57" s="106" t="s">
        <v>45</v>
      </c>
      <c r="C57" s="83"/>
      <c r="D57" s="82"/>
      <c r="E57" s="56"/>
      <c r="F57" s="84"/>
      <c r="G57" s="84"/>
      <c r="H57" s="85"/>
      <c r="I57" s="13"/>
      <c r="J57" s="24"/>
      <c r="L57" s="20"/>
      <c r="M57" s="21"/>
      <c r="N57" s="22"/>
    </row>
    <row r="58" spans="1:22" ht="31.5" customHeight="1">
      <c r="A58" s="30">
        <v>13</v>
      </c>
      <c r="B58" s="82" t="s">
        <v>137</v>
      </c>
      <c r="C58" s="83" t="s">
        <v>116</v>
      </c>
      <c r="D58" s="82" t="s">
        <v>77</v>
      </c>
      <c r="E58" s="56">
        <v>239.59</v>
      </c>
      <c r="F58" s="84">
        <f>E58*6/100</f>
        <v>14.375399999999999</v>
      </c>
      <c r="G58" s="91">
        <v>1654.04</v>
      </c>
      <c r="H58" s="85">
        <f>F58*G58/1000</f>
        <v>23.777486615999997</v>
      </c>
      <c r="I58" s="13">
        <f>F58/6*G58</f>
        <v>3962.9144359999996</v>
      </c>
      <c r="J58" s="24"/>
      <c r="L58" s="20"/>
      <c r="M58" s="21"/>
      <c r="N58" s="22"/>
    </row>
    <row r="59" spans="1:22" ht="15.75" customHeight="1">
      <c r="A59" s="30"/>
      <c r="B59" s="107" t="s">
        <v>46</v>
      </c>
      <c r="C59" s="92"/>
      <c r="D59" s="93"/>
      <c r="E59" s="94"/>
      <c r="F59" s="96"/>
      <c r="G59" s="13"/>
      <c r="H59" s="98"/>
      <c r="I59" s="13"/>
      <c r="J59" s="24"/>
      <c r="L59" s="20"/>
      <c r="M59" s="21"/>
      <c r="N59" s="22"/>
    </row>
    <row r="60" spans="1:22" ht="15.75" hidden="1" customHeight="1">
      <c r="A60" s="30"/>
      <c r="B60" s="93" t="s">
        <v>47</v>
      </c>
      <c r="C60" s="92" t="s">
        <v>56</v>
      </c>
      <c r="D60" s="93" t="s">
        <v>57</v>
      </c>
      <c r="E60" s="94">
        <v>2686</v>
      </c>
      <c r="F60" s="96">
        <f>E60/100</f>
        <v>26.86</v>
      </c>
      <c r="G60" s="13">
        <v>848.37</v>
      </c>
      <c r="H60" s="98">
        <f>G60*F60/1000</f>
        <v>22.787218199999998</v>
      </c>
      <c r="I60" s="13">
        <v>0</v>
      </c>
      <c r="J60" s="24"/>
      <c r="L60" s="20"/>
    </row>
    <row r="61" spans="1:22" ht="15.75" customHeight="1">
      <c r="A61" s="30">
        <v>14</v>
      </c>
      <c r="B61" s="93" t="s">
        <v>105</v>
      </c>
      <c r="C61" s="92" t="s">
        <v>25</v>
      </c>
      <c r="D61" s="93" t="s">
        <v>30</v>
      </c>
      <c r="E61" s="94">
        <v>343</v>
      </c>
      <c r="F61" s="96">
        <v>4116</v>
      </c>
      <c r="G61" s="13">
        <v>2.6</v>
      </c>
      <c r="H61" s="98">
        <f>F61*G61</f>
        <v>10701.6</v>
      </c>
      <c r="I61" s="13">
        <f>F61/12*G61</f>
        <v>891.80000000000007</v>
      </c>
    </row>
    <row r="62" spans="1:22" ht="15.75" hidden="1" customHeight="1">
      <c r="A62" s="30"/>
      <c r="B62" s="107" t="s">
        <v>149</v>
      </c>
      <c r="C62" s="92"/>
      <c r="D62" s="93"/>
      <c r="E62" s="94"/>
      <c r="F62" s="96"/>
      <c r="G62" s="13"/>
      <c r="H62" s="98"/>
      <c r="I62" s="13"/>
    </row>
    <row r="63" spans="1:22" ht="15.75" hidden="1" customHeight="1">
      <c r="A63" s="30"/>
      <c r="B63" s="93" t="s">
        <v>150</v>
      </c>
      <c r="C63" s="92" t="s">
        <v>31</v>
      </c>
      <c r="D63" s="93" t="s">
        <v>72</v>
      </c>
      <c r="E63" s="94">
        <v>3</v>
      </c>
      <c r="F63" s="95">
        <v>3</v>
      </c>
      <c r="G63" s="97">
        <v>254.16</v>
      </c>
      <c r="H63" s="96">
        <v>0.76200000000000001</v>
      </c>
      <c r="I63" s="13">
        <v>0</v>
      </c>
    </row>
    <row r="64" spans="1:22" ht="15.75" hidden="1" customHeight="1">
      <c r="A64" s="30"/>
      <c r="B64" s="107" t="s">
        <v>48</v>
      </c>
      <c r="C64" s="92"/>
      <c r="D64" s="93"/>
      <c r="E64" s="94"/>
      <c r="F64" s="95"/>
      <c r="G64" s="95"/>
      <c r="H64" s="96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0"/>
      <c r="B65" s="14" t="s">
        <v>49</v>
      </c>
      <c r="C65" s="16" t="s">
        <v>136</v>
      </c>
      <c r="D65" s="93" t="s">
        <v>72</v>
      </c>
      <c r="E65" s="19">
        <v>15</v>
      </c>
      <c r="F65" s="84">
        <v>15</v>
      </c>
      <c r="G65" s="13">
        <v>237.74</v>
      </c>
      <c r="H65" s="99">
        <f t="shared" ref="H65:H78" si="6">SUM(F65*G65/1000)</f>
        <v>3.5661000000000005</v>
      </c>
      <c r="I65" s="13">
        <v>0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14" t="s">
        <v>50</v>
      </c>
      <c r="C66" s="16" t="s">
        <v>136</v>
      </c>
      <c r="D66" s="93" t="s">
        <v>72</v>
      </c>
      <c r="E66" s="19">
        <v>5</v>
      </c>
      <c r="F66" s="84">
        <v>5</v>
      </c>
      <c r="G66" s="13">
        <v>81.510000000000005</v>
      </c>
      <c r="H66" s="99">
        <f t="shared" si="6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14" t="s">
        <v>51</v>
      </c>
      <c r="C67" s="16" t="s">
        <v>138</v>
      </c>
      <c r="D67" s="14" t="s">
        <v>57</v>
      </c>
      <c r="E67" s="56">
        <v>24123</v>
      </c>
      <c r="F67" s="13">
        <f>SUM(E67/100)</f>
        <v>241.23</v>
      </c>
      <c r="G67" s="13">
        <v>226.79</v>
      </c>
      <c r="H67" s="99">
        <f t="shared" si="6"/>
        <v>54.708551699999994</v>
      </c>
      <c r="I67" s="13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127"/>
      <c r="S67" s="127"/>
      <c r="T67" s="127"/>
      <c r="U67" s="127"/>
    </row>
    <row r="68" spans="1:21" ht="15.75" hidden="1" customHeight="1">
      <c r="A68" s="30"/>
      <c r="B68" s="14" t="s">
        <v>52</v>
      </c>
      <c r="C68" s="16" t="s">
        <v>139</v>
      </c>
      <c r="D68" s="14"/>
      <c r="E68" s="56">
        <v>24123</v>
      </c>
      <c r="F68" s="13">
        <f>SUM(E68/1000)</f>
        <v>24.123000000000001</v>
      </c>
      <c r="G68" s="13">
        <v>176.61</v>
      </c>
      <c r="H68" s="99">
        <f t="shared" si="6"/>
        <v>4.2603630300000006</v>
      </c>
      <c r="I68" s="13">
        <f t="shared" ref="I68:I72" si="7">F68*G68</f>
        <v>4260.3630300000004</v>
      </c>
    </row>
    <row r="69" spans="1:21" ht="15.75" hidden="1" customHeight="1">
      <c r="A69" s="30"/>
      <c r="B69" s="14" t="s">
        <v>53</v>
      </c>
      <c r="C69" s="16" t="s">
        <v>82</v>
      </c>
      <c r="D69" s="14" t="s">
        <v>57</v>
      </c>
      <c r="E69" s="56">
        <v>2730</v>
      </c>
      <c r="F69" s="13">
        <f>SUM(E69/100)</f>
        <v>27.3</v>
      </c>
      <c r="G69" s="13">
        <v>2217.7800000000002</v>
      </c>
      <c r="H69" s="99">
        <f t="shared" si="6"/>
        <v>60.545394000000009</v>
      </c>
      <c r="I69" s="13">
        <f t="shared" si="7"/>
        <v>60545.394000000008</v>
      </c>
    </row>
    <row r="70" spans="1:21" ht="15.75" hidden="1" customHeight="1">
      <c r="A70" s="30"/>
      <c r="B70" s="100" t="s">
        <v>140</v>
      </c>
      <c r="C70" s="16" t="s">
        <v>34</v>
      </c>
      <c r="D70" s="14"/>
      <c r="E70" s="56">
        <v>23</v>
      </c>
      <c r="F70" s="13">
        <f>SUM(E70)</f>
        <v>23</v>
      </c>
      <c r="G70" s="13">
        <v>42.67</v>
      </c>
      <c r="H70" s="99">
        <f t="shared" si="6"/>
        <v>0.98141000000000012</v>
      </c>
      <c r="I70" s="13">
        <f t="shared" si="7"/>
        <v>981.41000000000008</v>
      </c>
    </row>
    <row r="71" spans="1:21" ht="15.75" hidden="1" customHeight="1">
      <c r="A71" s="30"/>
      <c r="B71" s="100" t="s">
        <v>141</v>
      </c>
      <c r="C71" s="16" t="s">
        <v>34</v>
      </c>
      <c r="D71" s="14"/>
      <c r="E71" s="56">
        <v>23</v>
      </c>
      <c r="F71" s="13">
        <f>SUM(E71)</f>
        <v>23</v>
      </c>
      <c r="G71" s="13">
        <v>39.81</v>
      </c>
      <c r="H71" s="99">
        <f t="shared" si="6"/>
        <v>0.91563000000000005</v>
      </c>
      <c r="I71" s="13">
        <f t="shared" si="7"/>
        <v>915.63000000000011</v>
      </c>
    </row>
    <row r="72" spans="1:21" ht="15.75" hidden="1" customHeight="1">
      <c r="A72" s="30"/>
      <c r="B72" s="14" t="s">
        <v>62</v>
      </c>
      <c r="C72" s="16" t="s">
        <v>63</v>
      </c>
      <c r="D72" s="14" t="s">
        <v>57</v>
      </c>
      <c r="E72" s="19">
        <v>10</v>
      </c>
      <c r="F72" s="84">
        <f>SUM(E72)</f>
        <v>10</v>
      </c>
      <c r="G72" s="13">
        <v>53.32</v>
      </c>
      <c r="H72" s="99">
        <f t="shared" si="6"/>
        <v>0.53320000000000001</v>
      </c>
      <c r="I72" s="13">
        <f t="shared" si="7"/>
        <v>533.20000000000005</v>
      </c>
    </row>
    <row r="73" spans="1:21" ht="15.75" hidden="1" customHeight="1">
      <c r="A73" s="30"/>
      <c r="B73" s="64" t="s">
        <v>78</v>
      </c>
      <c r="C73" s="16"/>
      <c r="D73" s="14"/>
      <c r="E73" s="19"/>
      <c r="F73" s="13"/>
      <c r="G73" s="13"/>
      <c r="H73" s="99" t="s">
        <v>144</v>
      </c>
      <c r="I73" s="13"/>
    </row>
    <row r="74" spans="1:21" ht="15.75" hidden="1" customHeight="1">
      <c r="A74" s="30"/>
      <c r="B74" s="14" t="s">
        <v>79</v>
      </c>
      <c r="C74" s="16" t="s">
        <v>32</v>
      </c>
      <c r="D74" s="14"/>
      <c r="E74" s="19">
        <v>2</v>
      </c>
      <c r="F74" s="75">
        <v>0.2</v>
      </c>
      <c r="G74" s="13">
        <v>536.23</v>
      </c>
      <c r="H74" s="99">
        <v>0.251</v>
      </c>
      <c r="I74" s="13">
        <v>0</v>
      </c>
    </row>
    <row r="75" spans="1:21" ht="15.75" hidden="1" customHeight="1">
      <c r="A75" s="30"/>
      <c r="B75" s="14" t="s">
        <v>95</v>
      </c>
      <c r="C75" s="16" t="s">
        <v>31</v>
      </c>
      <c r="D75" s="14"/>
      <c r="E75" s="19">
        <v>1</v>
      </c>
      <c r="F75" s="84">
        <f>SUM(E75)</f>
        <v>1</v>
      </c>
      <c r="G75" s="13">
        <v>383.25</v>
      </c>
      <c r="H75" s="99">
        <f t="shared" si="6"/>
        <v>0.38324999999999998</v>
      </c>
      <c r="I75" s="13">
        <v>0</v>
      </c>
    </row>
    <row r="76" spans="1:21" ht="15.75" hidden="1" customHeight="1">
      <c r="A76" s="30"/>
      <c r="B76" s="14" t="s">
        <v>80</v>
      </c>
      <c r="C76" s="16" t="s">
        <v>31</v>
      </c>
      <c r="D76" s="14"/>
      <c r="E76" s="19">
        <v>2</v>
      </c>
      <c r="F76" s="13">
        <v>2</v>
      </c>
      <c r="G76" s="13">
        <v>911.85</v>
      </c>
      <c r="H76" s="99">
        <f>F76*G76/1000</f>
        <v>1.8237000000000001</v>
      </c>
      <c r="I76" s="13">
        <v>0</v>
      </c>
    </row>
    <row r="77" spans="1:21" ht="15.75" hidden="1" customHeight="1">
      <c r="A77" s="30"/>
      <c r="B77" s="101" t="s">
        <v>81</v>
      </c>
      <c r="C77" s="16"/>
      <c r="D77" s="14"/>
      <c r="E77" s="19"/>
      <c r="F77" s="13"/>
      <c r="G77" s="13" t="s">
        <v>144</v>
      </c>
      <c r="H77" s="99" t="s">
        <v>144</v>
      </c>
      <c r="I77" s="13"/>
    </row>
    <row r="78" spans="1:21" ht="15.75" hidden="1" customHeight="1">
      <c r="A78" s="30"/>
      <c r="B78" s="49" t="s">
        <v>145</v>
      </c>
      <c r="C78" s="16" t="s">
        <v>82</v>
      </c>
      <c r="D78" s="14"/>
      <c r="E78" s="19"/>
      <c r="F78" s="13">
        <v>1.35</v>
      </c>
      <c r="G78" s="13">
        <v>2949.85</v>
      </c>
      <c r="H78" s="99">
        <f t="shared" si="6"/>
        <v>3.9822975</v>
      </c>
      <c r="I78" s="13">
        <v>0</v>
      </c>
    </row>
    <row r="79" spans="1:21" ht="15.75" hidden="1" customHeight="1">
      <c r="A79" s="30"/>
      <c r="B79" s="87" t="s">
        <v>142</v>
      </c>
      <c r="C79" s="101"/>
      <c r="D79" s="32"/>
      <c r="E79" s="33"/>
      <c r="F79" s="88"/>
      <c r="G79" s="88"/>
      <c r="H79" s="102">
        <f>SUM(H58:H78)</f>
        <v>10881.285151046004</v>
      </c>
      <c r="I79" s="88"/>
    </row>
    <row r="80" spans="1:21" ht="15.75" hidden="1" customHeight="1">
      <c r="A80" s="30"/>
      <c r="B80" s="82" t="s">
        <v>143</v>
      </c>
      <c r="C80" s="16"/>
      <c r="D80" s="14"/>
      <c r="E80" s="76"/>
      <c r="F80" s="13">
        <v>1</v>
      </c>
      <c r="G80" s="13">
        <v>19342.2</v>
      </c>
      <c r="H80" s="99">
        <f>G80*F80/1000</f>
        <v>19.342200000000002</v>
      </c>
      <c r="I80" s="13">
        <v>0</v>
      </c>
    </row>
    <row r="81" spans="1:9" ht="15.75" customHeight="1">
      <c r="A81" s="140" t="s">
        <v>187</v>
      </c>
      <c r="B81" s="141"/>
      <c r="C81" s="141"/>
      <c r="D81" s="141"/>
      <c r="E81" s="141"/>
      <c r="F81" s="141"/>
      <c r="G81" s="141"/>
      <c r="H81" s="141"/>
      <c r="I81" s="142"/>
    </row>
    <row r="82" spans="1:9" ht="15.75" customHeight="1">
      <c r="A82" s="30">
        <v>15</v>
      </c>
      <c r="B82" s="82" t="s">
        <v>146</v>
      </c>
      <c r="C82" s="16" t="s">
        <v>59</v>
      </c>
      <c r="D82" s="103" t="s">
        <v>60</v>
      </c>
      <c r="E82" s="13">
        <v>4591.2</v>
      </c>
      <c r="F82" s="13">
        <f>SUM(E82*12)</f>
        <v>55094.399999999994</v>
      </c>
      <c r="G82" s="13">
        <v>2.54</v>
      </c>
      <c r="H82" s="99">
        <f>SUM(F82*G82/1000)</f>
        <v>139.93977599999999</v>
      </c>
      <c r="I82" s="13">
        <f>F82/12*G82</f>
        <v>11661.647999999999</v>
      </c>
    </row>
    <row r="83" spans="1:9" ht="31.5" customHeight="1">
      <c r="A83" s="30">
        <v>16</v>
      </c>
      <c r="B83" s="14" t="s">
        <v>83</v>
      </c>
      <c r="C83" s="16"/>
      <c r="D83" s="103" t="s">
        <v>60</v>
      </c>
      <c r="E83" s="56">
        <f>E82</f>
        <v>4591.2</v>
      </c>
      <c r="F83" s="13">
        <f>E83*12</f>
        <v>55094.399999999994</v>
      </c>
      <c r="G83" s="13">
        <v>2.0499999999999998</v>
      </c>
      <c r="H83" s="99">
        <f>F83*G83/1000</f>
        <v>112.94351999999998</v>
      </c>
      <c r="I83" s="13">
        <f>F83/12*G83</f>
        <v>9411.9599999999991</v>
      </c>
    </row>
    <row r="84" spans="1:9" ht="15.75" customHeight="1">
      <c r="A84" s="50"/>
      <c r="B84" s="40" t="s">
        <v>86</v>
      </c>
      <c r="C84" s="42"/>
      <c r="D84" s="15"/>
      <c r="E84" s="15"/>
      <c r="F84" s="15"/>
      <c r="G84" s="19"/>
      <c r="H84" s="19"/>
      <c r="I84" s="33">
        <f>SUM(I16+I17+I18+I20+I26+I27+I38+I39+I41+I42+I43+I44+I58+I61+I82+I83)</f>
        <v>85551.266712249984</v>
      </c>
    </row>
    <row r="85" spans="1:9" ht="15.75" customHeight="1">
      <c r="A85" s="137" t="s">
        <v>65</v>
      </c>
      <c r="B85" s="138"/>
      <c r="C85" s="138"/>
      <c r="D85" s="138"/>
      <c r="E85" s="138"/>
      <c r="F85" s="138"/>
      <c r="G85" s="138"/>
      <c r="H85" s="138"/>
      <c r="I85" s="139"/>
    </row>
    <row r="86" spans="1:9" ht="15.75" customHeight="1">
      <c r="A86" s="30">
        <v>17</v>
      </c>
      <c r="B86" s="66" t="s">
        <v>204</v>
      </c>
      <c r="C86" s="67" t="s">
        <v>99</v>
      </c>
      <c r="D86" s="49"/>
      <c r="E86" s="37"/>
      <c r="F86" s="37">
        <f>124/3</f>
        <v>41.333333333333336</v>
      </c>
      <c r="G86" s="37">
        <v>1120.8900000000001</v>
      </c>
      <c r="H86" s="117">
        <f t="shared" ref="H86:H92" si="8">G86*F86/1000</f>
        <v>46.330120000000008</v>
      </c>
      <c r="I86" s="13">
        <f>G86*((10)/3)</f>
        <v>3736.3000000000006</v>
      </c>
    </row>
    <row r="87" spans="1:9" ht="31.5" customHeight="1">
      <c r="A87" s="30">
        <v>18</v>
      </c>
      <c r="B87" s="53" t="s">
        <v>205</v>
      </c>
      <c r="C87" s="58" t="s">
        <v>101</v>
      </c>
      <c r="D87" s="49"/>
      <c r="E87" s="37"/>
      <c r="F87" s="37">
        <v>6</v>
      </c>
      <c r="G87" s="37">
        <v>666.24</v>
      </c>
      <c r="H87" s="117">
        <f t="shared" si="8"/>
        <v>3.9974400000000001</v>
      </c>
      <c r="I87" s="13">
        <f>G87*2</f>
        <v>1332.48</v>
      </c>
    </row>
    <row r="88" spans="1:9" ht="31.5" customHeight="1">
      <c r="A88" s="30">
        <v>19</v>
      </c>
      <c r="B88" s="115" t="s">
        <v>175</v>
      </c>
      <c r="C88" s="116" t="s">
        <v>40</v>
      </c>
      <c r="D88" s="49"/>
      <c r="E88" s="37"/>
      <c r="F88" s="37">
        <v>0.06</v>
      </c>
      <c r="G88" s="37">
        <v>3581.13</v>
      </c>
      <c r="H88" s="117">
        <f t="shared" si="8"/>
        <v>0.2148678</v>
      </c>
      <c r="I88" s="13">
        <f>G88*0.01</f>
        <v>35.811300000000003</v>
      </c>
    </row>
    <row r="89" spans="1:9" ht="15.75" customHeight="1">
      <c r="A89" s="30">
        <v>20</v>
      </c>
      <c r="B89" s="115" t="s">
        <v>211</v>
      </c>
      <c r="C89" s="116" t="s">
        <v>212</v>
      </c>
      <c r="D89" s="118"/>
      <c r="E89" s="37"/>
      <c r="F89" s="37">
        <v>3</v>
      </c>
      <c r="G89" s="37">
        <v>663.38</v>
      </c>
      <c r="H89" s="117">
        <f t="shared" si="8"/>
        <v>1.9901399999999998</v>
      </c>
      <c r="I89" s="13">
        <f>G89</f>
        <v>663.38</v>
      </c>
    </row>
    <row r="90" spans="1:9" ht="15.75" customHeight="1">
      <c r="A90" s="30">
        <v>21</v>
      </c>
      <c r="B90" s="104" t="s">
        <v>167</v>
      </c>
      <c r="C90" s="105" t="s">
        <v>168</v>
      </c>
      <c r="D90" s="118"/>
      <c r="E90" s="37"/>
      <c r="F90" s="37">
        <f>2/10</f>
        <v>0.2</v>
      </c>
      <c r="G90" s="37">
        <v>14148.8</v>
      </c>
      <c r="H90" s="117">
        <f t="shared" si="8"/>
        <v>2.8297600000000003</v>
      </c>
      <c r="I90" s="13">
        <f>G90*0.1</f>
        <v>1414.88</v>
      </c>
    </row>
    <row r="91" spans="1:9" ht="15.75" customHeight="1">
      <c r="A91" s="30">
        <v>22</v>
      </c>
      <c r="B91" s="115" t="s">
        <v>220</v>
      </c>
      <c r="C91" s="116" t="s">
        <v>136</v>
      </c>
      <c r="D91" s="118"/>
      <c r="E91" s="37"/>
      <c r="F91" s="37">
        <v>1</v>
      </c>
      <c r="G91" s="37">
        <v>86.58</v>
      </c>
      <c r="H91" s="117">
        <f t="shared" si="8"/>
        <v>8.6580000000000004E-2</v>
      </c>
      <c r="I91" s="13">
        <f>G91</f>
        <v>86.58</v>
      </c>
    </row>
    <row r="92" spans="1:9" ht="15.75" customHeight="1">
      <c r="A92" s="30">
        <v>23</v>
      </c>
      <c r="B92" s="115" t="s">
        <v>221</v>
      </c>
      <c r="C92" s="116" t="s">
        <v>222</v>
      </c>
      <c r="D92" s="118"/>
      <c r="E92" s="37"/>
      <c r="F92" s="37">
        <v>1</v>
      </c>
      <c r="G92" s="37">
        <v>37.97</v>
      </c>
      <c r="H92" s="117">
        <f t="shared" si="8"/>
        <v>3.7969999999999997E-2</v>
      </c>
      <c r="I92" s="13">
        <f t="shared" ref="I92" si="9">G92</f>
        <v>37.97</v>
      </c>
    </row>
    <row r="93" spans="1:9" ht="15.75" customHeight="1">
      <c r="A93" s="30">
        <v>24</v>
      </c>
      <c r="B93" s="53" t="s">
        <v>173</v>
      </c>
      <c r="C93" s="58" t="s">
        <v>174</v>
      </c>
      <c r="D93" s="49"/>
      <c r="E93" s="37"/>
      <c r="F93" s="37">
        <f>1/100</f>
        <v>0.01</v>
      </c>
      <c r="G93" s="37">
        <v>7412.92</v>
      </c>
      <c r="H93" s="117">
        <f>G93*F93/1000</f>
        <v>7.4129199999999992E-2</v>
      </c>
      <c r="I93" s="13">
        <f>G93*0.01</f>
        <v>74.129199999999997</v>
      </c>
    </row>
    <row r="94" spans="1:9" ht="47.25" customHeight="1">
      <c r="A94" s="30">
        <v>25</v>
      </c>
      <c r="B94" s="115" t="s">
        <v>241</v>
      </c>
      <c r="C94" s="116" t="s">
        <v>106</v>
      </c>
      <c r="D94" s="120"/>
      <c r="E94" s="18"/>
      <c r="F94" s="37">
        <f>8.5/10</f>
        <v>0.85</v>
      </c>
      <c r="G94" s="37">
        <v>7586.09</v>
      </c>
      <c r="H94" s="117">
        <f t="shared" ref="H94" si="10">G94*F94/1000</f>
        <v>6.4481764999999998</v>
      </c>
      <c r="I94" s="13">
        <f>G94*0.85</f>
        <v>6448.1764999999996</v>
      </c>
    </row>
    <row r="95" spans="1:9" ht="15.75" customHeight="1">
      <c r="A95" s="30"/>
      <c r="B95" s="47" t="s">
        <v>54</v>
      </c>
      <c r="C95" s="43"/>
      <c r="D95" s="51"/>
      <c r="E95" s="43">
        <v>1</v>
      </c>
      <c r="F95" s="43"/>
      <c r="G95" s="43"/>
      <c r="H95" s="43"/>
      <c r="I95" s="33">
        <f>SUM(I86:I94)</f>
        <v>13829.707000000002</v>
      </c>
    </row>
    <row r="96" spans="1:9" ht="15.75" customHeight="1">
      <c r="A96" s="30"/>
      <c r="B96" s="49" t="s">
        <v>84</v>
      </c>
      <c r="C96" s="15"/>
      <c r="D96" s="15"/>
      <c r="E96" s="44"/>
      <c r="F96" s="44"/>
      <c r="G96" s="45"/>
      <c r="H96" s="45"/>
      <c r="I96" s="18">
        <v>0</v>
      </c>
    </row>
    <row r="97" spans="1:9" ht="15.75" customHeight="1">
      <c r="A97" s="52"/>
      <c r="B97" s="48" t="s">
        <v>203</v>
      </c>
      <c r="C97" s="36"/>
      <c r="D97" s="36"/>
      <c r="E97" s="36"/>
      <c r="F97" s="36"/>
      <c r="G97" s="36"/>
      <c r="H97" s="36"/>
      <c r="I97" s="46">
        <f>I84+I95</f>
        <v>99380.973712249979</v>
      </c>
    </row>
    <row r="98" spans="1:9" ht="15.75" customHeight="1">
      <c r="A98" s="134" t="s">
        <v>242</v>
      </c>
      <c r="B98" s="134"/>
      <c r="C98" s="134"/>
      <c r="D98" s="134"/>
      <c r="E98" s="134"/>
      <c r="F98" s="134"/>
      <c r="G98" s="134"/>
      <c r="H98" s="134"/>
      <c r="I98" s="134"/>
    </row>
    <row r="99" spans="1:9" ht="15.75" customHeight="1">
      <c r="A99" s="65"/>
      <c r="B99" s="135" t="s">
        <v>243</v>
      </c>
      <c r="C99" s="135"/>
      <c r="D99" s="135"/>
      <c r="E99" s="135"/>
      <c r="F99" s="135"/>
      <c r="G99" s="135"/>
      <c r="H99" s="80"/>
      <c r="I99" s="3"/>
    </row>
    <row r="100" spans="1:9" ht="15.75" customHeight="1">
      <c r="A100" s="59"/>
      <c r="B100" s="125" t="s">
        <v>6</v>
      </c>
      <c r="C100" s="125"/>
      <c r="D100" s="125"/>
      <c r="E100" s="125"/>
      <c r="F100" s="125"/>
      <c r="G100" s="125"/>
      <c r="H100" s="25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136" t="s">
        <v>7</v>
      </c>
      <c r="B102" s="136"/>
      <c r="C102" s="136"/>
      <c r="D102" s="136"/>
      <c r="E102" s="136"/>
      <c r="F102" s="136"/>
      <c r="G102" s="136"/>
      <c r="H102" s="136"/>
      <c r="I102" s="136"/>
    </row>
    <row r="103" spans="1:9" ht="15.75" customHeight="1">
      <c r="A103" s="136" t="s">
        <v>8</v>
      </c>
      <c r="B103" s="136"/>
      <c r="C103" s="136"/>
      <c r="D103" s="136"/>
      <c r="E103" s="136"/>
      <c r="F103" s="136"/>
      <c r="G103" s="136"/>
      <c r="H103" s="136"/>
      <c r="I103" s="136"/>
    </row>
    <row r="104" spans="1:9" ht="15.75" customHeight="1">
      <c r="A104" s="129" t="s">
        <v>66</v>
      </c>
      <c r="B104" s="129"/>
      <c r="C104" s="129"/>
      <c r="D104" s="129"/>
      <c r="E104" s="129"/>
      <c r="F104" s="129"/>
      <c r="G104" s="129"/>
      <c r="H104" s="129"/>
      <c r="I104" s="129"/>
    </row>
    <row r="105" spans="1:9" ht="15.75" customHeight="1">
      <c r="A105" s="11"/>
    </row>
    <row r="106" spans="1:9" ht="15.75" customHeight="1">
      <c r="A106" s="123" t="s">
        <v>9</v>
      </c>
      <c r="B106" s="123"/>
      <c r="C106" s="123"/>
      <c r="D106" s="123"/>
      <c r="E106" s="123"/>
      <c r="F106" s="123"/>
      <c r="G106" s="123"/>
      <c r="H106" s="123"/>
      <c r="I106" s="123"/>
    </row>
    <row r="107" spans="1:9" ht="15.75" customHeight="1">
      <c r="A107" s="4"/>
    </row>
    <row r="108" spans="1:9" ht="15.75" customHeight="1">
      <c r="B108" s="62" t="s">
        <v>10</v>
      </c>
      <c r="C108" s="124" t="s">
        <v>97</v>
      </c>
      <c r="D108" s="124"/>
      <c r="E108" s="124"/>
      <c r="F108" s="78"/>
      <c r="I108" s="61"/>
    </row>
    <row r="109" spans="1:9" ht="15.75" customHeight="1">
      <c r="A109" s="59"/>
      <c r="C109" s="125" t="s">
        <v>11</v>
      </c>
      <c r="D109" s="125"/>
      <c r="E109" s="125"/>
      <c r="F109" s="25"/>
      <c r="I109" s="60" t="s">
        <v>12</v>
      </c>
    </row>
    <row r="110" spans="1:9" ht="15.75" customHeight="1">
      <c r="A110" s="26"/>
      <c r="C110" s="12"/>
      <c r="D110" s="12"/>
      <c r="G110" s="12"/>
      <c r="H110" s="12"/>
    </row>
    <row r="111" spans="1:9" ht="15.75" customHeight="1">
      <c r="B111" s="62" t="s">
        <v>13</v>
      </c>
      <c r="C111" s="126"/>
      <c r="D111" s="126"/>
      <c r="E111" s="126"/>
      <c r="F111" s="79"/>
      <c r="I111" s="61"/>
    </row>
    <row r="112" spans="1:9" ht="15.75" customHeight="1">
      <c r="A112" s="59"/>
      <c r="C112" s="127" t="s">
        <v>11</v>
      </c>
      <c r="D112" s="127"/>
      <c r="E112" s="127"/>
      <c r="F112" s="59"/>
      <c r="I112" s="60" t="s">
        <v>12</v>
      </c>
    </row>
    <row r="113" spans="1:9" ht="15.75" customHeight="1">
      <c r="A113" s="4" t="s">
        <v>14</v>
      </c>
    </row>
    <row r="114" spans="1:9" ht="15.75" customHeight="1">
      <c r="A114" s="128" t="s">
        <v>15</v>
      </c>
      <c r="B114" s="128"/>
      <c r="C114" s="128"/>
      <c r="D114" s="128"/>
      <c r="E114" s="128"/>
      <c r="F114" s="128"/>
      <c r="G114" s="128"/>
      <c r="H114" s="128"/>
      <c r="I114" s="128"/>
    </row>
    <row r="115" spans="1:9" ht="45" customHeight="1">
      <c r="A115" s="122" t="s">
        <v>16</v>
      </c>
      <c r="B115" s="122"/>
      <c r="C115" s="122"/>
      <c r="D115" s="122"/>
      <c r="E115" s="122"/>
      <c r="F115" s="122"/>
      <c r="G115" s="122"/>
      <c r="H115" s="122"/>
      <c r="I115" s="122"/>
    </row>
    <row r="116" spans="1:9" ht="30" customHeight="1">
      <c r="A116" s="122" t="s">
        <v>17</v>
      </c>
      <c r="B116" s="122"/>
      <c r="C116" s="122"/>
      <c r="D116" s="122"/>
      <c r="E116" s="122"/>
      <c r="F116" s="122"/>
      <c r="G116" s="122"/>
      <c r="H116" s="122"/>
      <c r="I116" s="122"/>
    </row>
    <row r="117" spans="1:9" ht="30" customHeight="1">
      <c r="A117" s="122" t="s">
        <v>21</v>
      </c>
      <c r="B117" s="122"/>
      <c r="C117" s="122"/>
      <c r="D117" s="122"/>
      <c r="E117" s="122"/>
      <c r="F117" s="122"/>
      <c r="G117" s="122"/>
      <c r="H117" s="122"/>
      <c r="I117" s="122"/>
    </row>
    <row r="118" spans="1:9" ht="15" customHeight="1">
      <c r="A118" s="122" t="s">
        <v>20</v>
      </c>
      <c r="B118" s="122"/>
      <c r="C118" s="122"/>
      <c r="D118" s="122"/>
      <c r="E118" s="122"/>
      <c r="F118" s="122"/>
      <c r="G118" s="122"/>
      <c r="H118" s="122"/>
      <c r="I118" s="122"/>
    </row>
  </sheetData>
  <autoFilter ref="I12:I62"/>
  <mergeCells count="29">
    <mergeCell ref="R67:U67"/>
    <mergeCell ref="A81:I81"/>
    <mergeCell ref="A3:I3"/>
    <mergeCell ref="A4:I4"/>
    <mergeCell ref="A5:I5"/>
    <mergeCell ref="A8:I8"/>
    <mergeCell ref="A10:I10"/>
    <mergeCell ref="A14:I14"/>
    <mergeCell ref="A104:I104"/>
    <mergeCell ref="A15:I15"/>
    <mergeCell ref="A28:I28"/>
    <mergeCell ref="A45:I45"/>
    <mergeCell ref="A56:I56"/>
    <mergeCell ref="A98:I98"/>
    <mergeCell ref="B99:G99"/>
    <mergeCell ref="B100:G100"/>
    <mergeCell ref="A102:I102"/>
    <mergeCell ref="A103:I103"/>
    <mergeCell ref="A85:I85"/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2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92</v>
      </c>
      <c r="I1" s="27"/>
      <c r="J1" s="1"/>
      <c r="K1" s="1"/>
      <c r="L1" s="1"/>
      <c r="M1" s="1"/>
    </row>
    <row r="2" spans="1:13" ht="15.75" customHeight="1">
      <c r="A2" s="29" t="s">
        <v>67</v>
      </c>
      <c r="J2" s="2"/>
      <c r="K2" s="2"/>
      <c r="L2" s="2"/>
      <c r="M2" s="2"/>
    </row>
    <row r="3" spans="1:13" ht="15.75" customHeight="1">
      <c r="A3" s="143" t="s">
        <v>189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147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223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 customHeight="1">
      <c r="A6" s="2"/>
      <c r="B6" s="63"/>
      <c r="C6" s="63"/>
      <c r="D6" s="63"/>
      <c r="E6" s="63"/>
      <c r="F6" s="63"/>
      <c r="G6" s="63"/>
      <c r="H6" s="63"/>
      <c r="I6" s="31">
        <v>42886</v>
      </c>
      <c r="J6" s="2"/>
      <c r="K6" s="2"/>
      <c r="L6" s="2"/>
      <c r="M6" s="2"/>
    </row>
    <row r="7" spans="1:13" ht="15.75" customHeight="1">
      <c r="B7" s="62"/>
      <c r="C7" s="62"/>
      <c r="D7" s="6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158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276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64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30" t="s">
        <v>4</v>
      </c>
      <c r="B15" s="130"/>
      <c r="C15" s="130"/>
      <c r="D15" s="130"/>
      <c r="E15" s="130"/>
      <c r="F15" s="130"/>
      <c r="G15" s="130"/>
      <c r="H15" s="130"/>
      <c r="I15" s="130"/>
      <c r="J15" s="8"/>
      <c r="K15" s="8"/>
      <c r="L15" s="8"/>
      <c r="M15" s="8"/>
    </row>
    <row r="16" spans="1:13" ht="15.75" customHeight="1">
      <c r="A16" s="30">
        <v>1</v>
      </c>
      <c r="B16" s="82" t="s">
        <v>93</v>
      </c>
      <c r="C16" s="83" t="s">
        <v>116</v>
      </c>
      <c r="D16" s="82" t="s">
        <v>117</v>
      </c>
      <c r="E16" s="56">
        <v>127.9</v>
      </c>
      <c r="F16" s="84">
        <f>SUM(E16*156/100)</f>
        <v>199.524</v>
      </c>
      <c r="G16" s="84">
        <v>187.48</v>
      </c>
      <c r="H16" s="85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82" t="s">
        <v>102</v>
      </c>
      <c r="C17" s="83" t="s">
        <v>116</v>
      </c>
      <c r="D17" s="82" t="s">
        <v>181</v>
      </c>
      <c r="E17" s="56">
        <v>511.6</v>
      </c>
      <c r="F17" s="84">
        <f>SUM(E17*104/100)</f>
        <v>532.06399999999996</v>
      </c>
      <c r="G17" s="84">
        <v>185.48</v>
      </c>
      <c r="H17" s="85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82" t="s">
        <v>103</v>
      </c>
      <c r="C18" s="83" t="s">
        <v>116</v>
      </c>
      <c r="D18" s="82" t="s">
        <v>118</v>
      </c>
      <c r="E18" s="56">
        <f>SUM(E16+E17)</f>
        <v>639.5</v>
      </c>
      <c r="F18" s="84">
        <f>SUM(E18*24/100)</f>
        <v>153.47999999999999</v>
      </c>
      <c r="G18" s="84">
        <v>539.30999999999995</v>
      </c>
      <c r="H18" s="85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customHeight="1">
      <c r="A19" s="30">
        <v>4</v>
      </c>
      <c r="B19" s="82" t="s">
        <v>119</v>
      </c>
      <c r="C19" s="83" t="s">
        <v>120</v>
      </c>
      <c r="D19" s="82" t="s">
        <v>121</v>
      </c>
      <c r="E19" s="56">
        <v>38.4</v>
      </c>
      <c r="F19" s="84">
        <f>SUM(E19/10)</f>
        <v>3.84</v>
      </c>
      <c r="G19" s="84">
        <v>181.91</v>
      </c>
      <c r="H19" s="85">
        <f t="shared" si="0"/>
        <v>0.6985344</v>
      </c>
      <c r="I19" s="13">
        <f>F19/2*G19</f>
        <v>349.2672</v>
      </c>
      <c r="J19" s="23"/>
      <c r="K19" s="8"/>
      <c r="L19" s="8"/>
      <c r="M19" s="8"/>
    </row>
    <row r="20" spans="1:13" ht="15.75" customHeight="1">
      <c r="A20" s="30">
        <v>5</v>
      </c>
      <c r="B20" s="82" t="s">
        <v>107</v>
      </c>
      <c r="C20" s="83" t="s">
        <v>116</v>
      </c>
      <c r="D20" s="82" t="s">
        <v>30</v>
      </c>
      <c r="E20" s="56">
        <v>58.4</v>
      </c>
      <c r="F20" s="84">
        <f>SUM(E20*12/100)</f>
        <v>7.0079999999999991</v>
      </c>
      <c r="G20" s="84">
        <v>232.92</v>
      </c>
      <c r="H20" s="85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customHeight="1">
      <c r="A21" s="30">
        <v>6</v>
      </c>
      <c r="B21" s="82" t="s">
        <v>108</v>
      </c>
      <c r="C21" s="83" t="s">
        <v>116</v>
      </c>
      <c r="D21" s="82" t="s">
        <v>115</v>
      </c>
      <c r="E21" s="56">
        <v>9.08</v>
      </c>
      <c r="F21" s="84">
        <f>SUM(E21*6/100)</f>
        <v>0.54480000000000006</v>
      </c>
      <c r="G21" s="84">
        <v>231.03</v>
      </c>
      <c r="H21" s="85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customHeight="1">
      <c r="A22" s="30">
        <v>7</v>
      </c>
      <c r="B22" s="82" t="s">
        <v>122</v>
      </c>
      <c r="C22" s="83" t="s">
        <v>56</v>
      </c>
      <c r="D22" s="82" t="s">
        <v>121</v>
      </c>
      <c r="E22" s="56">
        <v>714</v>
      </c>
      <c r="F22" s="84">
        <f>SUM(E22/100)</f>
        <v>7.14</v>
      </c>
      <c r="G22" s="84">
        <v>287.83999999999997</v>
      </c>
      <c r="H22" s="85">
        <f t="shared" si="0"/>
        <v>2.0551775999999995</v>
      </c>
      <c r="I22" s="13">
        <f>F22*G22</f>
        <v>2055.1775999999995</v>
      </c>
      <c r="J22" s="23"/>
      <c r="K22" s="8"/>
      <c r="L22" s="8"/>
      <c r="M22" s="8"/>
    </row>
    <row r="23" spans="1:13" ht="15.75" customHeight="1">
      <c r="A23" s="30">
        <v>8</v>
      </c>
      <c r="B23" s="82" t="s">
        <v>123</v>
      </c>
      <c r="C23" s="83" t="s">
        <v>56</v>
      </c>
      <c r="D23" s="82" t="s">
        <v>121</v>
      </c>
      <c r="E23" s="77">
        <v>96.6</v>
      </c>
      <c r="F23" s="84">
        <f>SUM(E23/100)</f>
        <v>0.96599999999999997</v>
      </c>
      <c r="G23" s="84">
        <v>47.34</v>
      </c>
      <c r="H23" s="85">
        <f t="shared" si="0"/>
        <v>4.5730440000000004E-2</v>
      </c>
      <c r="I23" s="13">
        <f t="shared" ref="I23:I25" si="1">F23*G23</f>
        <v>45.730440000000002</v>
      </c>
      <c r="J23" s="23"/>
      <c r="K23" s="8"/>
      <c r="L23" s="8"/>
      <c r="M23" s="8"/>
    </row>
    <row r="24" spans="1:13" ht="15.75" customHeight="1">
      <c r="A24" s="30">
        <v>9</v>
      </c>
      <c r="B24" s="82" t="s">
        <v>110</v>
      </c>
      <c r="C24" s="83" t="s">
        <v>56</v>
      </c>
      <c r="D24" s="82" t="s">
        <v>121</v>
      </c>
      <c r="E24" s="19">
        <v>40</v>
      </c>
      <c r="F24" s="86">
        <v>4.8</v>
      </c>
      <c r="G24" s="84">
        <v>416.62</v>
      </c>
      <c r="H24" s="85">
        <f>F24*G24/1000</f>
        <v>1.9997759999999998</v>
      </c>
      <c r="I24" s="13">
        <f t="shared" si="1"/>
        <v>1999.7759999999998</v>
      </c>
      <c r="J24" s="23"/>
      <c r="K24" s="8"/>
      <c r="L24" s="8"/>
      <c r="M24" s="8"/>
    </row>
    <row r="25" spans="1:13" ht="15.75" customHeight="1">
      <c r="A25" s="30">
        <v>10</v>
      </c>
      <c r="B25" s="82" t="s">
        <v>111</v>
      </c>
      <c r="C25" s="83" t="s">
        <v>56</v>
      </c>
      <c r="D25" s="82" t="s">
        <v>121</v>
      </c>
      <c r="E25" s="56">
        <v>17</v>
      </c>
      <c r="F25" s="84">
        <f>SUM(E25/100)</f>
        <v>0.17</v>
      </c>
      <c r="G25" s="84">
        <v>556.74</v>
      </c>
      <c r="H25" s="85">
        <f t="shared" si="0"/>
        <v>9.4645800000000002E-2</v>
      </c>
      <c r="I25" s="13">
        <f t="shared" si="1"/>
        <v>94.645800000000008</v>
      </c>
      <c r="J25" s="23"/>
      <c r="K25" s="8"/>
      <c r="L25" s="8"/>
      <c r="M25" s="8"/>
    </row>
    <row r="26" spans="1:13" ht="15.75" customHeight="1">
      <c r="A26" s="30">
        <v>11</v>
      </c>
      <c r="B26" s="82" t="s">
        <v>69</v>
      </c>
      <c r="C26" s="83" t="s">
        <v>34</v>
      </c>
      <c r="D26" s="82" t="s">
        <v>161</v>
      </c>
      <c r="E26" s="56">
        <v>0.1</v>
      </c>
      <c r="F26" s="84">
        <f>SUM(E26*365)</f>
        <v>36.5</v>
      </c>
      <c r="G26" s="84">
        <v>157.18</v>
      </c>
      <c r="H26" s="85">
        <f>SUM(F26*G26/1000)</f>
        <v>5.737070000000001</v>
      </c>
      <c r="I26" s="13">
        <f>F26/12*G26</f>
        <v>478.08916666666664</v>
      </c>
      <c r="J26" s="24"/>
    </row>
    <row r="27" spans="1:13" ht="15.75" customHeight="1">
      <c r="A27" s="30">
        <v>12</v>
      </c>
      <c r="B27" s="90" t="s">
        <v>23</v>
      </c>
      <c r="C27" s="83" t="s">
        <v>24</v>
      </c>
      <c r="D27" s="90" t="s">
        <v>161</v>
      </c>
      <c r="E27" s="56">
        <v>4591.2</v>
      </c>
      <c r="F27" s="84">
        <f>SUM(E27*12)</f>
        <v>55094.399999999994</v>
      </c>
      <c r="G27" s="84">
        <v>5.85</v>
      </c>
      <c r="H27" s="85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30" t="s">
        <v>91</v>
      </c>
      <c r="B28" s="130"/>
      <c r="C28" s="130"/>
      <c r="D28" s="130"/>
      <c r="E28" s="130"/>
      <c r="F28" s="130"/>
      <c r="G28" s="130"/>
      <c r="H28" s="130"/>
      <c r="I28" s="130"/>
      <c r="J28" s="23"/>
      <c r="K28" s="8"/>
      <c r="L28" s="8"/>
      <c r="M28" s="8"/>
    </row>
    <row r="29" spans="1:13" ht="15.75" customHeight="1">
      <c r="A29" s="30"/>
      <c r="B29" s="106" t="s">
        <v>28</v>
      </c>
      <c r="C29" s="83"/>
      <c r="D29" s="82"/>
      <c r="E29" s="56"/>
      <c r="F29" s="84"/>
      <c r="G29" s="84"/>
      <c r="H29" s="85"/>
      <c r="I29" s="13"/>
      <c r="J29" s="23"/>
      <c r="K29" s="8"/>
      <c r="L29" s="8"/>
      <c r="M29" s="8"/>
    </row>
    <row r="30" spans="1:13" ht="15.75" customHeight="1">
      <c r="A30" s="30">
        <v>13</v>
      </c>
      <c r="B30" s="82" t="s">
        <v>124</v>
      </c>
      <c r="C30" s="83" t="s">
        <v>125</v>
      </c>
      <c r="D30" s="82" t="s">
        <v>126</v>
      </c>
      <c r="E30" s="84">
        <v>844.95</v>
      </c>
      <c r="F30" s="84">
        <f>SUM(E30*52/1000)</f>
        <v>43.937400000000004</v>
      </c>
      <c r="G30" s="84">
        <v>166.65</v>
      </c>
      <c r="H30" s="85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customHeight="1">
      <c r="A31" s="30">
        <v>14</v>
      </c>
      <c r="B31" s="82" t="s">
        <v>182</v>
      </c>
      <c r="C31" s="83" t="s">
        <v>125</v>
      </c>
      <c r="D31" s="82" t="s">
        <v>127</v>
      </c>
      <c r="E31" s="84">
        <v>260.13</v>
      </c>
      <c r="F31" s="84">
        <f>SUM(E31*78/1000)</f>
        <v>20.290140000000001</v>
      </c>
      <c r="G31" s="84">
        <v>276.48</v>
      </c>
      <c r="H31" s="85">
        <f t="shared" ref="H31:H36" si="2">SUM(F31*G31/1000)</f>
        <v>5.6098179072000001</v>
      </c>
      <c r="I31" s="13">
        <f t="shared" ref="I31:I34" si="3">F31/6*G31</f>
        <v>934.96965120000016</v>
      </c>
      <c r="J31" s="23"/>
      <c r="K31" s="8"/>
      <c r="L31" s="8"/>
      <c r="M31" s="8"/>
    </row>
    <row r="32" spans="1:13" ht="15.75" customHeight="1">
      <c r="A32" s="30">
        <v>15</v>
      </c>
      <c r="B32" s="82" t="s">
        <v>27</v>
      </c>
      <c r="C32" s="83" t="s">
        <v>125</v>
      </c>
      <c r="D32" s="82" t="s">
        <v>57</v>
      </c>
      <c r="E32" s="84">
        <v>844.95</v>
      </c>
      <c r="F32" s="84">
        <f>SUM(E32/1000)</f>
        <v>0.84495000000000009</v>
      </c>
      <c r="G32" s="84">
        <v>3228.73</v>
      </c>
      <c r="H32" s="85">
        <f t="shared" si="2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customHeight="1">
      <c r="A33" s="30">
        <v>16</v>
      </c>
      <c r="B33" s="82" t="s">
        <v>160</v>
      </c>
      <c r="C33" s="83" t="s">
        <v>42</v>
      </c>
      <c r="D33" s="82" t="s">
        <v>68</v>
      </c>
      <c r="E33" s="84">
        <v>8</v>
      </c>
      <c r="F33" s="84">
        <v>12.4</v>
      </c>
      <c r="G33" s="84">
        <v>1391.86</v>
      </c>
      <c r="H33" s="85">
        <v>17.259</v>
      </c>
      <c r="I33" s="13">
        <f t="shared" si="3"/>
        <v>2876.5106666666666</v>
      </c>
      <c r="J33" s="23"/>
      <c r="K33" s="8"/>
      <c r="L33" s="8"/>
      <c r="M33" s="8"/>
    </row>
    <row r="34" spans="1:14" ht="15.75" customHeight="1">
      <c r="A34" s="30">
        <v>17</v>
      </c>
      <c r="B34" s="82" t="s">
        <v>128</v>
      </c>
      <c r="C34" s="83" t="s">
        <v>31</v>
      </c>
      <c r="D34" s="82" t="s">
        <v>68</v>
      </c>
      <c r="E34" s="89">
        <v>0.33333333333333331</v>
      </c>
      <c r="F34" s="84">
        <f>155/3</f>
        <v>51.666666666666664</v>
      </c>
      <c r="G34" s="84">
        <v>60.6</v>
      </c>
      <c r="H34" s="85">
        <f>SUM(G34*155/3/1000)</f>
        <v>3.1309999999999998</v>
      </c>
      <c r="I34" s="13">
        <f t="shared" si="3"/>
        <v>521.83333333333337</v>
      </c>
      <c r="J34" s="23"/>
      <c r="K34" s="8"/>
    </row>
    <row r="35" spans="1:14" ht="15.75" hidden="1" customHeight="1">
      <c r="A35" s="30"/>
      <c r="B35" s="82" t="s">
        <v>70</v>
      </c>
      <c r="C35" s="83" t="s">
        <v>34</v>
      </c>
      <c r="D35" s="82" t="s">
        <v>72</v>
      </c>
      <c r="E35" s="56"/>
      <c r="F35" s="84">
        <v>3</v>
      </c>
      <c r="G35" s="84">
        <v>204.32</v>
      </c>
      <c r="H35" s="85">
        <f t="shared" si="2"/>
        <v>0.61296000000000006</v>
      </c>
      <c r="I35" s="13">
        <v>0</v>
      </c>
      <c r="J35" s="24"/>
    </row>
    <row r="36" spans="1:14" ht="15.75" hidden="1" customHeight="1">
      <c r="A36" s="30"/>
      <c r="B36" s="82" t="s">
        <v>71</v>
      </c>
      <c r="C36" s="83" t="s">
        <v>33</v>
      </c>
      <c r="D36" s="82" t="s">
        <v>72</v>
      </c>
      <c r="E36" s="56"/>
      <c r="F36" s="84">
        <v>2</v>
      </c>
      <c r="G36" s="84">
        <v>1214.73</v>
      </c>
      <c r="H36" s="85">
        <f t="shared" si="2"/>
        <v>2.4294600000000002</v>
      </c>
      <c r="I36" s="13">
        <v>0</v>
      </c>
      <c r="J36" s="24"/>
    </row>
    <row r="37" spans="1:14" ht="15.75" hidden="1" customHeight="1">
      <c r="A37" s="30"/>
      <c r="B37" s="106" t="s">
        <v>5</v>
      </c>
      <c r="C37" s="83"/>
      <c r="D37" s="82"/>
      <c r="E37" s="56"/>
      <c r="F37" s="84"/>
      <c r="G37" s="84"/>
      <c r="H37" s="85" t="s">
        <v>144</v>
      </c>
      <c r="I37" s="13"/>
      <c r="J37" s="24"/>
    </row>
    <row r="38" spans="1:14" ht="15.75" hidden="1" customHeight="1">
      <c r="A38" s="30">
        <v>8</v>
      </c>
      <c r="B38" s="82" t="s">
        <v>26</v>
      </c>
      <c r="C38" s="83" t="s">
        <v>33</v>
      </c>
      <c r="D38" s="82"/>
      <c r="E38" s="56"/>
      <c r="F38" s="84">
        <v>10</v>
      </c>
      <c r="G38" s="84">
        <v>1632.6</v>
      </c>
      <c r="H38" s="85">
        <f t="shared" ref="H38:H44" si="4">SUM(F38*G38/1000)</f>
        <v>16.326000000000001</v>
      </c>
      <c r="I38" s="13">
        <f>F38/6*G38</f>
        <v>2721</v>
      </c>
      <c r="J38" s="24"/>
    </row>
    <row r="39" spans="1:14" ht="15.75" hidden="1" customHeight="1">
      <c r="A39" s="30">
        <v>9</v>
      </c>
      <c r="B39" s="82" t="s">
        <v>162</v>
      </c>
      <c r="C39" s="83" t="s">
        <v>29</v>
      </c>
      <c r="D39" s="82" t="s">
        <v>129</v>
      </c>
      <c r="E39" s="84">
        <v>254.8</v>
      </c>
      <c r="F39" s="84">
        <f>SUM(E39*30/1000)</f>
        <v>7.6440000000000001</v>
      </c>
      <c r="G39" s="84">
        <v>2247.8000000000002</v>
      </c>
      <c r="H39" s="85">
        <f t="shared" si="4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82" t="s">
        <v>104</v>
      </c>
      <c r="C40" s="83" t="s">
        <v>130</v>
      </c>
      <c r="D40" s="82" t="s">
        <v>72</v>
      </c>
      <c r="E40" s="56"/>
      <c r="F40" s="84">
        <v>40</v>
      </c>
      <c r="G40" s="84">
        <v>213.2</v>
      </c>
      <c r="H40" s="85">
        <f t="shared" si="4"/>
        <v>8.5280000000000005</v>
      </c>
      <c r="I40" s="13">
        <v>0</v>
      </c>
      <c r="J40" s="24"/>
      <c r="L40" s="20"/>
      <c r="M40" s="21"/>
      <c r="N40" s="22"/>
    </row>
    <row r="41" spans="1:14" ht="15.75" hidden="1" customHeight="1">
      <c r="A41" s="30">
        <v>10</v>
      </c>
      <c r="B41" s="82" t="s">
        <v>73</v>
      </c>
      <c r="C41" s="83" t="s">
        <v>29</v>
      </c>
      <c r="D41" s="82" t="s">
        <v>131</v>
      </c>
      <c r="E41" s="84">
        <v>260.13</v>
      </c>
      <c r="F41" s="84">
        <f>SUM(E41*155/1000)</f>
        <v>40.320149999999998</v>
      </c>
      <c r="G41" s="84">
        <v>374.95</v>
      </c>
      <c r="H41" s="85">
        <f t="shared" si="4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hidden="1" customHeight="1">
      <c r="A42" s="30">
        <v>11</v>
      </c>
      <c r="B42" s="82" t="s">
        <v>89</v>
      </c>
      <c r="C42" s="83" t="s">
        <v>125</v>
      </c>
      <c r="D42" s="82" t="s">
        <v>132</v>
      </c>
      <c r="E42" s="84">
        <v>132.72999999999999</v>
      </c>
      <c r="F42" s="84">
        <f>SUM(E42*35/1000)</f>
        <v>4.6455499999999992</v>
      </c>
      <c r="G42" s="84">
        <v>6203.7</v>
      </c>
      <c r="H42" s="85">
        <f t="shared" si="4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hidden="1" customHeight="1">
      <c r="A43" s="30">
        <v>12</v>
      </c>
      <c r="B43" s="82" t="s">
        <v>133</v>
      </c>
      <c r="C43" s="83" t="s">
        <v>125</v>
      </c>
      <c r="D43" s="82" t="s">
        <v>74</v>
      </c>
      <c r="E43" s="84">
        <v>254.8</v>
      </c>
      <c r="F43" s="84">
        <f>SUM(E43*45/1000)</f>
        <v>11.465999999999999</v>
      </c>
      <c r="G43" s="84">
        <v>458.28</v>
      </c>
      <c r="H43" s="85">
        <f t="shared" si="4"/>
        <v>5.2546384799999997</v>
      </c>
      <c r="I43" s="13">
        <f>F43/6*G43</f>
        <v>875.77307999999982</v>
      </c>
      <c r="J43" s="24"/>
      <c r="L43" s="20"/>
      <c r="M43" s="21"/>
      <c r="N43" s="22"/>
    </row>
    <row r="44" spans="1:14" ht="15.75" hidden="1" customHeight="1">
      <c r="A44" s="30">
        <v>13</v>
      </c>
      <c r="B44" s="82" t="s">
        <v>75</v>
      </c>
      <c r="C44" s="83" t="s">
        <v>34</v>
      </c>
      <c r="D44" s="82"/>
      <c r="E44" s="56"/>
      <c r="F44" s="84">
        <v>0.9</v>
      </c>
      <c r="G44" s="84">
        <v>853.06</v>
      </c>
      <c r="H44" s="85">
        <f t="shared" si="4"/>
        <v>0.76775400000000005</v>
      </c>
      <c r="I44" s="13">
        <f>F44/6*G44</f>
        <v>127.95899999999999</v>
      </c>
      <c r="J44" s="24"/>
      <c r="L44" s="20"/>
      <c r="M44" s="21"/>
      <c r="N44" s="22"/>
    </row>
    <row r="45" spans="1:14" ht="15.75" customHeight="1">
      <c r="A45" s="131" t="s">
        <v>154</v>
      </c>
      <c r="B45" s="132"/>
      <c r="C45" s="132"/>
      <c r="D45" s="132"/>
      <c r="E45" s="132"/>
      <c r="F45" s="132"/>
      <c r="G45" s="132"/>
      <c r="H45" s="132"/>
      <c r="I45" s="133"/>
      <c r="J45" s="24"/>
      <c r="L45" s="20"/>
      <c r="M45" s="21"/>
      <c r="N45" s="22"/>
    </row>
    <row r="46" spans="1:14" ht="15.75" customHeight="1">
      <c r="A46" s="30">
        <v>18</v>
      </c>
      <c r="B46" s="82" t="s">
        <v>148</v>
      </c>
      <c r="C46" s="83" t="s">
        <v>125</v>
      </c>
      <c r="D46" s="82" t="s">
        <v>44</v>
      </c>
      <c r="E46" s="56">
        <v>1795.9</v>
      </c>
      <c r="F46" s="84">
        <f>SUM(E46*2/1000)</f>
        <v>3.5918000000000001</v>
      </c>
      <c r="G46" s="13">
        <v>865.61</v>
      </c>
      <c r="H46" s="85">
        <f t="shared" ref="H46:H55" si="5">SUM(F46*G46/1000)</f>
        <v>3.1090979980000002</v>
      </c>
      <c r="I46" s="13">
        <f t="shared" ref="I46:I49" si="6">F46/2*G46</f>
        <v>1554.5489990000001</v>
      </c>
      <c r="J46" s="24"/>
      <c r="L46" s="20"/>
      <c r="M46" s="21"/>
      <c r="N46" s="22"/>
    </row>
    <row r="47" spans="1:14" ht="15.75" customHeight="1">
      <c r="A47" s="30">
        <v>19</v>
      </c>
      <c r="B47" s="82" t="s">
        <v>37</v>
      </c>
      <c r="C47" s="83" t="s">
        <v>125</v>
      </c>
      <c r="D47" s="82" t="s">
        <v>44</v>
      </c>
      <c r="E47" s="56">
        <v>104</v>
      </c>
      <c r="F47" s="84">
        <f>SUM(E47*2/1000)</f>
        <v>0.20799999999999999</v>
      </c>
      <c r="G47" s="13">
        <v>619.46</v>
      </c>
      <c r="H47" s="85">
        <f t="shared" si="5"/>
        <v>0.12884767999999999</v>
      </c>
      <c r="I47" s="13">
        <f t="shared" si="6"/>
        <v>64.423839999999998</v>
      </c>
      <c r="J47" s="24"/>
      <c r="L47" s="20"/>
      <c r="M47" s="21"/>
      <c r="N47" s="22"/>
    </row>
    <row r="48" spans="1:14" ht="15.75" customHeight="1">
      <c r="A48" s="30">
        <v>20</v>
      </c>
      <c r="B48" s="82" t="s">
        <v>38</v>
      </c>
      <c r="C48" s="83" t="s">
        <v>125</v>
      </c>
      <c r="D48" s="82" t="s">
        <v>44</v>
      </c>
      <c r="E48" s="56">
        <v>1996.87</v>
      </c>
      <c r="F48" s="84">
        <f>SUM(E48*2/1000)</f>
        <v>3.9937399999999998</v>
      </c>
      <c r="G48" s="13">
        <v>619.46</v>
      </c>
      <c r="H48" s="85">
        <f t="shared" si="5"/>
        <v>2.4739621804</v>
      </c>
      <c r="I48" s="13">
        <f t="shared" si="6"/>
        <v>1236.9810901999999</v>
      </c>
      <c r="J48" s="24"/>
      <c r="L48" s="20"/>
      <c r="M48" s="21"/>
      <c r="N48" s="22"/>
    </row>
    <row r="49" spans="1:22" ht="15.75" customHeight="1">
      <c r="A49" s="30">
        <v>21</v>
      </c>
      <c r="B49" s="82" t="s">
        <v>39</v>
      </c>
      <c r="C49" s="83" t="s">
        <v>125</v>
      </c>
      <c r="D49" s="82" t="s">
        <v>44</v>
      </c>
      <c r="E49" s="56">
        <v>2630.35</v>
      </c>
      <c r="F49" s="84">
        <f>SUM(E49*2/1000)</f>
        <v>5.2606999999999999</v>
      </c>
      <c r="G49" s="13">
        <v>648.64</v>
      </c>
      <c r="H49" s="85">
        <f t="shared" si="5"/>
        <v>3.4123004479999999</v>
      </c>
      <c r="I49" s="13">
        <f t="shared" si="6"/>
        <v>1706.150224</v>
      </c>
      <c r="J49" s="24"/>
      <c r="L49" s="20"/>
      <c r="M49" s="21"/>
      <c r="N49" s="22"/>
    </row>
    <row r="50" spans="1:22" ht="15.75" customHeight="1">
      <c r="A50" s="30">
        <v>22</v>
      </c>
      <c r="B50" s="82" t="s">
        <v>35</v>
      </c>
      <c r="C50" s="83" t="s">
        <v>36</v>
      </c>
      <c r="D50" s="82" t="s">
        <v>44</v>
      </c>
      <c r="E50" s="56">
        <v>131.47</v>
      </c>
      <c r="F50" s="84">
        <f>SUM(E50*2/100)</f>
        <v>2.6294</v>
      </c>
      <c r="G50" s="13">
        <v>77.84</v>
      </c>
      <c r="H50" s="85">
        <f t="shared" si="5"/>
        <v>0.20467249599999998</v>
      </c>
      <c r="I50" s="13">
        <f>F50/2*G50</f>
        <v>102.336248</v>
      </c>
      <c r="J50" s="24"/>
      <c r="L50" s="20"/>
      <c r="M50" s="21"/>
      <c r="N50" s="22"/>
    </row>
    <row r="51" spans="1:22" ht="15.75" customHeight="1">
      <c r="A51" s="30">
        <v>23</v>
      </c>
      <c r="B51" s="82" t="s">
        <v>61</v>
      </c>
      <c r="C51" s="83" t="s">
        <v>125</v>
      </c>
      <c r="D51" s="82" t="s">
        <v>183</v>
      </c>
      <c r="E51" s="56">
        <v>2872.4</v>
      </c>
      <c r="F51" s="84">
        <f>SUM(E51*5/1000)</f>
        <v>14.362</v>
      </c>
      <c r="G51" s="13">
        <v>1297.28</v>
      </c>
      <c r="H51" s="85">
        <f t="shared" si="5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22" ht="31.5" customHeight="1">
      <c r="A52" s="30">
        <v>24</v>
      </c>
      <c r="B52" s="82" t="s">
        <v>134</v>
      </c>
      <c r="C52" s="83" t="s">
        <v>125</v>
      </c>
      <c r="D52" s="82" t="s">
        <v>44</v>
      </c>
      <c r="E52" s="56">
        <v>2872.4</v>
      </c>
      <c r="F52" s="84">
        <f>SUM(E52*2/1000)</f>
        <v>5.7448000000000006</v>
      </c>
      <c r="G52" s="13">
        <v>1297.28</v>
      </c>
      <c r="H52" s="85">
        <f t="shared" si="5"/>
        <v>7.4526141440000009</v>
      </c>
      <c r="I52" s="13">
        <f>F52/2*G52</f>
        <v>3726.3070720000005</v>
      </c>
      <c r="J52" s="24"/>
      <c r="L52" s="20"/>
      <c r="M52" s="21"/>
      <c r="N52" s="22"/>
    </row>
    <row r="53" spans="1:22" ht="31.5" customHeight="1">
      <c r="A53" s="30">
        <v>25</v>
      </c>
      <c r="B53" s="82" t="s">
        <v>135</v>
      </c>
      <c r="C53" s="83" t="s">
        <v>40</v>
      </c>
      <c r="D53" s="82" t="s">
        <v>44</v>
      </c>
      <c r="E53" s="56">
        <v>40</v>
      </c>
      <c r="F53" s="84">
        <f>SUM(E53*2/100)</f>
        <v>0.8</v>
      </c>
      <c r="G53" s="13">
        <v>2918.89</v>
      </c>
      <c r="H53" s="85">
        <f t="shared" si="5"/>
        <v>2.3351120000000001</v>
      </c>
      <c r="I53" s="13">
        <f t="shared" ref="I53:I54" si="7">F53/2*G53</f>
        <v>1167.556</v>
      </c>
      <c r="J53" s="24"/>
      <c r="L53" s="20"/>
      <c r="M53" s="21"/>
      <c r="N53" s="22"/>
    </row>
    <row r="54" spans="1:22" ht="15.75" customHeight="1">
      <c r="A54" s="30">
        <v>26</v>
      </c>
      <c r="B54" s="82" t="s">
        <v>41</v>
      </c>
      <c r="C54" s="83" t="s">
        <v>42</v>
      </c>
      <c r="D54" s="82" t="s">
        <v>44</v>
      </c>
      <c r="E54" s="56">
        <v>1</v>
      </c>
      <c r="F54" s="84">
        <v>0.02</v>
      </c>
      <c r="G54" s="13">
        <v>6042.12</v>
      </c>
      <c r="H54" s="85">
        <f t="shared" si="5"/>
        <v>0.1208424</v>
      </c>
      <c r="I54" s="13">
        <f t="shared" si="7"/>
        <v>60.421199999999999</v>
      </c>
      <c r="J54" s="24"/>
      <c r="L54" s="20"/>
      <c r="M54" s="21"/>
      <c r="N54" s="22"/>
    </row>
    <row r="55" spans="1:22" ht="15.75" hidden="1" customHeight="1">
      <c r="A55" s="30">
        <v>15</v>
      </c>
      <c r="B55" s="82" t="s">
        <v>43</v>
      </c>
      <c r="C55" s="83" t="s">
        <v>31</v>
      </c>
      <c r="D55" s="82" t="s">
        <v>76</v>
      </c>
      <c r="E55" s="56">
        <v>160</v>
      </c>
      <c r="F55" s="84">
        <f>SUM(E55)*3</f>
        <v>480</v>
      </c>
      <c r="G55" s="13">
        <v>70.209999999999994</v>
      </c>
      <c r="H55" s="85">
        <f t="shared" si="5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22" ht="15.75" customHeight="1">
      <c r="A56" s="131" t="s">
        <v>155</v>
      </c>
      <c r="B56" s="132"/>
      <c r="C56" s="132"/>
      <c r="D56" s="132"/>
      <c r="E56" s="132"/>
      <c r="F56" s="132"/>
      <c r="G56" s="132"/>
      <c r="H56" s="132"/>
      <c r="I56" s="133"/>
      <c r="J56" s="24"/>
      <c r="L56" s="20"/>
      <c r="M56" s="21"/>
      <c r="N56" s="22"/>
    </row>
    <row r="57" spans="1:22" ht="15.75" hidden="1" customHeight="1">
      <c r="A57" s="30"/>
      <c r="B57" s="106" t="s">
        <v>45</v>
      </c>
      <c r="C57" s="83"/>
      <c r="D57" s="82"/>
      <c r="E57" s="56"/>
      <c r="F57" s="84"/>
      <c r="G57" s="84"/>
      <c r="H57" s="85"/>
      <c r="I57" s="13"/>
      <c r="J57" s="24"/>
      <c r="L57" s="20"/>
      <c r="M57" s="21"/>
      <c r="N57" s="22"/>
    </row>
    <row r="58" spans="1:22" ht="31.5" hidden="1" customHeight="1">
      <c r="A58" s="30">
        <v>27</v>
      </c>
      <c r="B58" s="82" t="s">
        <v>137</v>
      </c>
      <c r="C58" s="83" t="s">
        <v>116</v>
      </c>
      <c r="D58" s="82" t="s">
        <v>77</v>
      </c>
      <c r="E58" s="56">
        <v>239.59</v>
      </c>
      <c r="F58" s="84">
        <f>E58*6/100</f>
        <v>14.375399999999999</v>
      </c>
      <c r="G58" s="91">
        <v>1654.04</v>
      </c>
      <c r="H58" s="85">
        <f>F58*G58/1000</f>
        <v>23.777486615999997</v>
      </c>
      <c r="I58" s="13">
        <f>F58/6*G58</f>
        <v>3962.9144359999996</v>
      </c>
      <c r="J58" s="24"/>
      <c r="L58" s="20"/>
      <c r="M58" s="21"/>
      <c r="N58" s="22"/>
    </row>
    <row r="59" spans="1:22" ht="15.75" customHeight="1">
      <c r="A59" s="30"/>
      <c r="B59" s="107" t="s">
        <v>46</v>
      </c>
      <c r="C59" s="92"/>
      <c r="D59" s="93"/>
      <c r="E59" s="94"/>
      <c r="F59" s="96"/>
      <c r="G59" s="13"/>
      <c r="H59" s="98"/>
      <c r="I59" s="13"/>
      <c r="J59" s="24"/>
      <c r="L59" s="20"/>
      <c r="M59" s="21"/>
      <c r="N59" s="22"/>
    </row>
    <row r="60" spans="1:22" ht="15.75" hidden="1" customHeight="1">
      <c r="A60" s="30"/>
      <c r="B60" s="93" t="s">
        <v>47</v>
      </c>
      <c r="C60" s="92" t="s">
        <v>56</v>
      </c>
      <c r="D60" s="93" t="s">
        <v>57</v>
      </c>
      <c r="E60" s="94">
        <v>2686</v>
      </c>
      <c r="F60" s="96">
        <f>E60/100</f>
        <v>26.86</v>
      </c>
      <c r="G60" s="13">
        <v>848.37</v>
      </c>
      <c r="H60" s="98">
        <f>G60*F60/1000</f>
        <v>22.787218199999998</v>
      </c>
      <c r="I60" s="13">
        <v>0</v>
      </c>
      <c r="J60" s="24"/>
      <c r="L60" s="20"/>
    </row>
    <row r="61" spans="1:22" ht="15.75" customHeight="1">
      <c r="A61" s="30">
        <v>27</v>
      </c>
      <c r="B61" s="93" t="s">
        <v>105</v>
      </c>
      <c r="C61" s="92" t="s">
        <v>25</v>
      </c>
      <c r="D61" s="93" t="s">
        <v>30</v>
      </c>
      <c r="E61" s="94">
        <v>343</v>
      </c>
      <c r="F61" s="96">
        <v>4116</v>
      </c>
      <c r="G61" s="13">
        <v>2.6</v>
      </c>
      <c r="H61" s="98">
        <f>F61*G61</f>
        <v>10701.6</v>
      </c>
      <c r="I61" s="13">
        <f>F61/12*G61</f>
        <v>891.80000000000007</v>
      </c>
    </row>
    <row r="62" spans="1:22" ht="15.75" hidden="1" customHeight="1">
      <c r="A62" s="30"/>
      <c r="B62" s="107" t="s">
        <v>149</v>
      </c>
      <c r="C62" s="92"/>
      <c r="D62" s="93"/>
      <c r="E62" s="94"/>
      <c r="F62" s="96"/>
      <c r="G62" s="13"/>
      <c r="H62" s="98"/>
      <c r="I62" s="13"/>
    </row>
    <row r="63" spans="1:22" ht="15.75" hidden="1" customHeight="1">
      <c r="A63" s="30"/>
      <c r="B63" s="93" t="s">
        <v>150</v>
      </c>
      <c r="C63" s="92" t="s">
        <v>31</v>
      </c>
      <c r="D63" s="93" t="s">
        <v>72</v>
      </c>
      <c r="E63" s="94">
        <v>3</v>
      </c>
      <c r="F63" s="95">
        <v>3</v>
      </c>
      <c r="G63" s="97">
        <v>254.16</v>
      </c>
      <c r="H63" s="96">
        <v>0.76200000000000001</v>
      </c>
      <c r="I63" s="13">
        <v>0</v>
      </c>
    </row>
    <row r="64" spans="1:22" ht="15.75" customHeight="1">
      <c r="A64" s="30"/>
      <c r="B64" s="107" t="s">
        <v>48</v>
      </c>
      <c r="C64" s="92"/>
      <c r="D64" s="93"/>
      <c r="E64" s="94"/>
      <c r="F64" s="95"/>
      <c r="G64" s="95"/>
      <c r="H64" s="96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0"/>
      <c r="B65" s="14" t="s">
        <v>49</v>
      </c>
      <c r="C65" s="16" t="s">
        <v>136</v>
      </c>
      <c r="D65" s="93" t="s">
        <v>72</v>
      </c>
      <c r="E65" s="19">
        <v>15</v>
      </c>
      <c r="F65" s="84">
        <v>15</v>
      </c>
      <c r="G65" s="13">
        <v>237.74</v>
      </c>
      <c r="H65" s="99">
        <f t="shared" ref="H65:H78" si="8">SUM(F65*G65/1000)</f>
        <v>3.5661000000000005</v>
      </c>
      <c r="I65" s="13">
        <v>0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14" t="s">
        <v>50</v>
      </c>
      <c r="C66" s="16" t="s">
        <v>136</v>
      </c>
      <c r="D66" s="93" t="s">
        <v>72</v>
      </c>
      <c r="E66" s="19">
        <v>5</v>
      </c>
      <c r="F66" s="84">
        <v>5</v>
      </c>
      <c r="G66" s="13">
        <v>81.510000000000005</v>
      </c>
      <c r="H66" s="99">
        <f t="shared" si="8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customHeight="1">
      <c r="A67" s="30">
        <v>28</v>
      </c>
      <c r="B67" s="14" t="s">
        <v>51</v>
      </c>
      <c r="C67" s="16" t="s">
        <v>138</v>
      </c>
      <c r="D67" s="14" t="s">
        <v>57</v>
      </c>
      <c r="E67" s="56">
        <v>24123</v>
      </c>
      <c r="F67" s="13">
        <f>SUM(E67/100)</f>
        <v>241.23</v>
      </c>
      <c r="G67" s="13">
        <v>226.79</v>
      </c>
      <c r="H67" s="99">
        <f t="shared" si="8"/>
        <v>54.708551699999994</v>
      </c>
      <c r="I67" s="13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127"/>
      <c r="S67" s="127"/>
      <c r="T67" s="127"/>
      <c r="U67" s="127"/>
    </row>
    <row r="68" spans="1:21" ht="15.75" customHeight="1">
      <c r="A68" s="30">
        <v>29</v>
      </c>
      <c r="B68" s="14" t="s">
        <v>52</v>
      </c>
      <c r="C68" s="16" t="s">
        <v>139</v>
      </c>
      <c r="D68" s="14"/>
      <c r="E68" s="56">
        <v>24123</v>
      </c>
      <c r="F68" s="13">
        <f>SUM(E68/1000)</f>
        <v>24.123000000000001</v>
      </c>
      <c r="G68" s="13">
        <v>176.61</v>
      </c>
      <c r="H68" s="99">
        <f t="shared" si="8"/>
        <v>4.2603630300000006</v>
      </c>
      <c r="I68" s="13">
        <f t="shared" ref="I68:I72" si="9">F68*G68</f>
        <v>4260.3630300000004</v>
      </c>
    </row>
    <row r="69" spans="1:21" ht="15.75" customHeight="1">
      <c r="A69" s="30">
        <v>30</v>
      </c>
      <c r="B69" s="14" t="s">
        <v>53</v>
      </c>
      <c r="C69" s="16" t="s">
        <v>82</v>
      </c>
      <c r="D69" s="14" t="s">
        <v>57</v>
      </c>
      <c r="E69" s="56">
        <v>2730</v>
      </c>
      <c r="F69" s="13">
        <f>SUM(E69/100)</f>
        <v>27.3</v>
      </c>
      <c r="G69" s="13">
        <v>2217.7800000000002</v>
      </c>
      <c r="H69" s="99">
        <f t="shared" si="8"/>
        <v>60.545394000000009</v>
      </c>
      <c r="I69" s="13">
        <f t="shared" si="9"/>
        <v>60545.394000000008</v>
      </c>
    </row>
    <row r="70" spans="1:21" ht="15.75" customHeight="1">
      <c r="A70" s="30">
        <v>31</v>
      </c>
      <c r="B70" s="100" t="s">
        <v>140</v>
      </c>
      <c r="C70" s="16" t="s">
        <v>34</v>
      </c>
      <c r="D70" s="14"/>
      <c r="E70" s="56">
        <v>23</v>
      </c>
      <c r="F70" s="13">
        <f>SUM(E70)</f>
        <v>23</v>
      </c>
      <c r="G70" s="13">
        <v>42.67</v>
      </c>
      <c r="H70" s="99">
        <f t="shared" si="8"/>
        <v>0.98141000000000012</v>
      </c>
      <c r="I70" s="13">
        <f t="shared" si="9"/>
        <v>981.41000000000008</v>
      </c>
    </row>
    <row r="71" spans="1:21" ht="15.75" customHeight="1">
      <c r="A71" s="30">
        <v>32</v>
      </c>
      <c r="B71" s="100" t="s">
        <v>141</v>
      </c>
      <c r="C71" s="16" t="s">
        <v>34</v>
      </c>
      <c r="D71" s="14"/>
      <c r="E71" s="56">
        <v>23</v>
      </c>
      <c r="F71" s="13">
        <f>SUM(E71)</f>
        <v>23</v>
      </c>
      <c r="G71" s="13">
        <v>39.81</v>
      </c>
      <c r="H71" s="99">
        <f t="shared" si="8"/>
        <v>0.91563000000000005</v>
      </c>
      <c r="I71" s="13">
        <f t="shared" si="9"/>
        <v>915.63000000000011</v>
      </c>
    </row>
    <row r="72" spans="1:21" ht="15.75" hidden="1" customHeight="1">
      <c r="A72" s="30"/>
      <c r="B72" s="14" t="s">
        <v>62</v>
      </c>
      <c r="C72" s="16" t="s">
        <v>63</v>
      </c>
      <c r="D72" s="14" t="s">
        <v>57</v>
      </c>
      <c r="E72" s="19">
        <v>10</v>
      </c>
      <c r="F72" s="84">
        <f>SUM(E72)</f>
        <v>10</v>
      </c>
      <c r="G72" s="13">
        <v>53.32</v>
      </c>
      <c r="H72" s="99">
        <f t="shared" si="8"/>
        <v>0.53320000000000001</v>
      </c>
      <c r="I72" s="13">
        <f t="shared" si="9"/>
        <v>533.20000000000005</v>
      </c>
    </row>
    <row r="73" spans="1:21" ht="15.75" hidden="1" customHeight="1">
      <c r="A73" s="30"/>
      <c r="B73" s="64" t="s">
        <v>78</v>
      </c>
      <c r="C73" s="16"/>
      <c r="D73" s="14"/>
      <c r="E73" s="19"/>
      <c r="F73" s="13"/>
      <c r="G73" s="13"/>
      <c r="H73" s="99" t="s">
        <v>144</v>
      </c>
      <c r="I73" s="13"/>
    </row>
    <row r="74" spans="1:21" ht="15.75" hidden="1" customHeight="1">
      <c r="A74" s="30"/>
      <c r="B74" s="14" t="s">
        <v>79</v>
      </c>
      <c r="C74" s="16" t="s">
        <v>32</v>
      </c>
      <c r="D74" s="14"/>
      <c r="E74" s="19">
        <v>2</v>
      </c>
      <c r="F74" s="75">
        <v>0.2</v>
      </c>
      <c r="G74" s="13">
        <v>536.23</v>
      </c>
      <c r="H74" s="99">
        <v>0.251</v>
      </c>
      <c r="I74" s="13">
        <v>0</v>
      </c>
    </row>
    <row r="75" spans="1:21" ht="15.75" hidden="1" customHeight="1">
      <c r="A75" s="30"/>
      <c r="B75" s="14" t="s">
        <v>95</v>
      </c>
      <c r="C75" s="16" t="s">
        <v>31</v>
      </c>
      <c r="D75" s="14"/>
      <c r="E75" s="19">
        <v>1</v>
      </c>
      <c r="F75" s="84">
        <f>SUM(E75)</f>
        <v>1</v>
      </c>
      <c r="G75" s="13">
        <v>383.25</v>
      </c>
      <c r="H75" s="99">
        <f t="shared" si="8"/>
        <v>0.38324999999999998</v>
      </c>
      <c r="I75" s="13">
        <v>0</v>
      </c>
    </row>
    <row r="76" spans="1:21" ht="15.75" hidden="1" customHeight="1">
      <c r="A76" s="30"/>
      <c r="B76" s="14" t="s">
        <v>80</v>
      </c>
      <c r="C76" s="16" t="s">
        <v>31</v>
      </c>
      <c r="D76" s="14"/>
      <c r="E76" s="19">
        <v>2</v>
      </c>
      <c r="F76" s="13">
        <v>2</v>
      </c>
      <c r="G76" s="13">
        <v>911.85</v>
      </c>
      <c r="H76" s="99">
        <f>F76*G76/1000</f>
        <v>1.8237000000000001</v>
      </c>
      <c r="I76" s="13">
        <v>0</v>
      </c>
    </row>
    <row r="77" spans="1:21" ht="15.75" hidden="1" customHeight="1">
      <c r="A77" s="30"/>
      <c r="B77" s="101" t="s">
        <v>81</v>
      </c>
      <c r="C77" s="16"/>
      <c r="D77" s="14"/>
      <c r="E77" s="19"/>
      <c r="F77" s="13"/>
      <c r="G77" s="13" t="s">
        <v>144</v>
      </c>
      <c r="H77" s="99" t="s">
        <v>144</v>
      </c>
      <c r="I77" s="13"/>
    </row>
    <row r="78" spans="1:21" ht="15.75" hidden="1" customHeight="1">
      <c r="A78" s="30"/>
      <c r="B78" s="49" t="s">
        <v>145</v>
      </c>
      <c r="C78" s="16" t="s">
        <v>82</v>
      </c>
      <c r="D78" s="14"/>
      <c r="E78" s="19"/>
      <c r="F78" s="13">
        <v>1.35</v>
      </c>
      <c r="G78" s="13">
        <v>2949.85</v>
      </c>
      <c r="H78" s="99">
        <f t="shared" si="8"/>
        <v>3.9822975</v>
      </c>
      <c r="I78" s="13">
        <v>0</v>
      </c>
    </row>
    <row r="79" spans="1:21" ht="15.75" hidden="1" customHeight="1">
      <c r="A79" s="30"/>
      <c r="B79" s="87" t="s">
        <v>142</v>
      </c>
      <c r="C79" s="101"/>
      <c r="D79" s="32"/>
      <c r="E79" s="33"/>
      <c r="F79" s="88"/>
      <c r="G79" s="88"/>
      <c r="H79" s="102">
        <f>SUM(H58:H78)</f>
        <v>10881.285151046004</v>
      </c>
      <c r="I79" s="88"/>
    </row>
    <row r="80" spans="1:21" ht="15.75" hidden="1" customHeight="1">
      <c r="A80" s="30"/>
      <c r="B80" s="82" t="s">
        <v>143</v>
      </c>
      <c r="C80" s="16"/>
      <c r="D80" s="14"/>
      <c r="E80" s="76"/>
      <c r="F80" s="13">
        <v>1</v>
      </c>
      <c r="G80" s="13">
        <v>19342.2</v>
      </c>
      <c r="H80" s="99">
        <f>G80*F80/1000</f>
        <v>19.342200000000002</v>
      </c>
      <c r="I80" s="13">
        <v>0</v>
      </c>
    </row>
    <row r="81" spans="1:9" ht="15.75" customHeight="1">
      <c r="A81" s="140" t="s">
        <v>156</v>
      </c>
      <c r="B81" s="141"/>
      <c r="C81" s="141"/>
      <c r="D81" s="141"/>
      <c r="E81" s="141"/>
      <c r="F81" s="141"/>
      <c r="G81" s="141"/>
      <c r="H81" s="141"/>
      <c r="I81" s="142"/>
    </row>
    <row r="82" spans="1:9" ht="15.75" customHeight="1">
      <c r="A82" s="30">
        <v>33</v>
      </c>
      <c r="B82" s="82" t="s">
        <v>146</v>
      </c>
      <c r="C82" s="16" t="s">
        <v>59</v>
      </c>
      <c r="D82" s="103" t="s">
        <v>60</v>
      </c>
      <c r="E82" s="13">
        <v>4591.2</v>
      </c>
      <c r="F82" s="13">
        <f>SUM(E82*12)</f>
        <v>55094.399999999994</v>
      </c>
      <c r="G82" s="13">
        <v>2.54</v>
      </c>
      <c r="H82" s="99">
        <f>SUM(F82*G82/1000)</f>
        <v>139.93977599999999</v>
      </c>
      <c r="I82" s="13">
        <f>F82/12*G82</f>
        <v>11661.647999999999</v>
      </c>
    </row>
    <row r="83" spans="1:9" ht="31.5" customHeight="1">
      <c r="A83" s="30">
        <v>34</v>
      </c>
      <c r="B83" s="14" t="s">
        <v>83</v>
      </c>
      <c r="C83" s="16"/>
      <c r="D83" s="103" t="s">
        <v>60</v>
      </c>
      <c r="E83" s="56">
        <f>E82</f>
        <v>4591.2</v>
      </c>
      <c r="F83" s="13">
        <f>E83*12</f>
        <v>55094.399999999994</v>
      </c>
      <c r="G83" s="13">
        <v>2.0499999999999998</v>
      </c>
      <c r="H83" s="99">
        <f>F83*G83/1000</f>
        <v>112.94351999999998</v>
      </c>
      <c r="I83" s="13">
        <f>F83/12*G83</f>
        <v>9411.9599999999991</v>
      </c>
    </row>
    <row r="84" spans="1:9" ht="15.75" customHeight="1">
      <c r="A84" s="50"/>
      <c r="B84" s="40" t="s">
        <v>86</v>
      </c>
      <c r="C84" s="42"/>
      <c r="D84" s="15"/>
      <c r="E84" s="15"/>
      <c r="F84" s="15"/>
      <c r="G84" s="19"/>
      <c r="H84" s="19"/>
      <c r="I84" s="33">
        <f>I16+I17+I18+I19+I20+I21+I22+I23+I24+I25+I26+I27+I30+I31+I32+I33+I34+I46+I47+I48+I49+I50+I51+I52+I53+I54+I61+I67+I68+I69+I70+I71+I82+I83</f>
        <v>215280.72858889998</v>
      </c>
    </row>
    <row r="85" spans="1:9" ht="15.75" customHeight="1">
      <c r="A85" s="137" t="s">
        <v>65</v>
      </c>
      <c r="B85" s="138"/>
      <c r="C85" s="138"/>
      <c r="D85" s="138"/>
      <c r="E85" s="138"/>
      <c r="F85" s="138"/>
      <c r="G85" s="138"/>
      <c r="H85" s="138"/>
      <c r="I85" s="139"/>
    </row>
    <row r="86" spans="1:9" ht="15.75" customHeight="1">
      <c r="A86" s="30">
        <v>35</v>
      </c>
      <c r="B86" s="115" t="s">
        <v>213</v>
      </c>
      <c r="C86" s="116" t="s">
        <v>101</v>
      </c>
      <c r="D86" s="49"/>
      <c r="E86" s="37"/>
      <c r="F86" s="37">
        <v>2</v>
      </c>
      <c r="G86" s="38">
        <v>440.8</v>
      </c>
      <c r="H86" s="117">
        <f t="shared" ref="H86" si="10">G86*F86/1000</f>
        <v>0.88160000000000005</v>
      </c>
      <c r="I86" s="13">
        <f>G86</f>
        <v>440.8</v>
      </c>
    </row>
    <row r="87" spans="1:9" ht="15.75" customHeight="1">
      <c r="A87" s="30">
        <v>36</v>
      </c>
      <c r="B87" s="104" t="s">
        <v>216</v>
      </c>
      <c r="C87" s="58" t="s">
        <v>136</v>
      </c>
      <c r="D87" s="49"/>
      <c r="E87" s="37"/>
      <c r="F87" s="37">
        <v>2</v>
      </c>
      <c r="G87" s="37">
        <v>189.7</v>
      </c>
      <c r="H87" s="117">
        <f>G87*F87/1000</f>
        <v>0.37939999999999996</v>
      </c>
      <c r="I87" s="13">
        <f>G87</f>
        <v>189.7</v>
      </c>
    </row>
    <row r="88" spans="1:9" ht="31.5" customHeight="1">
      <c r="A88" s="30">
        <v>37</v>
      </c>
      <c r="B88" s="115" t="s">
        <v>224</v>
      </c>
      <c r="C88" s="119" t="s">
        <v>58</v>
      </c>
      <c r="D88" s="118"/>
      <c r="E88" s="37"/>
      <c r="F88" s="37">
        <f>4/10</f>
        <v>0.4</v>
      </c>
      <c r="G88" s="37">
        <v>4459.13</v>
      </c>
      <c r="H88" s="117">
        <f t="shared" ref="H88" si="11">G88*F88/1000</f>
        <v>1.783652</v>
      </c>
      <c r="I88" s="13">
        <f>G88*(2/10)</f>
        <v>891.82600000000002</v>
      </c>
    </row>
    <row r="89" spans="1:9" ht="15.75" hidden="1" customHeight="1">
      <c r="A89" s="30"/>
      <c r="B89" s="53" t="s">
        <v>170</v>
      </c>
      <c r="C89" s="58" t="s">
        <v>101</v>
      </c>
      <c r="D89" s="49"/>
      <c r="E89" s="13"/>
      <c r="F89" s="13">
        <v>1</v>
      </c>
      <c r="G89" s="13">
        <v>174.63</v>
      </c>
      <c r="H89" s="99">
        <f>G89*F89/1000</f>
        <v>0.17463000000000001</v>
      </c>
      <c r="I89" s="13">
        <v>0</v>
      </c>
    </row>
    <row r="90" spans="1:9" ht="15.75" hidden="1" customHeight="1">
      <c r="A90" s="30"/>
      <c r="B90" s="53" t="s">
        <v>171</v>
      </c>
      <c r="C90" s="58" t="s">
        <v>101</v>
      </c>
      <c r="D90" s="49"/>
      <c r="E90" s="13"/>
      <c r="F90" s="13">
        <v>3</v>
      </c>
      <c r="G90" s="13">
        <v>267.58</v>
      </c>
      <c r="H90" s="99">
        <f>G90*F90/1000</f>
        <v>0.80274000000000001</v>
      </c>
      <c r="I90" s="13">
        <v>0</v>
      </c>
    </row>
    <row r="91" spans="1:9" ht="31.5" hidden="1" customHeight="1">
      <c r="A91" s="30"/>
      <c r="B91" s="53" t="s">
        <v>85</v>
      </c>
      <c r="C91" s="58" t="s">
        <v>136</v>
      </c>
      <c r="D91" s="49"/>
      <c r="E91" s="13"/>
      <c r="F91" s="13">
        <v>7</v>
      </c>
      <c r="G91" s="13">
        <v>79.09</v>
      </c>
      <c r="H91" s="99">
        <f t="shared" ref="H91:H103" si="12">G91*F91/1000</f>
        <v>0.55362999999999996</v>
      </c>
      <c r="I91" s="13">
        <v>0</v>
      </c>
    </row>
    <row r="92" spans="1:9" ht="31.5" hidden="1" customHeight="1">
      <c r="A92" s="30"/>
      <c r="B92" s="53" t="s">
        <v>172</v>
      </c>
      <c r="C92" s="58" t="s">
        <v>29</v>
      </c>
      <c r="D92" s="49"/>
      <c r="E92" s="13"/>
      <c r="F92" s="17">
        <f>4/1000</f>
        <v>4.0000000000000001E-3</v>
      </c>
      <c r="G92" s="13">
        <v>1510.06</v>
      </c>
      <c r="H92" s="99">
        <f t="shared" si="12"/>
        <v>6.0402399999999997E-3</v>
      </c>
      <c r="I92" s="13">
        <v>0</v>
      </c>
    </row>
    <row r="93" spans="1:9" ht="15.75" hidden="1" customHeight="1">
      <c r="A93" s="30"/>
      <c r="B93" s="53" t="s">
        <v>173</v>
      </c>
      <c r="C93" s="58" t="s">
        <v>174</v>
      </c>
      <c r="D93" s="49"/>
      <c r="E93" s="13"/>
      <c r="F93" s="13">
        <f>1/100</f>
        <v>0.01</v>
      </c>
      <c r="G93" s="13">
        <v>7033.13</v>
      </c>
      <c r="H93" s="99">
        <f t="shared" si="12"/>
        <v>7.0331299999999999E-2</v>
      </c>
      <c r="I93" s="13">
        <v>0</v>
      </c>
    </row>
    <row r="94" spans="1:9" ht="31.5" hidden="1" customHeight="1">
      <c r="A94" s="30"/>
      <c r="B94" s="53" t="s">
        <v>175</v>
      </c>
      <c r="C94" s="58" t="s">
        <v>40</v>
      </c>
      <c r="D94" s="49"/>
      <c r="E94" s="13"/>
      <c r="F94" s="13">
        <f>4/100</f>
        <v>0.04</v>
      </c>
      <c r="G94" s="13">
        <v>3397.65</v>
      </c>
      <c r="H94" s="99">
        <f t="shared" si="12"/>
        <v>0.135906</v>
      </c>
      <c r="I94" s="13">
        <v>0</v>
      </c>
    </row>
    <row r="95" spans="1:9" ht="15.75" hidden="1" customHeight="1">
      <c r="A95" s="30"/>
      <c r="B95" s="53" t="s">
        <v>176</v>
      </c>
      <c r="C95" s="58" t="s">
        <v>177</v>
      </c>
      <c r="D95" s="49"/>
      <c r="E95" s="13"/>
      <c r="F95" s="13">
        <v>1</v>
      </c>
      <c r="G95" s="13">
        <v>29624</v>
      </c>
      <c r="H95" s="99">
        <f t="shared" si="12"/>
        <v>29.623999999999999</v>
      </c>
      <c r="I95" s="13">
        <v>0</v>
      </c>
    </row>
    <row r="96" spans="1:9" ht="15.75" hidden="1" customHeight="1">
      <c r="A96" s="30"/>
      <c r="B96" s="53" t="s">
        <v>178</v>
      </c>
      <c r="C96" s="58" t="s">
        <v>177</v>
      </c>
      <c r="D96" s="49"/>
      <c r="E96" s="13"/>
      <c r="F96" s="13">
        <v>1</v>
      </c>
      <c r="G96" s="13">
        <v>59761</v>
      </c>
      <c r="H96" s="99">
        <f t="shared" si="12"/>
        <v>59.761000000000003</v>
      </c>
      <c r="I96" s="13">
        <v>0</v>
      </c>
    </row>
    <row r="97" spans="1:9" ht="31.5" hidden="1" customHeight="1">
      <c r="A97" s="30"/>
      <c r="B97" s="53" t="s">
        <v>179</v>
      </c>
      <c r="C97" s="58" t="s">
        <v>106</v>
      </c>
      <c r="D97" s="49"/>
      <c r="E97" s="13"/>
      <c r="F97" s="13">
        <f>75/10</f>
        <v>7.5</v>
      </c>
      <c r="G97" s="13">
        <v>5641.28</v>
      </c>
      <c r="H97" s="99">
        <f t="shared" si="12"/>
        <v>42.309599999999996</v>
      </c>
      <c r="I97" s="13">
        <v>0</v>
      </c>
    </row>
    <row r="98" spans="1:9" ht="15.75" hidden="1" customHeight="1">
      <c r="A98" s="30"/>
      <c r="B98" s="66" t="s">
        <v>98</v>
      </c>
      <c r="C98" s="67" t="s">
        <v>99</v>
      </c>
      <c r="D98" s="49"/>
      <c r="E98" s="13"/>
      <c r="F98" s="13">
        <v>4</v>
      </c>
      <c r="G98" s="13">
        <v>1063.47</v>
      </c>
      <c r="H98" s="99">
        <f t="shared" si="12"/>
        <v>4.2538800000000005</v>
      </c>
      <c r="I98" s="13">
        <v>0</v>
      </c>
    </row>
    <row r="99" spans="1:9" ht="31.5" hidden="1" customHeight="1">
      <c r="A99" s="30"/>
      <c r="B99" s="53" t="s">
        <v>151</v>
      </c>
      <c r="C99" s="58" t="s">
        <v>87</v>
      </c>
      <c r="D99" s="49"/>
      <c r="E99" s="13"/>
      <c r="F99" s="13">
        <v>4</v>
      </c>
      <c r="G99" s="13">
        <v>1639</v>
      </c>
      <c r="H99" s="99">
        <f t="shared" si="12"/>
        <v>6.556</v>
      </c>
      <c r="I99" s="13">
        <v>0</v>
      </c>
    </row>
    <row r="100" spans="1:9" ht="15.75" hidden="1" customHeight="1">
      <c r="A100" s="30"/>
      <c r="B100" s="53" t="s">
        <v>100</v>
      </c>
      <c r="C100" s="58" t="s">
        <v>101</v>
      </c>
      <c r="D100" s="49"/>
      <c r="E100" s="13"/>
      <c r="F100" s="13">
        <v>2</v>
      </c>
      <c r="G100" s="13">
        <v>195.95</v>
      </c>
      <c r="H100" s="99">
        <f t="shared" si="12"/>
        <v>0.39189999999999997</v>
      </c>
      <c r="I100" s="13">
        <v>0</v>
      </c>
    </row>
    <row r="101" spans="1:9" ht="31.5" hidden="1" customHeight="1">
      <c r="A101" s="30"/>
      <c r="B101" s="53" t="s">
        <v>180</v>
      </c>
      <c r="C101" s="58" t="s">
        <v>87</v>
      </c>
      <c r="D101" s="49"/>
      <c r="E101" s="13"/>
      <c r="F101" s="13">
        <v>1</v>
      </c>
      <c r="G101" s="13">
        <v>513.99</v>
      </c>
      <c r="H101" s="99">
        <f t="shared" si="12"/>
        <v>0.51399000000000006</v>
      </c>
      <c r="I101" s="13">
        <v>0</v>
      </c>
    </row>
    <row r="102" spans="1:9" ht="15.75" hidden="1" customHeight="1">
      <c r="A102" s="30"/>
      <c r="B102" s="66" t="s">
        <v>153</v>
      </c>
      <c r="C102" s="67" t="s">
        <v>99</v>
      </c>
      <c r="D102" s="49"/>
      <c r="E102" s="13"/>
      <c r="F102" s="13">
        <v>3</v>
      </c>
      <c r="G102" s="13">
        <v>1063.47</v>
      </c>
      <c r="H102" s="99">
        <f t="shared" si="12"/>
        <v>3.19041</v>
      </c>
      <c r="I102" s="13">
        <v>0</v>
      </c>
    </row>
    <row r="103" spans="1:9" ht="31.5" hidden="1" customHeight="1">
      <c r="A103" s="30"/>
      <c r="B103" s="53" t="s">
        <v>152</v>
      </c>
      <c r="C103" s="58" t="s">
        <v>101</v>
      </c>
      <c r="D103" s="49"/>
      <c r="E103" s="13"/>
      <c r="F103" s="13">
        <v>1</v>
      </c>
      <c r="G103" s="13">
        <v>625.07000000000005</v>
      </c>
      <c r="H103" s="99">
        <f t="shared" si="12"/>
        <v>0.62507000000000001</v>
      </c>
      <c r="I103" s="13">
        <v>0</v>
      </c>
    </row>
    <row r="104" spans="1:9" ht="15.75" customHeight="1">
      <c r="A104" s="30"/>
      <c r="B104" s="47" t="s">
        <v>54</v>
      </c>
      <c r="C104" s="43"/>
      <c r="D104" s="51"/>
      <c r="E104" s="43">
        <v>1</v>
      </c>
      <c r="F104" s="43"/>
      <c r="G104" s="43"/>
      <c r="H104" s="43"/>
      <c r="I104" s="33">
        <f>SUM(I86:I103)</f>
        <v>1522.326</v>
      </c>
    </row>
    <row r="105" spans="1:9" ht="15.75" customHeight="1">
      <c r="A105" s="30"/>
      <c r="B105" s="49" t="s">
        <v>84</v>
      </c>
      <c r="C105" s="15"/>
      <c r="D105" s="15"/>
      <c r="E105" s="44"/>
      <c r="F105" s="44"/>
      <c r="G105" s="45"/>
      <c r="H105" s="45"/>
      <c r="I105" s="18">
        <v>0</v>
      </c>
    </row>
    <row r="106" spans="1:9" ht="15.75" customHeight="1">
      <c r="A106" s="52"/>
      <c r="B106" s="48" t="s">
        <v>203</v>
      </c>
      <c r="C106" s="36"/>
      <c r="D106" s="36"/>
      <c r="E106" s="36"/>
      <c r="F106" s="36"/>
      <c r="G106" s="36"/>
      <c r="H106" s="36"/>
      <c r="I106" s="46">
        <f>I84+I104</f>
        <v>216803.05458889998</v>
      </c>
    </row>
    <row r="107" spans="1:9" ht="15.75" customHeight="1">
      <c r="A107" s="134" t="s">
        <v>225</v>
      </c>
      <c r="B107" s="134"/>
      <c r="C107" s="134"/>
      <c r="D107" s="134"/>
      <c r="E107" s="134"/>
      <c r="F107" s="134"/>
      <c r="G107" s="134"/>
      <c r="H107" s="134"/>
      <c r="I107" s="134"/>
    </row>
    <row r="108" spans="1:9" ht="15.75" customHeight="1">
      <c r="A108" s="65"/>
      <c r="B108" s="135" t="s">
        <v>226</v>
      </c>
      <c r="C108" s="135"/>
      <c r="D108" s="135"/>
      <c r="E108" s="135"/>
      <c r="F108" s="135"/>
      <c r="G108" s="135"/>
      <c r="H108" s="80"/>
      <c r="I108" s="3"/>
    </row>
    <row r="109" spans="1:9" ht="15.75" customHeight="1">
      <c r="A109" s="59"/>
      <c r="B109" s="125" t="s">
        <v>6</v>
      </c>
      <c r="C109" s="125"/>
      <c r="D109" s="125"/>
      <c r="E109" s="125"/>
      <c r="F109" s="125"/>
      <c r="G109" s="125"/>
      <c r="H109" s="25"/>
      <c r="I109" s="5"/>
    </row>
    <row r="110" spans="1:9" ht="15.75" customHeight="1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ht="15.75" customHeight="1">
      <c r="A111" s="136" t="s">
        <v>7</v>
      </c>
      <c r="B111" s="136"/>
      <c r="C111" s="136"/>
      <c r="D111" s="136"/>
      <c r="E111" s="136"/>
      <c r="F111" s="136"/>
      <c r="G111" s="136"/>
      <c r="H111" s="136"/>
      <c r="I111" s="136"/>
    </row>
    <row r="112" spans="1:9" ht="15.75" customHeight="1">
      <c r="A112" s="136" t="s">
        <v>8</v>
      </c>
      <c r="B112" s="136"/>
      <c r="C112" s="136"/>
      <c r="D112" s="136"/>
      <c r="E112" s="136"/>
      <c r="F112" s="136"/>
      <c r="G112" s="136"/>
      <c r="H112" s="136"/>
      <c r="I112" s="136"/>
    </row>
    <row r="113" spans="1:9" ht="15.75" customHeight="1">
      <c r="A113" s="129" t="s">
        <v>66</v>
      </c>
      <c r="B113" s="129"/>
      <c r="C113" s="129"/>
      <c r="D113" s="129"/>
      <c r="E113" s="129"/>
      <c r="F113" s="129"/>
      <c r="G113" s="129"/>
      <c r="H113" s="129"/>
      <c r="I113" s="129"/>
    </row>
    <row r="114" spans="1:9" ht="15.75" customHeight="1">
      <c r="A114" s="11"/>
    </row>
    <row r="115" spans="1:9" ht="15.75" customHeight="1">
      <c r="A115" s="123" t="s">
        <v>9</v>
      </c>
      <c r="B115" s="123"/>
      <c r="C115" s="123"/>
      <c r="D115" s="123"/>
      <c r="E115" s="123"/>
      <c r="F115" s="123"/>
      <c r="G115" s="123"/>
      <c r="H115" s="123"/>
      <c r="I115" s="123"/>
    </row>
    <row r="116" spans="1:9" ht="15.75" customHeight="1">
      <c r="A116" s="4"/>
    </row>
    <row r="117" spans="1:9" ht="15.75" customHeight="1">
      <c r="B117" s="62" t="s">
        <v>10</v>
      </c>
      <c r="C117" s="124" t="s">
        <v>97</v>
      </c>
      <c r="D117" s="124"/>
      <c r="E117" s="124"/>
      <c r="F117" s="78"/>
      <c r="I117" s="61"/>
    </row>
    <row r="118" spans="1:9" ht="15.75" customHeight="1">
      <c r="A118" s="59"/>
      <c r="C118" s="125" t="s">
        <v>11</v>
      </c>
      <c r="D118" s="125"/>
      <c r="E118" s="125"/>
      <c r="F118" s="25"/>
      <c r="I118" s="60" t="s">
        <v>12</v>
      </c>
    </row>
    <row r="119" spans="1:9" ht="15.75" customHeight="1">
      <c r="A119" s="26"/>
      <c r="C119" s="12"/>
      <c r="D119" s="12"/>
      <c r="G119" s="12"/>
      <c r="H119" s="12"/>
    </row>
    <row r="120" spans="1:9" ht="15.75" customHeight="1">
      <c r="B120" s="62" t="s">
        <v>13</v>
      </c>
      <c r="C120" s="126"/>
      <c r="D120" s="126"/>
      <c r="E120" s="126"/>
      <c r="F120" s="79"/>
      <c r="I120" s="61"/>
    </row>
    <row r="121" spans="1:9" ht="15.75" customHeight="1">
      <c r="A121" s="59"/>
      <c r="C121" s="127" t="s">
        <v>11</v>
      </c>
      <c r="D121" s="127"/>
      <c r="E121" s="127"/>
      <c r="F121" s="59"/>
      <c r="I121" s="60" t="s">
        <v>12</v>
      </c>
    </row>
    <row r="122" spans="1:9" ht="15.75" customHeight="1">
      <c r="A122" s="4" t="s">
        <v>14</v>
      </c>
    </row>
    <row r="123" spans="1:9" ht="15.75" customHeight="1">
      <c r="A123" s="128" t="s">
        <v>15</v>
      </c>
      <c r="B123" s="128"/>
      <c r="C123" s="128"/>
      <c r="D123" s="128"/>
      <c r="E123" s="128"/>
      <c r="F123" s="128"/>
      <c r="G123" s="128"/>
      <c r="H123" s="128"/>
      <c r="I123" s="128"/>
    </row>
    <row r="124" spans="1:9" ht="45" customHeight="1">
      <c r="A124" s="122" t="s">
        <v>16</v>
      </c>
      <c r="B124" s="122"/>
      <c r="C124" s="122"/>
      <c r="D124" s="122"/>
      <c r="E124" s="122"/>
      <c r="F124" s="122"/>
      <c r="G124" s="122"/>
      <c r="H124" s="122"/>
      <c r="I124" s="122"/>
    </row>
    <row r="125" spans="1:9" ht="30" customHeight="1">
      <c r="A125" s="122" t="s">
        <v>17</v>
      </c>
      <c r="B125" s="122"/>
      <c r="C125" s="122"/>
      <c r="D125" s="122"/>
      <c r="E125" s="122"/>
      <c r="F125" s="122"/>
      <c r="G125" s="122"/>
      <c r="H125" s="122"/>
      <c r="I125" s="122"/>
    </row>
    <row r="126" spans="1:9" ht="30" customHeight="1">
      <c r="A126" s="122" t="s">
        <v>21</v>
      </c>
      <c r="B126" s="122"/>
      <c r="C126" s="122"/>
      <c r="D126" s="122"/>
      <c r="E126" s="122"/>
      <c r="F126" s="122"/>
      <c r="G126" s="122"/>
      <c r="H126" s="122"/>
      <c r="I126" s="122"/>
    </row>
    <row r="127" spans="1:9" ht="15" customHeight="1">
      <c r="A127" s="122" t="s">
        <v>20</v>
      </c>
      <c r="B127" s="122"/>
      <c r="C127" s="122"/>
      <c r="D127" s="122"/>
      <c r="E127" s="122"/>
      <c r="F127" s="122"/>
      <c r="G127" s="122"/>
      <c r="H127" s="122"/>
      <c r="I127" s="122"/>
    </row>
  </sheetData>
  <autoFilter ref="I12:I62"/>
  <mergeCells count="29">
    <mergeCell ref="R67:U67"/>
    <mergeCell ref="A81:I81"/>
    <mergeCell ref="A3:I3"/>
    <mergeCell ref="A4:I4"/>
    <mergeCell ref="A5:I5"/>
    <mergeCell ref="A8:I8"/>
    <mergeCell ref="A10:I10"/>
    <mergeCell ref="A14:I14"/>
    <mergeCell ref="A113:I113"/>
    <mergeCell ref="A15:I15"/>
    <mergeCell ref="A28:I28"/>
    <mergeCell ref="A45:I45"/>
    <mergeCell ref="A56:I56"/>
    <mergeCell ref="A107:I107"/>
    <mergeCell ref="B108:G108"/>
    <mergeCell ref="B109:G109"/>
    <mergeCell ref="A111:I111"/>
    <mergeCell ref="A112:I112"/>
    <mergeCell ref="A85:I85"/>
    <mergeCell ref="A124:I124"/>
    <mergeCell ref="A125:I125"/>
    <mergeCell ref="A126:I126"/>
    <mergeCell ref="A127:I127"/>
    <mergeCell ref="A115:I115"/>
    <mergeCell ref="C117:E117"/>
    <mergeCell ref="C118:E118"/>
    <mergeCell ref="C120:E120"/>
    <mergeCell ref="C121:E121"/>
    <mergeCell ref="A123:I12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92</v>
      </c>
      <c r="I1" s="27"/>
      <c r="J1" s="1"/>
      <c r="K1" s="1"/>
      <c r="L1" s="1"/>
      <c r="M1" s="1"/>
    </row>
    <row r="2" spans="1:13" ht="15.75" customHeight="1">
      <c r="A2" s="29" t="s">
        <v>67</v>
      </c>
      <c r="J2" s="2"/>
      <c r="K2" s="2"/>
      <c r="L2" s="2"/>
      <c r="M2" s="2"/>
    </row>
    <row r="3" spans="1:13" ht="15.75" customHeight="1">
      <c r="A3" s="143" t="s">
        <v>190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147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227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 customHeight="1">
      <c r="A6" s="2"/>
      <c r="B6" s="63"/>
      <c r="C6" s="63"/>
      <c r="D6" s="63"/>
      <c r="E6" s="63"/>
      <c r="F6" s="63"/>
      <c r="G6" s="63"/>
      <c r="H6" s="63"/>
      <c r="I6" s="31">
        <v>42916</v>
      </c>
      <c r="J6" s="2"/>
      <c r="K6" s="2"/>
      <c r="L6" s="2"/>
      <c r="M6" s="2"/>
    </row>
    <row r="7" spans="1:13" ht="15.75" customHeight="1">
      <c r="B7" s="62"/>
      <c r="C7" s="62"/>
      <c r="D7" s="6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158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276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64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30" t="s">
        <v>4</v>
      </c>
      <c r="B15" s="130"/>
      <c r="C15" s="130"/>
      <c r="D15" s="130"/>
      <c r="E15" s="130"/>
      <c r="F15" s="130"/>
      <c r="G15" s="130"/>
      <c r="H15" s="130"/>
      <c r="I15" s="130"/>
      <c r="J15" s="8"/>
      <c r="K15" s="8"/>
      <c r="L15" s="8"/>
      <c r="M15" s="8"/>
    </row>
    <row r="16" spans="1:13" ht="15.75" customHeight="1">
      <c r="A16" s="30">
        <v>1</v>
      </c>
      <c r="B16" s="82" t="s">
        <v>93</v>
      </c>
      <c r="C16" s="83" t="s">
        <v>116</v>
      </c>
      <c r="D16" s="82" t="s">
        <v>117</v>
      </c>
      <c r="E16" s="56">
        <v>127.9</v>
      </c>
      <c r="F16" s="84">
        <f>SUM(E16*156/100)</f>
        <v>199.524</v>
      </c>
      <c r="G16" s="84">
        <v>187.48</v>
      </c>
      <c r="H16" s="85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82" t="s">
        <v>102</v>
      </c>
      <c r="C17" s="83" t="s">
        <v>116</v>
      </c>
      <c r="D17" s="82" t="s">
        <v>181</v>
      </c>
      <c r="E17" s="56">
        <v>511.6</v>
      </c>
      <c r="F17" s="84">
        <f>SUM(E17*104/100)</f>
        <v>532.06399999999996</v>
      </c>
      <c r="G17" s="84">
        <v>185.48</v>
      </c>
      <c r="H17" s="85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82" t="s">
        <v>103</v>
      </c>
      <c r="C18" s="83" t="s">
        <v>116</v>
      </c>
      <c r="D18" s="82" t="s">
        <v>118</v>
      </c>
      <c r="E18" s="56">
        <f>SUM(E16+E17)</f>
        <v>639.5</v>
      </c>
      <c r="F18" s="84">
        <f>SUM(E18*24/100)</f>
        <v>153.47999999999999</v>
      </c>
      <c r="G18" s="84">
        <v>539.30999999999995</v>
      </c>
      <c r="H18" s="85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82" t="s">
        <v>119</v>
      </c>
      <c r="C19" s="83" t="s">
        <v>120</v>
      </c>
      <c r="D19" s="82" t="s">
        <v>121</v>
      </c>
      <c r="E19" s="56">
        <v>38.4</v>
      </c>
      <c r="F19" s="84">
        <f>SUM(E19/10)</f>
        <v>3.84</v>
      </c>
      <c r="G19" s="84">
        <v>181.91</v>
      </c>
      <c r="H19" s="85">
        <f t="shared" si="0"/>
        <v>0.6985344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82" t="s">
        <v>107</v>
      </c>
      <c r="C20" s="83" t="s">
        <v>116</v>
      </c>
      <c r="D20" s="82" t="s">
        <v>30</v>
      </c>
      <c r="E20" s="56">
        <v>58.4</v>
      </c>
      <c r="F20" s="84">
        <f>SUM(E20*12/100)</f>
        <v>7.0079999999999991</v>
      </c>
      <c r="G20" s="84">
        <v>232.92</v>
      </c>
      <c r="H20" s="85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hidden="1" customHeight="1">
      <c r="A21" s="30">
        <v>5</v>
      </c>
      <c r="B21" s="82" t="s">
        <v>108</v>
      </c>
      <c r="C21" s="83" t="s">
        <v>116</v>
      </c>
      <c r="D21" s="82" t="s">
        <v>115</v>
      </c>
      <c r="E21" s="56">
        <v>9.08</v>
      </c>
      <c r="F21" s="84">
        <f>SUM(E21*6/100)</f>
        <v>0.54480000000000006</v>
      </c>
      <c r="G21" s="84">
        <v>231.03</v>
      </c>
      <c r="H21" s="85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82" t="s">
        <v>122</v>
      </c>
      <c r="C22" s="83" t="s">
        <v>56</v>
      </c>
      <c r="D22" s="82" t="s">
        <v>121</v>
      </c>
      <c r="E22" s="56">
        <v>714</v>
      </c>
      <c r="F22" s="84">
        <f>SUM(E22/100)</f>
        <v>7.14</v>
      </c>
      <c r="G22" s="84">
        <v>287.83999999999997</v>
      </c>
      <c r="H22" s="85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82" t="s">
        <v>123</v>
      </c>
      <c r="C23" s="83" t="s">
        <v>56</v>
      </c>
      <c r="D23" s="82" t="s">
        <v>121</v>
      </c>
      <c r="E23" s="77">
        <v>96.6</v>
      </c>
      <c r="F23" s="84">
        <f>SUM(E23/100)</f>
        <v>0.96599999999999997</v>
      </c>
      <c r="G23" s="84">
        <v>47.34</v>
      </c>
      <c r="H23" s="85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82" t="s">
        <v>110</v>
      </c>
      <c r="C24" s="83" t="s">
        <v>56</v>
      </c>
      <c r="D24" s="82" t="s">
        <v>121</v>
      </c>
      <c r="E24" s="19">
        <v>40</v>
      </c>
      <c r="F24" s="86">
        <v>4.8</v>
      </c>
      <c r="G24" s="84">
        <v>416.62</v>
      </c>
      <c r="H24" s="85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82" t="s">
        <v>111</v>
      </c>
      <c r="C25" s="83" t="s">
        <v>56</v>
      </c>
      <c r="D25" s="82" t="s">
        <v>121</v>
      </c>
      <c r="E25" s="56">
        <v>17</v>
      </c>
      <c r="F25" s="84">
        <f>SUM(E25/100)</f>
        <v>0.17</v>
      </c>
      <c r="G25" s="84">
        <v>556.74</v>
      </c>
      <c r="H25" s="85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customHeight="1">
      <c r="A26" s="30">
        <v>5</v>
      </c>
      <c r="B26" s="82" t="s">
        <v>69</v>
      </c>
      <c r="C26" s="83" t="s">
        <v>34</v>
      </c>
      <c r="D26" s="82" t="s">
        <v>161</v>
      </c>
      <c r="E26" s="56">
        <v>0.1</v>
      </c>
      <c r="F26" s="84">
        <f>SUM(E26*365)</f>
        <v>36.5</v>
      </c>
      <c r="G26" s="84">
        <v>157.18</v>
      </c>
      <c r="H26" s="85">
        <f>SUM(F26*G26/1000)</f>
        <v>5.737070000000001</v>
      </c>
      <c r="I26" s="13">
        <f>F26/12*G26</f>
        <v>478.08916666666664</v>
      </c>
      <c r="J26" s="24"/>
    </row>
    <row r="27" spans="1:13" ht="15.75" customHeight="1">
      <c r="A27" s="30">
        <v>6</v>
      </c>
      <c r="B27" s="90" t="s">
        <v>23</v>
      </c>
      <c r="C27" s="83" t="s">
        <v>24</v>
      </c>
      <c r="D27" s="90" t="s">
        <v>161</v>
      </c>
      <c r="E27" s="56">
        <v>4591.2</v>
      </c>
      <c r="F27" s="84">
        <f>SUM(E27*12)</f>
        <v>55094.399999999994</v>
      </c>
      <c r="G27" s="84">
        <v>5.85</v>
      </c>
      <c r="H27" s="85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30" t="s">
        <v>91</v>
      </c>
      <c r="B28" s="130"/>
      <c r="C28" s="130"/>
      <c r="D28" s="130"/>
      <c r="E28" s="130"/>
      <c r="F28" s="130"/>
      <c r="G28" s="130"/>
      <c r="H28" s="130"/>
      <c r="I28" s="130"/>
      <c r="J28" s="23"/>
      <c r="K28" s="8"/>
      <c r="L28" s="8"/>
      <c r="M28" s="8"/>
    </row>
    <row r="29" spans="1:13" ht="15.75" customHeight="1">
      <c r="A29" s="30"/>
      <c r="B29" s="106" t="s">
        <v>28</v>
      </c>
      <c r="C29" s="83"/>
      <c r="D29" s="82"/>
      <c r="E29" s="56"/>
      <c r="F29" s="84"/>
      <c r="G29" s="84"/>
      <c r="H29" s="85"/>
      <c r="I29" s="13"/>
      <c r="J29" s="23"/>
      <c r="K29" s="8"/>
      <c r="L29" s="8"/>
      <c r="M29" s="8"/>
    </row>
    <row r="30" spans="1:13" ht="15.75" customHeight="1">
      <c r="A30" s="30">
        <v>7</v>
      </c>
      <c r="B30" s="82" t="s">
        <v>124</v>
      </c>
      <c r="C30" s="83" t="s">
        <v>125</v>
      </c>
      <c r="D30" s="82" t="s">
        <v>126</v>
      </c>
      <c r="E30" s="84">
        <v>844.95</v>
      </c>
      <c r="F30" s="84">
        <f>SUM(E30*52/1000)</f>
        <v>43.937400000000004</v>
      </c>
      <c r="G30" s="84">
        <v>166.65</v>
      </c>
      <c r="H30" s="85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customHeight="1">
      <c r="A31" s="30">
        <v>8</v>
      </c>
      <c r="B31" s="82" t="s">
        <v>182</v>
      </c>
      <c r="C31" s="83" t="s">
        <v>125</v>
      </c>
      <c r="D31" s="82" t="s">
        <v>127</v>
      </c>
      <c r="E31" s="84">
        <v>260.13</v>
      </c>
      <c r="F31" s="84">
        <f>SUM(E31*78/1000)</f>
        <v>20.290140000000001</v>
      </c>
      <c r="G31" s="84">
        <v>276.48</v>
      </c>
      <c r="H31" s="85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82" t="s">
        <v>27</v>
      </c>
      <c r="C32" s="83" t="s">
        <v>125</v>
      </c>
      <c r="D32" s="82" t="s">
        <v>57</v>
      </c>
      <c r="E32" s="84">
        <v>844.95</v>
      </c>
      <c r="F32" s="84">
        <f>SUM(E32/1000)</f>
        <v>0.84495000000000009</v>
      </c>
      <c r="G32" s="84">
        <v>3228.73</v>
      </c>
      <c r="H32" s="85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customHeight="1">
      <c r="A33" s="30">
        <v>9</v>
      </c>
      <c r="B33" s="82" t="s">
        <v>160</v>
      </c>
      <c r="C33" s="83" t="s">
        <v>42</v>
      </c>
      <c r="D33" s="82" t="s">
        <v>68</v>
      </c>
      <c r="E33" s="84">
        <v>8</v>
      </c>
      <c r="F33" s="84">
        <v>12.4</v>
      </c>
      <c r="G33" s="84">
        <v>1391.86</v>
      </c>
      <c r="H33" s="85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customHeight="1">
      <c r="A34" s="30">
        <v>10</v>
      </c>
      <c r="B34" s="82" t="s">
        <v>128</v>
      </c>
      <c r="C34" s="83" t="s">
        <v>31</v>
      </c>
      <c r="D34" s="82" t="s">
        <v>68</v>
      </c>
      <c r="E34" s="89">
        <v>0.33333333333333331</v>
      </c>
      <c r="F34" s="84">
        <f>155/3</f>
        <v>51.666666666666664</v>
      </c>
      <c r="G34" s="84">
        <v>60.6</v>
      </c>
      <c r="H34" s="85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82" t="s">
        <v>70</v>
      </c>
      <c r="C35" s="83" t="s">
        <v>34</v>
      </c>
      <c r="D35" s="82" t="s">
        <v>72</v>
      </c>
      <c r="E35" s="56"/>
      <c r="F35" s="84">
        <v>3</v>
      </c>
      <c r="G35" s="84">
        <v>204.32</v>
      </c>
      <c r="H35" s="85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82" t="s">
        <v>71</v>
      </c>
      <c r="C36" s="83" t="s">
        <v>33</v>
      </c>
      <c r="D36" s="82" t="s">
        <v>72</v>
      </c>
      <c r="E36" s="56"/>
      <c r="F36" s="84">
        <v>2</v>
      </c>
      <c r="G36" s="84">
        <v>1214.73</v>
      </c>
      <c r="H36" s="85">
        <f t="shared" si="1"/>
        <v>2.4294600000000002</v>
      </c>
      <c r="I36" s="13">
        <v>0</v>
      </c>
      <c r="J36" s="24"/>
    </row>
    <row r="37" spans="1:14" ht="15.75" hidden="1" customHeight="1">
      <c r="A37" s="30"/>
      <c r="B37" s="106" t="s">
        <v>5</v>
      </c>
      <c r="C37" s="83"/>
      <c r="D37" s="82"/>
      <c r="E37" s="56"/>
      <c r="F37" s="84"/>
      <c r="G37" s="84"/>
      <c r="H37" s="85" t="s">
        <v>144</v>
      </c>
      <c r="I37" s="13"/>
      <c r="J37" s="24"/>
    </row>
    <row r="38" spans="1:14" ht="15.75" hidden="1" customHeight="1">
      <c r="A38" s="30">
        <v>8</v>
      </c>
      <c r="B38" s="82" t="s">
        <v>26</v>
      </c>
      <c r="C38" s="83" t="s">
        <v>33</v>
      </c>
      <c r="D38" s="82"/>
      <c r="E38" s="56"/>
      <c r="F38" s="84">
        <v>10</v>
      </c>
      <c r="G38" s="84">
        <v>1632.6</v>
      </c>
      <c r="H38" s="85">
        <f t="shared" ref="H38:H44" si="3">SUM(F38*G38/1000)</f>
        <v>16.326000000000001</v>
      </c>
      <c r="I38" s="13">
        <f>F38/6*G38</f>
        <v>2721</v>
      </c>
      <c r="J38" s="24"/>
    </row>
    <row r="39" spans="1:14" ht="15.75" hidden="1" customHeight="1">
      <c r="A39" s="30">
        <v>9</v>
      </c>
      <c r="B39" s="82" t="s">
        <v>162</v>
      </c>
      <c r="C39" s="83" t="s">
        <v>29</v>
      </c>
      <c r="D39" s="82" t="s">
        <v>129</v>
      </c>
      <c r="E39" s="84">
        <v>254.8</v>
      </c>
      <c r="F39" s="84">
        <f>SUM(E39*30/1000)</f>
        <v>7.6440000000000001</v>
      </c>
      <c r="G39" s="84">
        <v>2247.8000000000002</v>
      </c>
      <c r="H39" s="85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82" t="s">
        <v>104</v>
      </c>
      <c r="C40" s="83" t="s">
        <v>130</v>
      </c>
      <c r="D40" s="82" t="s">
        <v>72</v>
      </c>
      <c r="E40" s="56"/>
      <c r="F40" s="84">
        <v>40</v>
      </c>
      <c r="G40" s="84">
        <v>213.2</v>
      </c>
      <c r="H40" s="85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hidden="1" customHeight="1">
      <c r="A41" s="30">
        <v>10</v>
      </c>
      <c r="B41" s="82" t="s">
        <v>73</v>
      </c>
      <c r="C41" s="83" t="s">
        <v>29</v>
      </c>
      <c r="D41" s="82" t="s">
        <v>131</v>
      </c>
      <c r="E41" s="84">
        <v>260.13</v>
      </c>
      <c r="F41" s="84">
        <f>SUM(E41*155/1000)</f>
        <v>40.320149999999998</v>
      </c>
      <c r="G41" s="84">
        <v>374.95</v>
      </c>
      <c r="H41" s="85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hidden="1" customHeight="1">
      <c r="A42" s="30">
        <v>11</v>
      </c>
      <c r="B42" s="82" t="s">
        <v>89</v>
      </c>
      <c r="C42" s="83" t="s">
        <v>125</v>
      </c>
      <c r="D42" s="82" t="s">
        <v>132</v>
      </c>
      <c r="E42" s="84">
        <v>132.72999999999999</v>
      </c>
      <c r="F42" s="84">
        <f>SUM(E42*35/1000)</f>
        <v>4.6455499999999992</v>
      </c>
      <c r="G42" s="84">
        <v>6203.7</v>
      </c>
      <c r="H42" s="85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hidden="1" customHeight="1">
      <c r="A43" s="30">
        <v>12</v>
      </c>
      <c r="B43" s="82" t="s">
        <v>133</v>
      </c>
      <c r="C43" s="83" t="s">
        <v>125</v>
      </c>
      <c r="D43" s="82" t="s">
        <v>74</v>
      </c>
      <c r="E43" s="84">
        <v>254.8</v>
      </c>
      <c r="F43" s="84">
        <f>SUM(E43*45/1000)</f>
        <v>11.465999999999999</v>
      </c>
      <c r="G43" s="84">
        <v>458.28</v>
      </c>
      <c r="H43" s="85">
        <f t="shared" si="3"/>
        <v>5.2546384799999997</v>
      </c>
      <c r="I43" s="13">
        <f>F43/6*G43</f>
        <v>875.77307999999982</v>
      </c>
      <c r="J43" s="24"/>
      <c r="L43" s="20"/>
      <c r="M43" s="21"/>
      <c r="N43" s="22"/>
    </row>
    <row r="44" spans="1:14" ht="15.75" hidden="1" customHeight="1">
      <c r="A44" s="30">
        <v>13</v>
      </c>
      <c r="B44" s="82" t="s">
        <v>75</v>
      </c>
      <c r="C44" s="83" t="s">
        <v>34</v>
      </c>
      <c r="D44" s="82"/>
      <c r="E44" s="56"/>
      <c r="F44" s="84">
        <v>0.9</v>
      </c>
      <c r="G44" s="84">
        <v>853.06</v>
      </c>
      <c r="H44" s="85">
        <f t="shared" si="3"/>
        <v>0.76775400000000005</v>
      </c>
      <c r="I44" s="13">
        <f>F44/6*G44</f>
        <v>127.95899999999999</v>
      </c>
      <c r="J44" s="24"/>
      <c r="L44" s="20"/>
      <c r="M44" s="21"/>
      <c r="N44" s="22"/>
    </row>
    <row r="45" spans="1:14" ht="15.75" customHeight="1">
      <c r="A45" s="131" t="s">
        <v>154</v>
      </c>
      <c r="B45" s="132"/>
      <c r="C45" s="132"/>
      <c r="D45" s="132"/>
      <c r="E45" s="132"/>
      <c r="F45" s="132"/>
      <c r="G45" s="132"/>
      <c r="H45" s="132"/>
      <c r="I45" s="133"/>
      <c r="J45" s="24"/>
      <c r="L45" s="20"/>
      <c r="M45" s="21"/>
      <c r="N45" s="22"/>
    </row>
    <row r="46" spans="1:14" ht="15.75" hidden="1" customHeight="1">
      <c r="A46" s="30"/>
      <c r="B46" s="82" t="s">
        <v>148</v>
      </c>
      <c r="C46" s="83" t="s">
        <v>125</v>
      </c>
      <c r="D46" s="82" t="s">
        <v>44</v>
      </c>
      <c r="E46" s="56">
        <v>1795.9</v>
      </c>
      <c r="F46" s="84">
        <f>SUM(E46*2/1000)</f>
        <v>3.5918000000000001</v>
      </c>
      <c r="G46" s="13">
        <v>865.61</v>
      </c>
      <c r="H46" s="85">
        <f t="shared" ref="H46:H55" si="4">SUM(F46*G46/1000)</f>
        <v>3.1090979980000002</v>
      </c>
      <c r="I46" s="13">
        <v>0</v>
      </c>
      <c r="J46" s="24"/>
      <c r="L46" s="20"/>
      <c r="M46" s="21"/>
      <c r="N46" s="22"/>
    </row>
    <row r="47" spans="1:14" ht="15.75" hidden="1" customHeight="1">
      <c r="A47" s="30"/>
      <c r="B47" s="82" t="s">
        <v>37</v>
      </c>
      <c r="C47" s="83" t="s">
        <v>125</v>
      </c>
      <c r="D47" s="82" t="s">
        <v>44</v>
      </c>
      <c r="E47" s="56">
        <v>104</v>
      </c>
      <c r="F47" s="84">
        <f>SUM(E47*2/1000)</f>
        <v>0.20799999999999999</v>
      </c>
      <c r="G47" s="13">
        <v>619.46</v>
      </c>
      <c r="H47" s="85">
        <f t="shared" si="4"/>
        <v>0.12884767999999999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30"/>
      <c r="B48" s="82" t="s">
        <v>38</v>
      </c>
      <c r="C48" s="83" t="s">
        <v>125</v>
      </c>
      <c r="D48" s="82" t="s">
        <v>44</v>
      </c>
      <c r="E48" s="56">
        <v>1996.87</v>
      </c>
      <c r="F48" s="84">
        <f>SUM(E48*2/1000)</f>
        <v>3.9937399999999998</v>
      </c>
      <c r="G48" s="13">
        <v>619.46</v>
      </c>
      <c r="H48" s="85">
        <f t="shared" si="4"/>
        <v>2.4739621804</v>
      </c>
      <c r="I48" s="13">
        <v>0</v>
      </c>
      <c r="J48" s="24"/>
      <c r="L48" s="20"/>
      <c r="M48" s="21"/>
      <c r="N48" s="22"/>
    </row>
    <row r="49" spans="1:22" ht="15.75" hidden="1" customHeight="1">
      <c r="A49" s="30"/>
      <c r="B49" s="82" t="s">
        <v>39</v>
      </c>
      <c r="C49" s="83" t="s">
        <v>125</v>
      </c>
      <c r="D49" s="82" t="s">
        <v>44</v>
      </c>
      <c r="E49" s="56">
        <v>2630.35</v>
      </c>
      <c r="F49" s="84">
        <f>SUM(E49*2/1000)</f>
        <v>5.2606999999999999</v>
      </c>
      <c r="G49" s="13">
        <v>648.64</v>
      </c>
      <c r="H49" s="85">
        <f t="shared" si="4"/>
        <v>3.4123004479999999</v>
      </c>
      <c r="I49" s="13">
        <v>0</v>
      </c>
      <c r="J49" s="24"/>
      <c r="L49" s="20"/>
      <c r="M49" s="21"/>
      <c r="N49" s="22"/>
    </row>
    <row r="50" spans="1:22" ht="15.75" hidden="1" customHeight="1">
      <c r="A50" s="30"/>
      <c r="B50" s="82" t="s">
        <v>35</v>
      </c>
      <c r="C50" s="83" t="s">
        <v>36</v>
      </c>
      <c r="D50" s="82" t="s">
        <v>44</v>
      </c>
      <c r="E50" s="56">
        <v>131.47</v>
      </c>
      <c r="F50" s="84">
        <f>SUM(E50*2/100)</f>
        <v>2.6294</v>
      </c>
      <c r="G50" s="13">
        <v>77.84</v>
      </c>
      <c r="H50" s="85">
        <f t="shared" si="4"/>
        <v>0.20467249599999998</v>
      </c>
      <c r="I50" s="13">
        <v>0</v>
      </c>
      <c r="J50" s="24"/>
      <c r="L50" s="20"/>
      <c r="M50" s="21"/>
      <c r="N50" s="22"/>
    </row>
    <row r="51" spans="1:22" ht="15.75" hidden="1" customHeight="1">
      <c r="A51" s="30">
        <v>14</v>
      </c>
      <c r="B51" s="82" t="s">
        <v>61</v>
      </c>
      <c r="C51" s="83" t="s">
        <v>125</v>
      </c>
      <c r="D51" s="82" t="s">
        <v>183</v>
      </c>
      <c r="E51" s="56">
        <v>2872.4</v>
      </c>
      <c r="F51" s="84">
        <f>SUM(E51*5/1000)</f>
        <v>14.362</v>
      </c>
      <c r="G51" s="13">
        <v>1297.28</v>
      </c>
      <c r="H51" s="85">
        <f t="shared" si="4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22" ht="31.5" hidden="1" customHeight="1">
      <c r="A52" s="30"/>
      <c r="B52" s="82" t="s">
        <v>134</v>
      </c>
      <c r="C52" s="83" t="s">
        <v>125</v>
      </c>
      <c r="D52" s="82" t="s">
        <v>44</v>
      </c>
      <c r="E52" s="56">
        <v>2872.4</v>
      </c>
      <c r="F52" s="84">
        <f>SUM(E52*2/1000)</f>
        <v>5.7448000000000006</v>
      </c>
      <c r="G52" s="13">
        <v>1297.28</v>
      </c>
      <c r="H52" s="85">
        <f t="shared" si="4"/>
        <v>7.4526141440000009</v>
      </c>
      <c r="I52" s="13">
        <v>0</v>
      </c>
      <c r="J52" s="24"/>
      <c r="L52" s="20"/>
      <c r="M52" s="21"/>
      <c r="N52" s="22"/>
    </row>
    <row r="53" spans="1:22" ht="31.5" hidden="1" customHeight="1">
      <c r="A53" s="30"/>
      <c r="B53" s="82" t="s">
        <v>135</v>
      </c>
      <c r="C53" s="83" t="s">
        <v>40</v>
      </c>
      <c r="D53" s="82" t="s">
        <v>44</v>
      </c>
      <c r="E53" s="56">
        <v>40</v>
      </c>
      <c r="F53" s="84">
        <f>SUM(E53*2/100)</f>
        <v>0.8</v>
      </c>
      <c r="G53" s="13">
        <v>2918.89</v>
      </c>
      <c r="H53" s="85">
        <f t="shared" si="4"/>
        <v>2.3351120000000001</v>
      </c>
      <c r="I53" s="13">
        <v>0</v>
      </c>
      <c r="J53" s="24"/>
      <c r="L53" s="20"/>
      <c r="M53" s="21"/>
      <c r="N53" s="22"/>
    </row>
    <row r="54" spans="1:22" ht="15.75" hidden="1" customHeight="1">
      <c r="A54" s="30"/>
      <c r="B54" s="82" t="s">
        <v>41</v>
      </c>
      <c r="C54" s="83" t="s">
        <v>42</v>
      </c>
      <c r="D54" s="82" t="s">
        <v>44</v>
      </c>
      <c r="E54" s="56">
        <v>1</v>
      </c>
      <c r="F54" s="84">
        <v>0.02</v>
      </c>
      <c r="G54" s="13">
        <v>6042.12</v>
      </c>
      <c r="H54" s="85">
        <f t="shared" si="4"/>
        <v>0.1208424</v>
      </c>
      <c r="I54" s="13">
        <v>0</v>
      </c>
      <c r="J54" s="24"/>
      <c r="L54" s="20"/>
      <c r="M54" s="21"/>
      <c r="N54" s="22"/>
    </row>
    <row r="55" spans="1:22" ht="15.75" customHeight="1">
      <c r="A55" s="30">
        <v>11</v>
      </c>
      <c r="B55" s="82" t="s">
        <v>43</v>
      </c>
      <c r="C55" s="83" t="s">
        <v>31</v>
      </c>
      <c r="D55" s="82" t="s">
        <v>76</v>
      </c>
      <c r="E55" s="56">
        <v>160</v>
      </c>
      <c r="F55" s="84">
        <f>SUM(E55)*3</f>
        <v>480</v>
      </c>
      <c r="G55" s="13">
        <v>70.209999999999994</v>
      </c>
      <c r="H55" s="85">
        <f t="shared" si="4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22" ht="15.75" customHeight="1">
      <c r="A56" s="131" t="s">
        <v>155</v>
      </c>
      <c r="B56" s="132"/>
      <c r="C56" s="132"/>
      <c r="D56" s="132"/>
      <c r="E56" s="132"/>
      <c r="F56" s="132"/>
      <c r="G56" s="132"/>
      <c r="H56" s="132"/>
      <c r="I56" s="133"/>
      <c r="J56" s="24"/>
      <c r="L56" s="20"/>
      <c r="M56" s="21"/>
      <c r="N56" s="22"/>
    </row>
    <row r="57" spans="1:22" ht="15.75" hidden="1" customHeight="1">
      <c r="A57" s="30"/>
      <c r="B57" s="106" t="s">
        <v>45</v>
      </c>
      <c r="C57" s="83"/>
      <c r="D57" s="82"/>
      <c r="E57" s="56"/>
      <c r="F57" s="84"/>
      <c r="G57" s="84"/>
      <c r="H57" s="85"/>
      <c r="I57" s="13"/>
      <c r="J57" s="24"/>
      <c r="L57" s="20"/>
      <c r="M57" s="21"/>
      <c r="N57" s="22"/>
    </row>
    <row r="58" spans="1:22" ht="31.5" hidden="1" customHeight="1">
      <c r="A58" s="30">
        <v>16</v>
      </c>
      <c r="B58" s="82" t="s">
        <v>137</v>
      </c>
      <c r="C58" s="83" t="s">
        <v>116</v>
      </c>
      <c r="D58" s="82" t="s">
        <v>77</v>
      </c>
      <c r="E58" s="56">
        <v>239.59</v>
      </c>
      <c r="F58" s="84">
        <f>E58*6/100</f>
        <v>14.375399999999999</v>
      </c>
      <c r="G58" s="91">
        <v>1654.04</v>
      </c>
      <c r="H58" s="85">
        <f>F58*G58/1000</f>
        <v>23.777486615999997</v>
      </c>
      <c r="I58" s="13">
        <f>F58/6*G58</f>
        <v>3962.9144359999996</v>
      </c>
      <c r="J58" s="24"/>
      <c r="L58" s="20"/>
      <c r="M58" s="21"/>
      <c r="N58" s="22"/>
    </row>
    <row r="59" spans="1:22" ht="15.75" customHeight="1">
      <c r="A59" s="30"/>
      <c r="B59" s="107" t="s">
        <v>46</v>
      </c>
      <c r="C59" s="92"/>
      <c r="D59" s="93"/>
      <c r="E59" s="94"/>
      <c r="F59" s="96"/>
      <c r="G59" s="13"/>
      <c r="H59" s="98"/>
      <c r="I59" s="13"/>
      <c r="J59" s="24"/>
      <c r="L59" s="20"/>
      <c r="M59" s="21"/>
      <c r="N59" s="22"/>
    </row>
    <row r="60" spans="1:22" ht="15.75" hidden="1" customHeight="1">
      <c r="A60" s="30"/>
      <c r="B60" s="93" t="s">
        <v>47</v>
      </c>
      <c r="C60" s="92" t="s">
        <v>56</v>
      </c>
      <c r="D60" s="93" t="s">
        <v>57</v>
      </c>
      <c r="E60" s="94">
        <v>2686</v>
      </c>
      <c r="F60" s="96">
        <f>E60/100</f>
        <v>26.86</v>
      </c>
      <c r="G60" s="13">
        <v>848.37</v>
      </c>
      <c r="H60" s="98">
        <f>G60*F60/1000</f>
        <v>22.787218199999998</v>
      </c>
      <c r="I60" s="13">
        <v>0</v>
      </c>
      <c r="J60" s="24"/>
      <c r="L60" s="20"/>
    </row>
    <row r="61" spans="1:22" ht="15.75" customHeight="1">
      <c r="A61" s="30">
        <v>12</v>
      </c>
      <c r="B61" s="93" t="s">
        <v>105</v>
      </c>
      <c r="C61" s="92" t="s">
        <v>25</v>
      </c>
      <c r="D61" s="93" t="s">
        <v>30</v>
      </c>
      <c r="E61" s="94">
        <v>343</v>
      </c>
      <c r="F61" s="96">
        <v>4116</v>
      </c>
      <c r="G61" s="13">
        <v>2.6</v>
      </c>
      <c r="H61" s="98">
        <f>F61*G61</f>
        <v>10701.6</v>
      </c>
      <c r="I61" s="13">
        <f>F61/12*G61</f>
        <v>891.80000000000007</v>
      </c>
    </row>
    <row r="62" spans="1:22" ht="15.75" hidden="1" customHeight="1">
      <c r="A62" s="30"/>
      <c r="B62" s="107" t="s">
        <v>149</v>
      </c>
      <c r="C62" s="92"/>
      <c r="D62" s="93"/>
      <c r="E62" s="94"/>
      <c r="F62" s="96"/>
      <c r="G62" s="13"/>
      <c r="H62" s="98"/>
      <c r="I62" s="13"/>
    </row>
    <row r="63" spans="1:22" ht="15.75" hidden="1" customHeight="1">
      <c r="A63" s="30"/>
      <c r="B63" s="93" t="s">
        <v>150</v>
      </c>
      <c r="C63" s="92" t="s">
        <v>31</v>
      </c>
      <c r="D63" s="93" t="s">
        <v>72</v>
      </c>
      <c r="E63" s="94">
        <v>3</v>
      </c>
      <c r="F63" s="95">
        <v>3</v>
      </c>
      <c r="G63" s="97">
        <v>254.16</v>
      </c>
      <c r="H63" s="96">
        <v>0.76200000000000001</v>
      </c>
      <c r="I63" s="13">
        <v>0</v>
      </c>
    </row>
    <row r="64" spans="1:22" ht="15.75" customHeight="1">
      <c r="A64" s="30"/>
      <c r="B64" s="107" t="s">
        <v>48</v>
      </c>
      <c r="C64" s="92"/>
      <c r="D64" s="93"/>
      <c r="E64" s="94"/>
      <c r="F64" s="95"/>
      <c r="G64" s="95"/>
      <c r="H64" s="96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30">
        <v>13</v>
      </c>
      <c r="B65" s="14" t="s">
        <v>49</v>
      </c>
      <c r="C65" s="16" t="s">
        <v>136</v>
      </c>
      <c r="D65" s="93" t="s">
        <v>72</v>
      </c>
      <c r="E65" s="19">
        <v>15</v>
      </c>
      <c r="F65" s="84">
        <v>15</v>
      </c>
      <c r="G65" s="13">
        <v>237.74</v>
      </c>
      <c r="H65" s="99">
        <f t="shared" ref="H65:H78" si="5">SUM(F65*G65/1000)</f>
        <v>3.5661000000000005</v>
      </c>
      <c r="I65" s="13">
        <f>G65</f>
        <v>237.74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14" t="s">
        <v>50</v>
      </c>
      <c r="C66" s="16" t="s">
        <v>136</v>
      </c>
      <c r="D66" s="93" t="s">
        <v>72</v>
      </c>
      <c r="E66" s="19">
        <v>5</v>
      </c>
      <c r="F66" s="84">
        <v>5</v>
      </c>
      <c r="G66" s="13">
        <v>81.510000000000005</v>
      </c>
      <c r="H66" s="99">
        <f t="shared" si="5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14" t="s">
        <v>51</v>
      </c>
      <c r="C67" s="16" t="s">
        <v>138</v>
      </c>
      <c r="D67" s="14" t="s">
        <v>57</v>
      </c>
      <c r="E67" s="56">
        <v>24123</v>
      </c>
      <c r="F67" s="13">
        <f>SUM(E67/100)</f>
        <v>241.23</v>
      </c>
      <c r="G67" s="13">
        <v>226.79</v>
      </c>
      <c r="H67" s="99">
        <f t="shared" si="5"/>
        <v>54.708551699999994</v>
      </c>
      <c r="I67" s="13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127"/>
      <c r="S67" s="127"/>
      <c r="T67" s="127"/>
      <c r="U67" s="127"/>
    </row>
    <row r="68" spans="1:21" ht="15.75" hidden="1" customHeight="1">
      <c r="A68" s="30"/>
      <c r="B68" s="14" t="s">
        <v>52</v>
      </c>
      <c r="C68" s="16" t="s">
        <v>139</v>
      </c>
      <c r="D68" s="14"/>
      <c r="E68" s="56">
        <v>24123</v>
      </c>
      <c r="F68" s="13">
        <f>SUM(E68/1000)</f>
        <v>24.123000000000001</v>
      </c>
      <c r="G68" s="13">
        <v>176.61</v>
      </c>
      <c r="H68" s="99">
        <f t="shared" si="5"/>
        <v>4.2603630300000006</v>
      </c>
      <c r="I68" s="13">
        <f t="shared" ref="I68:I72" si="6">F68*G68</f>
        <v>4260.3630300000004</v>
      </c>
    </row>
    <row r="69" spans="1:21" ht="15.75" hidden="1" customHeight="1">
      <c r="A69" s="30"/>
      <c r="B69" s="14" t="s">
        <v>53</v>
      </c>
      <c r="C69" s="16" t="s">
        <v>82</v>
      </c>
      <c r="D69" s="14" t="s">
        <v>57</v>
      </c>
      <c r="E69" s="56">
        <v>2730</v>
      </c>
      <c r="F69" s="13">
        <f>SUM(E69/100)</f>
        <v>27.3</v>
      </c>
      <c r="G69" s="13">
        <v>2217.7800000000002</v>
      </c>
      <c r="H69" s="99">
        <f t="shared" si="5"/>
        <v>60.545394000000009</v>
      </c>
      <c r="I69" s="13">
        <f t="shared" si="6"/>
        <v>60545.394000000008</v>
      </c>
    </row>
    <row r="70" spans="1:21" ht="15.75" hidden="1" customHeight="1">
      <c r="A70" s="30"/>
      <c r="B70" s="100" t="s">
        <v>140</v>
      </c>
      <c r="C70" s="16" t="s">
        <v>34</v>
      </c>
      <c r="D70" s="14"/>
      <c r="E70" s="56">
        <v>23</v>
      </c>
      <c r="F70" s="13">
        <f>SUM(E70)</f>
        <v>23</v>
      </c>
      <c r="G70" s="13">
        <v>42.67</v>
      </c>
      <c r="H70" s="99">
        <f t="shared" si="5"/>
        <v>0.98141000000000012</v>
      </c>
      <c r="I70" s="13">
        <f t="shared" si="6"/>
        <v>981.41000000000008</v>
      </c>
    </row>
    <row r="71" spans="1:21" ht="15.75" hidden="1" customHeight="1">
      <c r="A71" s="30"/>
      <c r="B71" s="100" t="s">
        <v>141</v>
      </c>
      <c r="C71" s="16" t="s">
        <v>34</v>
      </c>
      <c r="D71" s="14"/>
      <c r="E71" s="56">
        <v>23</v>
      </c>
      <c r="F71" s="13">
        <f>SUM(E71)</f>
        <v>23</v>
      </c>
      <c r="G71" s="13">
        <v>39.81</v>
      </c>
      <c r="H71" s="99">
        <f t="shared" si="5"/>
        <v>0.91563000000000005</v>
      </c>
      <c r="I71" s="13">
        <f t="shared" si="6"/>
        <v>915.63000000000011</v>
      </c>
    </row>
    <row r="72" spans="1:21" ht="15.75" hidden="1" customHeight="1">
      <c r="A72" s="30"/>
      <c r="B72" s="14" t="s">
        <v>62</v>
      </c>
      <c r="C72" s="16" t="s">
        <v>63</v>
      </c>
      <c r="D72" s="14" t="s">
        <v>57</v>
      </c>
      <c r="E72" s="19">
        <v>10</v>
      </c>
      <c r="F72" s="84">
        <f>SUM(E72)</f>
        <v>10</v>
      </c>
      <c r="G72" s="13">
        <v>53.32</v>
      </c>
      <c r="H72" s="99">
        <f t="shared" si="5"/>
        <v>0.53320000000000001</v>
      </c>
      <c r="I72" s="13">
        <f t="shared" si="6"/>
        <v>533.20000000000005</v>
      </c>
    </row>
    <row r="73" spans="1:21" ht="15.75" hidden="1" customHeight="1">
      <c r="A73" s="30"/>
      <c r="B73" s="64" t="s">
        <v>78</v>
      </c>
      <c r="C73" s="16"/>
      <c r="D73" s="14"/>
      <c r="E73" s="19"/>
      <c r="F73" s="13"/>
      <c r="G73" s="13"/>
      <c r="H73" s="99" t="s">
        <v>144</v>
      </c>
      <c r="I73" s="13"/>
    </row>
    <row r="74" spans="1:21" ht="15.75" hidden="1" customHeight="1">
      <c r="A74" s="30">
        <v>12</v>
      </c>
      <c r="B74" s="14" t="s">
        <v>79</v>
      </c>
      <c r="C74" s="16" t="s">
        <v>32</v>
      </c>
      <c r="D74" s="14"/>
      <c r="E74" s="19">
        <v>2</v>
      </c>
      <c r="F74" s="75">
        <v>0.2</v>
      </c>
      <c r="G74" s="13">
        <v>536.23</v>
      </c>
      <c r="H74" s="99">
        <v>0.251</v>
      </c>
      <c r="I74" s="13">
        <f>G74*2.9</f>
        <v>1555.067</v>
      </c>
    </row>
    <row r="75" spans="1:21" ht="15.75" hidden="1" customHeight="1">
      <c r="A75" s="30"/>
      <c r="B75" s="14" t="s">
        <v>95</v>
      </c>
      <c r="C75" s="16" t="s">
        <v>31</v>
      </c>
      <c r="D75" s="14"/>
      <c r="E75" s="19">
        <v>1</v>
      </c>
      <c r="F75" s="84">
        <f>SUM(E75)</f>
        <v>1</v>
      </c>
      <c r="G75" s="13">
        <v>383.25</v>
      </c>
      <c r="H75" s="99">
        <f t="shared" si="5"/>
        <v>0.38324999999999998</v>
      </c>
      <c r="I75" s="13">
        <v>0</v>
      </c>
    </row>
    <row r="76" spans="1:21" ht="15.75" hidden="1" customHeight="1">
      <c r="A76" s="30"/>
      <c r="B76" s="14" t="s">
        <v>80</v>
      </c>
      <c r="C76" s="16" t="s">
        <v>31</v>
      </c>
      <c r="D76" s="14"/>
      <c r="E76" s="19">
        <v>2</v>
      </c>
      <c r="F76" s="13">
        <v>2</v>
      </c>
      <c r="G76" s="13">
        <v>911.85</v>
      </c>
      <c r="H76" s="99">
        <f>F76*G76/1000</f>
        <v>1.8237000000000001</v>
      </c>
      <c r="I76" s="13">
        <v>0</v>
      </c>
    </row>
    <row r="77" spans="1:21" ht="15.75" hidden="1" customHeight="1">
      <c r="A77" s="30"/>
      <c r="B77" s="101" t="s">
        <v>81</v>
      </c>
      <c r="C77" s="16"/>
      <c r="D77" s="14"/>
      <c r="E77" s="19"/>
      <c r="F77" s="13"/>
      <c r="G77" s="13" t="s">
        <v>144</v>
      </c>
      <c r="H77" s="99" t="s">
        <v>144</v>
      </c>
      <c r="I77" s="13"/>
    </row>
    <row r="78" spans="1:21" ht="15.75" hidden="1" customHeight="1">
      <c r="A78" s="30"/>
      <c r="B78" s="49" t="s">
        <v>145</v>
      </c>
      <c r="C78" s="16" t="s">
        <v>82</v>
      </c>
      <c r="D78" s="14"/>
      <c r="E78" s="19"/>
      <c r="F78" s="13">
        <v>1.35</v>
      </c>
      <c r="G78" s="13">
        <v>2949.85</v>
      </c>
      <c r="H78" s="99">
        <f t="shared" si="5"/>
        <v>3.9822975</v>
      </c>
      <c r="I78" s="13">
        <v>0</v>
      </c>
    </row>
    <row r="79" spans="1:21" ht="15.75" customHeight="1">
      <c r="A79" s="30"/>
      <c r="B79" s="87" t="s">
        <v>142</v>
      </c>
      <c r="C79" s="101"/>
      <c r="D79" s="32"/>
      <c r="E79" s="33"/>
      <c r="F79" s="88"/>
      <c r="G79" s="88"/>
      <c r="H79" s="102">
        <f>SUM(H58:H78)</f>
        <v>10881.285151046004</v>
      </c>
      <c r="I79" s="88"/>
    </row>
    <row r="80" spans="1:21" ht="15.75" customHeight="1">
      <c r="A80" s="30">
        <v>14</v>
      </c>
      <c r="B80" s="82" t="s">
        <v>143</v>
      </c>
      <c r="C80" s="16"/>
      <c r="D80" s="14"/>
      <c r="E80" s="76"/>
      <c r="F80" s="13">
        <v>1</v>
      </c>
      <c r="G80" s="13">
        <v>21010.2</v>
      </c>
      <c r="H80" s="99">
        <f>G80*F80/1000</f>
        <v>21.010200000000001</v>
      </c>
      <c r="I80" s="13">
        <v>7520.24</v>
      </c>
    </row>
    <row r="81" spans="1:9" ht="15.75" customHeight="1">
      <c r="A81" s="140" t="s">
        <v>156</v>
      </c>
      <c r="B81" s="141"/>
      <c r="C81" s="141"/>
      <c r="D81" s="141"/>
      <c r="E81" s="141"/>
      <c r="F81" s="141"/>
      <c r="G81" s="141"/>
      <c r="H81" s="141"/>
      <c r="I81" s="142"/>
    </row>
    <row r="82" spans="1:9" ht="15.75" customHeight="1">
      <c r="A82" s="30">
        <v>15</v>
      </c>
      <c r="B82" s="82" t="s">
        <v>146</v>
      </c>
      <c r="C82" s="16" t="s">
        <v>59</v>
      </c>
      <c r="D82" s="103" t="s">
        <v>60</v>
      </c>
      <c r="E82" s="13">
        <v>4591.2</v>
      </c>
      <c r="F82" s="13">
        <f>SUM(E82*12)</f>
        <v>55094.399999999994</v>
      </c>
      <c r="G82" s="13">
        <v>2.54</v>
      </c>
      <c r="H82" s="99">
        <f>SUM(F82*G82/1000)</f>
        <v>139.93977599999999</v>
      </c>
      <c r="I82" s="13">
        <f>F82/12*G82</f>
        <v>11661.647999999999</v>
      </c>
    </row>
    <row r="83" spans="1:9" ht="31.5" customHeight="1">
      <c r="A83" s="30">
        <v>16</v>
      </c>
      <c r="B83" s="14" t="s">
        <v>83</v>
      </c>
      <c r="C83" s="16"/>
      <c r="D83" s="103" t="s">
        <v>60</v>
      </c>
      <c r="E83" s="56">
        <f>E82</f>
        <v>4591.2</v>
      </c>
      <c r="F83" s="13">
        <f>E83*12</f>
        <v>55094.399999999994</v>
      </c>
      <c r="G83" s="13">
        <v>2.0499999999999998</v>
      </c>
      <c r="H83" s="99">
        <f>F83*G83/1000</f>
        <v>112.94351999999998</v>
      </c>
      <c r="I83" s="13">
        <f>F83/12*G83</f>
        <v>9411.9599999999991</v>
      </c>
    </row>
    <row r="84" spans="1:9" ht="15.75" customHeight="1">
      <c r="A84" s="50"/>
      <c r="B84" s="40" t="s">
        <v>86</v>
      </c>
      <c r="C84" s="42"/>
      <c r="D84" s="15"/>
      <c r="E84" s="15"/>
      <c r="F84" s="15"/>
      <c r="G84" s="19"/>
      <c r="H84" s="19"/>
      <c r="I84" s="33">
        <f>SUM(I16+I17+I18+I20+I26+I27+I30+I31+I33+I34+I55+I61+I65+I80+I82+I83)</f>
        <v>92222.238136200001</v>
      </c>
    </row>
    <row r="85" spans="1:9" ht="15.75" customHeight="1">
      <c r="A85" s="137" t="s">
        <v>65</v>
      </c>
      <c r="B85" s="138"/>
      <c r="C85" s="138"/>
      <c r="D85" s="138"/>
      <c r="E85" s="138"/>
      <c r="F85" s="138"/>
      <c r="G85" s="138"/>
      <c r="H85" s="138"/>
      <c r="I85" s="139"/>
    </row>
    <row r="86" spans="1:9" ht="15.75" customHeight="1">
      <c r="A86" s="30">
        <v>17</v>
      </c>
      <c r="B86" s="66" t="s">
        <v>204</v>
      </c>
      <c r="C86" s="67" t="s">
        <v>99</v>
      </c>
      <c r="D86" s="49"/>
      <c r="E86" s="37"/>
      <c r="F86" s="37">
        <f>124/3</f>
        <v>41.333333333333336</v>
      </c>
      <c r="G86" s="37">
        <v>1120.8900000000001</v>
      </c>
      <c r="H86" s="117">
        <f t="shared" ref="H86:H91" si="7">G86*F86/1000</f>
        <v>46.330120000000008</v>
      </c>
      <c r="I86" s="13">
        <f>G86*((10+15+10)/3)</f>
        <v>13077.050000000001</v>
      </c>
    </row>
    <row r="87" spans="1:9" ht="31.5" customHeight="1">
      <c r="A87" s="30">
        <v>18</v>
      </c>
      <c r="B87" s="53" t="s">
        <v>175</v>
      </c>
      <c r="C87" s="58" t="s">
        <v>40</v>
      </c>
      <c r="D87" s="49"/>
      <c r="E87" s="13"/>
      <c r="F87" s="13">
        <v>0.06</v>
      </c>
      <c r="G87" s="13">
        <v>3581.13</v>
      </c>
      <c r="H87" s="99">
        <f t="shared" si="7"/>
        <v>0.2148678</v>
      </c>
      <c r="I87" s="13">
        <f>G87*0.01</f>
        <v>35.811300000000003</v>
      </c>
    </row>
    <row r="88" spans="1:9" ht="15.75" customHeight="1">
      <c r="A88" s="30">
        <v>19</v>
      </c>
      <c r="B88" s="53" t="s">
        <v>169</v>
      </c>
      <c r="C88" s="58" t="s">
        <v>101</v>
      </c>
      <c r="D88" s="49"/>
      <c r="E88" s="37"/>
      <c r="F88" s="37">
        <v>2</v>
      </c>
      <c r="G88" s="38">
        <v>506.98</v>
      </c>
      <c r="H88" s="117">
        <f t="shared" si="7"/>
        <v>1.01396</v>
      </c>
      <c r="I88" s="13">
        <f>G88</f>
        <v>506.98</v>
      </c>
    </row>
    <row r="89" spans="1:9" ht="31.5" customHeight="1">
      <c r="A89" s="30">
        <v>20</v>
      </c>
      <c r="B89" s="53" t="s">
        <v>224</v>
      </c>
      <c r="C89" s="105" t="s">
        <v>58</v>
      </c>
      <c r="D89" s="49"/>
      <c r="E89" s="13"/>
      <c r="F89" s="13">
        <f>4/10</f>
        <v>0.4</v>
      </c>
      <c r="G89" s="13">
        <v>4459.13</v>
      </c>
      <c r="H89" s="99">
        <f t="shared" si="7"/>
        <v>1.783652</v>
      </c>
      <c r="I89" s="13">
        <f>G89*0.2</f>
        <v>891.82600000000002</v>
      </c>
    </row>
    <row r="90" spans="1:9" ht="15.75" customHeight="1">
      <c r="A90" s="30">
        <v>21</v>
      </c>
      <c r="B90" s="53" t="s">
        <v>228</v>
      </c>
      <c r="C90" s="58" t="s">
        <v>90</v>
      </c>
      <c r="D90" s="49"/>
      <c r="E90" s="13"/>
      <c r="F90" s="13">
        <v>1</v>
      </c>
      <c r="G90" s="13">
        <v>237.44</v>
      </c>
      <c r="H90" s="99">
        <f t="shared" si="7"/>
        <v>0.23743999999999998</v>
      </c>
      <c r="I90" s="13">
        <f>G90</f>
        <v>237.44</v>
      </c>
    </row>
    <row r="91" spans="1:9" ht="15.75" customHeight="1">
      <c r="A91" s="30">
        <v>22</v>
      </c>
      <c r="B91" s="53" t="s">
        <v>278</v>
      </c>
      <c r="C91" s="58" t="s">
        <v>34</v>
      </c>
      <c r="D91" s="120"/>
      <c r="E91" s="18"/>
      <c r="F91" s="37">
        <f>(4.52+1.48+20.31+90.98+2.1)-(12.79*6)</f>
        <v>42.650000000000006</v>
      </c>
      <c r="G91" s="37">
        <v>42.61</v>
      </c>
      <c r="H91" s="37">
        <f t="shared" si="7"/>
        <v>1.8173165000000002</v>
      </c>
      <c r="I91" s="13">
        <f>G91*F91</f>
        <v>1817.3165000000001</v>
      </c>
    </row>
    <row r="92" spans="1:9" ht="15.75" customHeight="1">
      <c r="A92" s="30"/>
      <c r="B92" s="47" t="s">
        <v>54</v>
      </c>
      <c r="C92" s="43"/>
      <c r="D92" s="51"/>
      <c r="E92" s="43">
        <v>1</v>
      </c>
      <c r="F92" s="43"/>
      <c r="G92" s="43"/>
      <c r="H92" s="43"/>
      <c r="I92" s="33">
        <f>SUM(I86:I91)</f>
        <v>16566.4238</v>
      </c>
    </row>
    <row r="93" spans="1:9" ht="15.75" customHeight="1">
      <c r="A93" s="30"/>
      <c r="B93" s="49" t="s">
        <v>84</v>
      </c>
      <c r="C93" s="15"/>
      <c r="D93" s="15"/>
      <c r="E93" s="44"/>
      <c r="F93" s="44"/>
      <c r="G93" s="45"/>
      <c r="H93" s="45"/>
      <c r="I93" s="18">
        <v>0</v>
      </c>
    </row>
    <row r="94" spans="1:9" ht="15.75" customHeight="1">
      <c r="A94" s="52"/>
      <c r="B94" s="48" t="s">
        <v>203</v>
      </c>
      <c r="C94" s="36"/>
      <c r="D94" s="36"/>
      <c r="E94" s="36"/>
      <c r="F94" s="36"/>
      <c r="G94" s="36"/>
      <c r="H94" s="36"/>
      <c r="I94" s="46">
        <f>I84+I92</f>
        <v>108788.66193620001</v>
      </c>
    </row>
    <row r="95" spans="1:9" ht="15.75" customHeight="1">
      <c r="A95" s="134" t="s">
        <v>279</v>
      </c>
      <c r="B95" s="134"/>
      <c r="C95" s="134"/>
      <c r="D95" s="134"/>
      <c r="E95" s="134"/>
      <c r="F95" s="134"/>
      <c r="G95" s="134"/>
      <c r="H95" s="134"/>
      <c r="I95" s="134"/>
    </row>
    <row r="96" spans="1:9" ht="15.75" customHeight="1">
      <c r="A96" s="65"/>
      <c r="B96" s="135" t="s">
        <v>280</v>
      </c>
      <c r="C96" s="135"/>
      <c r="D96" s="135"/>
      <c r="E96" s="135"/>
      <c r="F96" s="135"/>
      <c r="G96" s="135"/>
      <c r="H96" s="80"/>
      <c r="I96" s="3"/>
    </row>
    <row r="97" spans="1:9" ht="15.75" customHeight="1">
      <c r="A97" s="59"/>
      <c r="B97" s="125" t="s">
        <v>6</v>
      </c>
      <c r="C97" s="125"/>
      <c r="D97" s="125"/>
      <c r="E97" s="125"/>
      <c r="F97" s="125"/>
      <c r="G97" s="125"/>
      <c r="H97" s="25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36" t="s">
        <v>7</v>
      </c>
      <c r="B99" s="136"/>
      <c r="C99" s="136"/>
      <c r="D99" s="136"/>
      <c r="E99" s="136"/>
      <c r="F99" s="136"/>
      <c r="G99" s="136"/>
      <c r="H99" s="136"/>
      <c r="I99" s="136"/>
    </row>
    <row r="100" spans="1:9" ht="15.75" customHeight="1">
      <c r="A100" s="136" t="s">
        <v>8</v>
      </c>
      <c r="B100" s="136"/>
      <c r="C100" s="136"/>
      <c r="D100" s="136"/>
      <c r="E100" s="136"/>
      <c r="F100" s="136"/>
      <c r="G100" s="136"/>
      <c r="H100" s="136"/>
      <c r="I100" s="136"/>
    </row>
    <row r="101" spans="1:9" ht="15.75" customHeight="1">
      <c r="A101" s="129" t="s">
        <v>66</v>
      </c>
      <c r="B101" s="129"/>
      <c r="C101" s="129"/>
      <c r="D101" s="129"/>
      <c r="E101" s="129"/>
      <c r="F101" s="129"/>
      <c r="G101" s="129"/>
      <c r="H101" s="129"/>
      <c r="I101" s="129"/>
    </row>
    <row r="102" spans="1:9" ht="15.75" customHeight="1">
      <c r="A102" s="11"/>
    </row>
    <row r="103" spans="1:9" ht="15.75" customHeight="1">
      <c r="A103" s="123" t="s">
        <v>9</v>
      </c>
      <c r="B103" s="123"/>
      <c r="C103" s="123"/>
      <c r="D103" s="123"/>
      <c r="E103" s="123"/>
      <c r="F103" s="123"/>
      <c r="G103" s="123"/>
      <c r="H103" s="123"/>
      <c r="I103" s="123"/>
    </row>
    <row r="104" spans="1:9" ht="15.75" customHeight="1">
      <c r="A104" s="4"/>
    </row>
    <row r="105" spans="1:9" ht="15.75" customHeight="1">
      <c r="B105" s="62" t="s">
        <v>10</v>
      </c>
      <c r="C105" s="124" t="s">
        <v>97</v>
      </c>
      <c r="D105" s="124"/>
      <c r="E105" s="124"/>
      <c r="F105" s="78"/>
      <c r="I105" s="61"/>
    </row>
    <row r="106" spans="1:9" ht="15.75" customHeight="1">
      <c r="A106" s="59"/>
      <c r="C106" s="125" t="s">
        <v>11</v>
      </c>
      <c r="D106" s="125"/>
      <c r="E106" s="125"/>
      <c r="F106" s="25"/>
      <c r="I106" s="60" t="s">
        <v>12</v>
      </c>
    </row>
    <row r="107" spans="1:9" ht="15.75" customHeight="1">
      <c r="A107" s="26"/>
      <c r="C107" s="12"/>
      <c r="D107" s="12"/>
      <c r="G107" s="12"/>
      <c r="H107" s="12"/>
    </row>
    <row r="108" spans="1:9" ht="15.75" customHeight="1">
      <c r="B108" s="62" t="s">
        <v>13</v>
      </c>
      <c r="C108" s="126"/>
      <c r="D108" s="126"/>
      <c r="E108" s="126"/>
      <c r="F108" s="79"/>
      <c r="I108" s="61"/>
    </row>
    <row r="109" spans="1:9" ht="15.75" customHeight="1">
      <c r="A109" s="59"/>
      <c r="C109" s="127" t="s">
        <v>11</v>
      </c>
      <c r="D109" s="127"/>
      <c r="E109" s="127"/>
      <c r="F109" s="59"/>
      <c r="I109" s="60" t="s">
        <v>12</v>
      </c>
    </row>
    <row r="110" spans="1:9" ht="15.75" customHeight="1">
      <c r="A110" s="4" t="s">
        <v>14</v>
      </c>
    </row>
    <row r="111" spans="1:9" ht="15.75" customHeight="1">
      <c r="A111" s="128" t="s">
        <v>15</v>
      </c>
      <c r="B111" s="128"/>
      <c r="C111" s="128"/>
      <c r="D111" s="128"/>
      <c r="E111" s="128"/>
      <c r="F111" s="128"/>
      <c r="G111" s="128"/>
      <c r="H111" s="128"/>
      <c r="I111" s="128"/>
    </row>
    <row r="112" spans="1:9" ht="45" customHeight="1">
      <c r="A112" s="122" t="s">
        <v>16</v>
      </c>
      <c r="B112" s="122"/>
      <c r="C112" s="122"/>
      <c r="D112" s="122"/>
      <c r="E112" s="122"/>
      <c r="F112" s="122"/>
      <c r="G112" s="122"/>
      <c r="H112" s="122"/>
      <c r="I112" s="122"/>
    </row>
    <row r="113" spans="1:9" ht="30" customHeight="1">
      <c r="A113" s="122" t="s">
        <v>17</v>
      </c>
      <c r="B113" s="122"/>
      <c r="C113" s="122"/>
      <c r="D113" s="122"/>
      <c r="E113" s="122"/>
      <c r="F113" s="122"/>
      <c r="G113" s="122"/>
      <c r="H113" s="122"/>
      <c r="I113" s="122"/>
    </row>
    <row r="114" spans="1:9" ht="30" customHeight="1">
      <c r="A114" s="122" t="s">
        <v>21</v>
      </c>
      <c r="B114" s="122"/>
      <c r="C114" s="122"/>
      <c r="D114" s="122"/>
      <c r="E114" s="122"/>
      <c r="F114" s="122"/>
      <c r="G114" s="122"/>
      <c r="H114" s="122"/>
      <c r="I114" s="122"/>
    </row>
    <row r="115" spans="1:9" ht="15" customHeight="1">
      <c r="A115" s="122" t="s">
        <v>20</v>
      </c>
      <c r="B115" s="122"/>
      <c r="C115" s="122"/>
      <c r="D115" s="122"/>
      <c r="E115" s="122"/>
      <c r="F115" s="122"/>
      <c r="G115" s="122"/>
      <c r="H115" s="122"/>
      <c r="I115" s="122"/>
    </row>
  </sheetData>
  <autoFilter ref="I12:I62"/>
  <mergeCells count="29">
    <mergeCell ref="R67:U67"/>
    <mergeCell ref="A81:I81"/>
    <mergeCell ref="A3:I3"/>
    <mergeCell ref="A4:I4"/>
    <mergeCell ref="A5:I5"/>
    <mergeCell ref="A8:I8"/>
    <mergeCell ref="A10:I10"/>
    <mergeCell ref="A14:I14"/>
    <mergeCell ref="A101:I101"/>
    <mergeCell ref="A15:I15"/>
    <mergeCell ref="A28:I28"/>
    <mergeCell ref="A45:I45"/>
    <mergeCell ref="A56:I56"/>
    <mergeCell ref="A95:I95"/>
    <mergeCell ref="B96:G96"/>
    <mergeCell ref="B97:G97"/>
    <mergeCell ref="A99:I99"/>
    <mergeCell ref="A100:I100"/>
    <mergeCell ref="A85:I85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92</v>
      </c>
      <c r="I1" s="27"/>
      <c r="J1" s="1"/>
      <c r="K1" s="1"/>
      <c r="L1" s="1"/>
      <c r="M1" s="1"/>
    </row>
    <row r="2" spans="1:13" ht="15.75" customHeight="1">
      <c r="A2" s="29" t="s">
        <v>67</v>
      </c>
      <c r="J2" s="2"/>
      <c r="K2" s="2"/>
      <c r="L2" s="2"/>
      <c r="M2" s="2"/>
    </row>
    <row r="3" spans="1:13" ht="15.75" customHeight="1">
      <c r="A3" s="143" t="s">
        <v>191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147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229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 customHeight="1">
      <c r="A6" s="2"/>
      <c r="B6" s="63"/>
      <c r="C6" s="63"/>
      <c r="D6" s="63"/>
      <c r="E6" s="63"/>
      <c r="F6" s="63"/>
      <c r="G6" s="63"/>
      <c r="H6" s="63"/>
      <c r="I6" s="31">
        <v>42947</v>
      </c>
      <c r="J6" s="2"/>
      <c r="K6" s="2"/>
      <c r="L6" s="2"/>
      <c r="M6" s="2"/>
    </row>
    <row r="7" spans="1:13" ht="15.75" customHeight="1">
      <c r="B7" s="62"/>
      <c r="C7" s="62"/>
      <c r="D7" s="6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158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276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64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30" t="s">
        <v>4</v>
      </c>
      <c r="B15" s="130"/>
      <c r="C15" s="130"/>
      <c r="D15" s="130"/>
      <c r="E15" s="130"/>
      <c r="F15" s="130"/>
      <c r="G15" s="130"/>
      <c r="H15" s="130"/>
      <c r="I15" s="130"/>
      <c r="J15" s="8"/>
      <c r="K15" s="8"/>
      <c r="L15" s="8"/>
      <c r="M15" s="8"/>
    </row>
    <row r="16" spans="1:13" ht="15.75" customHeight="1">
      <c r="A16" s="30">
        <v>1</v>
      </c>
      <c r="B16" s="82" t="s">
        <v>93</v>
      </c>
      <c r="C16" s="83" t="s">
        <v>116</v>
      </c>
      <c r="D16" s="82" t="s">
        <v>117</v>
      </c>
      <c r="E16" s="56">
        <v>127.9</v>
      </c>
      <c r="F16" s="84">
        <f>SUM(E16*156/100)</f>
        <v>199.524</v>
      </c>
      <c r="G16" s="84">
        <v>187.48</v>
      </c>
      <c r="H16" s="85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82" t="s">
        <v>102</v>
      </c>
      <c r="C17" s="83" t="s">
        <v>116</v>
      </c>
      <c r="D17" s="82" t="s">
        <v>181</v>
      </c>
      <c r="E17" s="56">
        <v>511.6</v>
      </c>
      <c r="F17" s="84">
        <f>SUM(E17*104/100)</f>
        <v>532.06399999999996</v>
      </c>
      <c r="G17" s="84">
        <v>185.48</v>
      </c>
      <c r="H17" s="85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82" t="s">
        <v>103</v>
      </c>
      <c r="C18" s="83" t="s">
        <v>116</v>
      </c>
      <c r="D18" s="82" t="s">
        <v>118</v>
      </c>
      <c r="E18" s="56">
        <f>SUM(E16+E17)</f>
        <v>639.5</v>
      </c>
      <c r="F18" s="84">
        <f>SUM(E18*24/100)</f>
        <v>153.47999999999999</v>
      </c>
      <c r="G18" s="84">
        <v>539.30999999999995</v>
      </c>
      <c r="H18" s="85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82" t="s">
        <v>119</v>
      </c>
      <c r="C19" s="83" t="s">
        <v>120</v>
      </c>
      <c r="D19" s="82" t="s">
        <v>121</v>
      </c>
      <c r="E19" s="56">
        <v>38.4</v>
      </c>
      <c r="F19" s="84">
        <f>SUM(E19/10)</f>
        <v>3.84</v>
      </c>
      <c r="G19" s="84">
        <v>181.91</v>
      </c>
      <c r="H19" s="85">
        <f t="shared" si="0"/>
        <v>0.6985344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82" t="s">
        <v>107</v>
      </c>
      <c r="C20" s="83" t="s">
        <v>116</v>
      </c>
      <c r="D20" s="82" t="s">
        <v>30</v>
      </c>
      <c r="E20" s="56">
        <v>58.4</v>
      </c>
      <c r="F20" s="84">
        <f>SUM(E20*12/100)</f>
        <v>7.0079999999999991</v>
      </c>
      <c r="G20" s="84">
        <v>232.92</v>
      </c>
      <c r="H20" s="85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customHeight="1">
      <c r="A21" s="30">
        <v>5</v>
      </c>
      <c r="B21" s="82" t="s">
        <v>108</v>
      </c>
      <c r="C21" s="83" t="s">
        <v>116</v>
      </c>
      <c r="D21" s="82" t="s">
        <v>115</v>
      </c>
      <c r="E21" s="56">
        <v>9.08</v>
      </c>
      <c r="F21" s="84">
        <f>SUM(E21*6/100)</f>
        <v>0.54480000000000006</v>
      </c>
      <c r="G21" s="84">
        <v>231.03</v>
      </c>
      <c r="H21" s="85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82" t="s">
        <v>122</v>
      </c>
      <c r="C22" s="83" t="s">
        <v>56</v>
      </c>
      <c r="D22" s="82" t="s">
        <v>121</v>
      </c>
      <c r="E22" s="56">
        <v>714</v>
      </c>
      <c r="F22" s="84">
        <f>SUM(E22/100)</f>
        <v>7.14</v>
      </c>
      <c r="G22" s="84">
        <v>287.83999999999997</v>
      </c>
      <c r="H22" s="85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82" t="s">
        <v>123</v>
      </c>
      <c r="C23" s="83" t="s">
        <v>56</v>
      </c>
      <c r="D23" s="82" t="s">
        <v>121</v>
      </c>
      <c r="E23" s="77">
        <v>96.6</v>
      </c>
      <c r="F23" s="84">
        <f>SUM(E23/100)</f>
        <v>0.96599999999999997</v>
      </c>
      <c r="G23" s="84">
        <v>47.34</v>
      </c>
      <c r="H23" s="85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82" t="s">
        <v>110</v>
      </c>
      <c r="C24" s="83" t="s">
        <v>56</v>
      </c>
      <c r="D24" s="82" t="s">
        <v>121</v>
      </c>
      <c r="E24" s="19">
        <v>40</v>
      </c>
      <c r="F24" s="86">
        <v>4.8</v>
      </c>
      <c r="G24" s="84">
        <v>416.62</v>
      </c>
      <c r="H24" s="85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82" t="s">
        <v>111</v>
      </c>
      <c r="C25" s="83" t="s">
        <v>56</v>
      </c>
      <c r="D25" s="82" t="s">
        <v>121</v>
      </c>
      <c r="E25" s="56">
        <v>17</v>
      </c>
      <c r="F25" s="84">
        <f>SUM(E25/100)</f>
        <v>0.17</v>
      </c>
      <c r="G25" s="84">
        <v>556.74</v>
      </c>
      <c r="H25" s="85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customHeight="1">
      <c r="A26" s="30">
        <v>6</v>
      </c>
      <c r="B26" s="82" t="s">
        <v>69</v>
      </c>
      <c r="C26" s="83" t="s">
        <v>34</v>
      </c>
      <c r="D26" s="82" t="s">
        <v>161</v>
      </c>
      <c r="E26" s="56">
        <v>0.1</v>
      </c>
      <c r="F26" s="84">
        <f>SUM(E26*365)</f>
        <v>36.5</v>
      </c>
      <c r="G26" s="84">
        <v>157.18</v>
      </c>
      <c r="H26" s="85">
        <f>SUM(F26*G26/1000)</f>
        <v>5.737070000000001</v>
      </c>
      <c r="I26" s="13">
        <f>F26/12*G26</f>
        <v>478.08916666666664</v>
      </c>
      <c r="J26" s="24"/>
    </row>
    <row r="27" spans="1:13" ht="15.75" customHeight="1">
      <c r="A27" s="30">
        <v>7</v>
      </c>
      <c r="B27" s="90" t="s">
        <v>23</v>
      </c>
      <c r="C27" s="83" t="s">
        <v>24</v>
      </c>
      <c r="D27" s="90" t="s">
        <v>161</v>
      </c>
      <c r="E27" s="56">
        <v>4591.2</v>
      </c>
      <c r="F27" s="84">
        <f>SUM(E27*12)</f>
        <v>55094.399999999994</v>
      </c>
      <c r="G27" s="84">
        <v>5.85</v>
      </c>
      <c r="H27" s="85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30" t="s">
        <v>91</v>
      </c>
      <c r="B28" s="130"/>
      <c r="C28" s="130"/>
      <c r="D28" s="130"/>
      <c r="E28" s="130"/>
      <c r="F28" s="130"/>
      <c r="G28" s="130"/>
      <c r="H28" s="130"/>
      <c r="I28" s="130"/>
      <c r="J28" s="23"/>
      <c r="K28" s="8"/>
      <c r="L28" s="8"/>
      <c r="M28" s="8"/>
    </row>
    <row r="29" spans="1:13" ht="15.75" customHeight="1">
      <c r="A29" s="30"/>
      <c r="B29" s="106" t="s">
        <v>28</v>
      </c>
      <c r="C29" s="83"/>
      <c r="D29" s="82"/>
      <c r="E29" s="56"/>
      <c r="F29" s="84"/>
      <c r="G29" s="84"/>
      <c r="H29" s="85"/>
      <c r="I29" s="13"/>
      <c r="J29" s="23"/>
      <c r="K29" s="8"/>
      <c r="L29" s="8"/>
      <c r="M29" s="8"/>
    </row>
    <row r="30" spans="1:13" ht="15.75" customHeight="1">
      <c r="A30" s="30">
        <v>8</v>
      </c>
      <c r="B30" s="82" t="s">
        <v>124</v>
      </c>
      <c r="C30" s="83" t="s">
        <v>125</v>
      </c>
      <c r="D30" s="82" t="s">
        <v>126</v>
      </c>
      <c r="E30" s="84">
        <v>844.95</v>
      </c>
      <c r="F30" s="84">
        <f>SUM(E30*52/1000)</f>
        <v>43.937400000000004</v>
      </c>
      <c r="G30" s="84">
        <v>166.65</v>
      </c>
      <c r="H30" s="85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customHeight="1">
      <c r="A31" s="30">
        <v>9</v>
      </c>
      <c r="B31" s="82" t="s">
        <v>182</v>
      </c>
      <c r="C31" s="83" t="s">
        <v>125</v>
      </c>
      <c r="D31" s="82" t="s">
        <v>127</v>
      </c>
      <c r="E31" s="84">
        <v>260.13</v>
      </c>
      <c r="F31" s="84">
        <f>SUM(E31*78/1000)</f>
        <v>20.290140000000001</v>
      </c>
      <c r="G31" s="84">
        <v>276.48</v>
      </c>
      <c r="H31" s="85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82" t="s">
        <v>27</v>
      </c>
      <c r="C32" s="83" t="s">
        <v>125</v>
      </c>
      <c r="D32" s="82" t="s">
        <v>57</v>
      </c>
      <c r="E32" s="84">
        <v>844.95</v>
      </c>
      <c r="F32" s="84">
        <f>SUM(E32/1000)</f>
        <v>0.84495000000000009</v>
      </c>
      <c r="G32" s="84">
        <v>3228.73</v>
      </c>
      <c r="H32" s="85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customHeight="1">
      <c r="A33" s="30">
        <v>10</v>
      </c>
      <c r="B33" s="82" t="s">
        <v>160</v>
      </c>
      <c r="C33" s="83" t="s">
        <v>42</v>
      </c>
      <c r="D33" s="82" t="s">
        <v>68</v>
      </c>
      <c r="E33" s="84">
        <v>8</v>
      </c>
      <c r="F33" s="84">
        <v>12.4</v>
      </c>
      <c r="G33" s="84">
        <v>1391.86</v>
      </c>
      <c r="H33" s="85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customHeight="1">
      <c r="A34" s="30">
        <v>11</v>
      </c>
      <c r="B34" s="82" t="s">
        <v>128</v>
      </c>
      <c r="C34" s="83" t="s">
        <v>31</v>
      </c>
      <c r="D34" s="82" t="s">
        <v>68</v>
      </c>
      <c r="E34" s="89">
        <v>0.33333333333333331</v>
      </c>
      <c r="F34" s="84">
        <f>155/3</f>
        <v>51.666666666666664</v>
      </c>
      <c r="G34" s="84">
        <v>60.6</v>
      </c>
      <c r="H34" s="85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82" t="s">
        <v>70</v>
      </c>
      <c r="C35" s="83" t="s">
        <v>34</v>
      </c>
      <c r="D35" s="82" t="s">
        <v>72</v>
      </c>
      <c r="E35" s="56"/>
      <c r="F35" s="84">
        <v>3</v>
      </c>
      <c r="G35" s="84">
        <v>204.32</v>
      </c>
      <c r="H35" s="85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82" t="s">
        <v>71</v>
      </c>
      <c r="C36" s="83" t="s">
        <v>33</v>
      </c>
      <c r="D36" s="82" t="s">
        <v>72</v>
      </c>
      <c r="E36" s="56"/>
      <c r="F36" s="84">
        <v>2</v>
      </c>
      <c r="G36" s="84">
        <v>1214.73</v>
      </c>
      <c r="H36" s="85">
        <f t="shared" si="1"/>
        <v>2.4294600000000002</v>
      </c>
      <c r="I36" s="13">
        <v>0</v>
      </c>
      <c r="J36" s="24"/>
    </row>
    <row r="37" spans="1:14" ht="15.75" hidden="1" customHeight="1">
      <c r="A37" s="30"/>
      <c r="B37" s="106" t="s">
        <v>5</v>
      </c>
      <c r="C37" s="83"/>
      <c r="D37" s="82"/>
      <c r="E37" s="56"/>
      <c r="F37" s="84"/>
      <c r="G37" s="84"/>
      <c r="H37" s="85" t="s">
        <v>144</v>
      </c>
      <c r="I37" s="13"/>
      <c r="J37" s="24"/>
    </row>
    <row r="38" spans="1:14" ht="15.75" hidden="1" customHeight="1">
      <c r="A38" s="30">
        <v>8</v>
      </c>
      <c r="B38" s="82" t="s">
        <v>26</v>
      </c>
      <c r="C38" s="83" t="s">
        <v>33</v>
      </c>
      <c r="D38" s="82"/>
      <c r="E38" s="56"/>
      <c r="F38" s="84">
        <v>10</v>
      </c>
      <c r="G38" s="84">
        <v>1632.6</v>
      </c>
      <c r="H38" s="85">
        <f t="shared" ref="H38:H44" si="3">SUM(F38*G38/1000)</f>
        <v>16.326000000000001</v>
      </c>
      <c r="I38" s="13">
        <f>F38/6*G38</f>
        <v>2721</v>
      </c>
      <c r="J38" s="24"/>
    </row>
    <row r="39" spans="1:14" ht="15.75" hidden="1" customHeight="1">
      <c r="A39" s="30">
        <v>9</v>
      </c>
      <c r="B39" s="82" t="s">
        <v>162</v>
      </c>
      <c r="C39" s="83" t="s">
        <v>29</v>
      </c>
      <c r="D39" s="82" t="s">
        <v>129</v>
      </c>
      <c r="E39" s="84">
        <v>254.8</v>
      </c>
      <c r="F39" s="84">
        <f>SUM(E39*30/1000)</f>
        <v>7.6440000000000001</v>
      </c>
      <c r="G39" s="84">
        <v>2247.8000000000002</v>
      </c>
      <c r="H39" s="85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82" t="s">
        <v>104</v>
      </c>
      <c r="C40" s="83" t="s">
        <v>130</v>
      </c>
      <c r="D40" s="82" t="s">
        <v>72</v>
      </c>
      <c r="E40" s="56"/>
      <c r="F40" s="84">
        <v>40</v>
      </c>
      <c r="G40" s="84">
        <v>213.2</v>
      </c>
      <c r="H40" s="85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hidden="1" customHeight="1">
      <c r="A41" s="30">
        <v>10</v>
      </c>
      <c r="B41" s="82" t="s">
        <v>73</v>
      </c>
      <c r="C41" s="83" t="s">
        <v>29</v>
      </c>
      <c r="D41" s="82" t="s">
        <v>131</v>
      </c>
      <c r="E41" s="84">
        <v>260.13</v>
      </c>
      <c r="F41" s="84">
        <f>SUM(E41*155/1000)</f>
        <v>40.320149999999998</v>
      </c>
      <c r="G41" s="84">
        <v>374.95</v>
      </c>
      <c r="H41" s="85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hidden="1" customHeight="1">
      <c r="A42" s="30">
        <v>11</v>
      </c>
      <c r="B42" s="82" t="s">
        <v>89</v>
      </c>
      <c r="C42" s="83" t="s">
        <v>125</v>
      </c>
      <c r="D42" s="82" t="s">
        <v>132</v>
      </c>
      <c r="E42" s="84">
        <v>132.72999999999999</v>
      </c>
      <c r="F42" s="84">
        <f>SUM(E42*35/1000)</f>
        <v>4.6455499999999992</v>
      </c>
      <c r="G42" s="84">
        <v>6203.7</v>
      </c>
      <c r="H42" s="85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hidden="1" customHeight="1">
      <c r="A43" s="30">
        <v>12</v>
      </c>
      <c r="B43" s="82" t="s">
        <v>133</v>
      </c>
      <c r="C43" s="83" t="s">
        <v>125</v>
      </c>
      <c r="D43" s="82" t="s">
        <v>74</v>
      </c>
      <c r="E43" s="84">
        <v>254.8</v>
      </c>
      <c r="F43" s="84">
        <f>SUM(E43*45/1000)</f>
        <v>11.465999999999999</v>
      </c>
      <c r="G43" s="84">
        <v>458.28</v>
      </c>
      <c r="H43" s="85">
        <f t="shared" si="3"/>
        <v>5.2546384799999997</v>
      </c>
      <c r="I43" s="13">
        <f>F43/6*G43</f>
        <v>875.77307999999982</v>
      </c>
      <c r="J43" s="24"/>
      <c r="L43" s="20"/>
      <c r="M43" s="21"/>
      <c r="N43" s="22"/>
    </row>
    <row r="44" spans="1:14" ht="15.75" hidden="1" customHeight="1">
      <c r="A44" s="30">
        <v>13</v>
      </c>
      <c r="B44" s="82" t="s">
        <v>75</v>
      </c>
      <c r="C44" s="83" t="s">
        <v>34</v>
      </c>
      <c r="D44" s="82"/>
      <c r="E44" s="56"/>
      <c r="F44" s="84">
        <v>0.9</v>
      </c>
      <c r="G44" s="84">
        <v>853.06</v>
      </c>
      <c r="H44" s="85">
        <f t="shared" si="3"/>
        <v>0.76775400000000005</v>
      </c>
      <c r="I44" s="13">
        <f>F44/6*G44</f>
        <v>127.95899999999999</v>
      </c>
      <c r="J44" s="24"/>
      <c r="L44" s="20"/>
      <c r="M44" s="21"/>
      <c r="N44" s="22"/>
    </row>
    <row r="45" spans="1:14" ht="15.75" hidden="1" customHeight="1">
      <c r="A45" s="131" t="s">
        <v>154</v>
      </c>
      <c r="B45" s="132"/>
      <c r="C45" s="132"/>
      <c r="D45" s="132"/>
      <c r="E45" s="132"/>
      <c r="F45" s="132"/>
      <c r="G45" s="132"/>
      <c r="H45" s="132"/>
      <c r="I45" s="133"/>
      <c r="J45" s="24"/>
      <c r="L45" s="20"/>
      <c r="M45" s="21"/>
      <c r="N45" s="22"/>
    </row>
    <row r="46" spans="1:14" ht="15.75" hidden="1" customHeight="1">
      <c r="A46" s="30"/>
      <c r="B46" s="82" t="s">
        <v>148</v>
      </c>
      <c r="C46" s="83" t="s">
        <v>125</v>
      </c>
      <c r="D46" s="82" t="s">
        <v>44</v>
      </c>
      <c r="E46" s="56">
        <v>1795.9</v>
      </c>
      <c r="F46" s="84">
        <f>SUM(E46*2/1000)</f>
        <v>3.5918000000000001</v>
      </c>
      <c r="G46" s="13">
        <v>865.61</v>
      </c>
      <c r="H46" s="85">
        <f t="shared" ref="H46:H55" si="4">SUM(F46*G46/1000)</f>
        <v>3.1090979980000002</v>
      </c>
      <c r="I46" s="13">
        <v>0</v>
      </c>
      <c r="J46" s="24"/>
      <c r="L46" s="20"/>
      <c r="M46" s="21"/>
      <c r="N46" s="22"/>
    </row>
    <row r="47" spans="1:14" ht="15.75" hidden="1" customHeight="1">
      <c r="A47" s="30"/>
      <c r="B47" s="82" t="s">
        <v>37</v>
      </c>
      <c r="C47" s="83" t="s">
        <v>125</v>
      </c>
      <c r="D47" s="82" t="s">
        <v>44</v>
      </c>
      <c r="E47" s="56">
        <v>104</v>
      </c>
      <c r="F47" s="84">
        <f>SUM(E47*2/1000)</f>
        <v>0.20799999999999999</v>
      </c>
      <c r="G47" s="13">
        <v>619.46</v>
      </c>
      <c r="H47" s="85">
        <f t="shared" si="4"/>
        <v>0.12884767999999999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30"/>
      <c r="B48" s="82" t="s">
        <v>38</v>
      </c>
      <c r="C48" s="83" t="s">
        <v>125</v>
      </c>
      <c r="D48" s="82" t="s">
        <v>44</v>
      </c>
      <c r="E48" s="56">
        <v>1996.87</v>
      </c>
      <c r="F48" s="84">
        <f>SUM(E48*2/1000)</f>
        <v>3.9937399999999998</v>
      </c>
      <c r="G48" s="13">
        <v>619.46</v>
      </c>
      <c r="H48" s="85">
        <f t="shared" si="4"/>
        <v>2.4739621804</v>
      </c>
      <c r="I48" s="13">
        <v>0</v>
      </c>
      <c r="J48" s="24"/>
      <c r="L48" s="20"/>
      <c r="M48" s="21"/>
      <c r="N48" s="22"/>
    </row>
    <row r="49" spans="1:22" ht="15.75" hidden="1" customHeight="1">
      <c r="A49" s="30"/>
      <c r="B49" s="82" t="s">
        <v>39</v>
      </c>
      <c r="C49" s="83" t="s">
        <v>125</v>
      </c>
      <c r="D49" s="82" t="s">
        <v>44</v>
      </c>
      <c r="E49" s="56">
        <v>2630.35</v>
      </c>
      <c r="F49" s="84">
        <f>SUM(E49*2/1000)</f>
        <v>5.2606999999999999</v>
      </c>
      <c r="G49" s="13">
        <v>648.64</v>
      </c>
      <c r="H49" s="85">
        <f t="shared" si="4"/>
        <v>3.4123004479999999</v>
      </c>
      <c r="I49" s="13">
        <v>0</v>
      </c>
      <c r="J49" s="24"/>
      <c r="L49" s="20"/>
      <c r="M49" s="21"/>
      <c r="N49" s="22"/>
    </row>
    <row r="50" spans="1:22" ht="15.75" hidden="1" customHeight="1">
      <c r="A50" s="30"/>
      <c r="B50" s="82" t="s">
        <v>35</v>
      </c>
      <c r="C50" s="83" t="s">
        <v>36</v>
      </c>
      <c r="D50" s="82" t="s">
        <v>44</v>
      </c>
      <c r="E50" s="56">
        <v>131.47</v>
      </c>
      <c r="F50" s="84">
        <f>SUM(E50*2/100)</f>
        <v>2.6294</v>
      </c>
      <c r="G50" s="13">
        <v>77.84</v>
      </c>
      <c r="H50" s="85">
        <f t="shared" si="4"/>
        <v>0.20467249599999998</v>
      </c>
      <c r="I50" s="13">
        <v>0</v>
      </c>
      <c r="J50" s="24"/>
      <c r="L50" s="20"/>
      <c r="M50" s="21"/>
      <c r="N50" s="22"/>
    </row>
    <row r="51" spans="1:22" ht="15.75" hidden="1" customHeight="1">
      <c r="A51" s="30">
        <v>14</v>
      </c>
      <c r="B51" s="82" t="s">
        <v>61</v>
      </c>
      <c r="C51" s="83" t="s">
        <v>125</v>
      </c>
      <c r="D51" s="82" t="s">
        <v>183</v>
      </c>
      <c r="E51" s="56">
        <v>2872.4</v>
      </c>
      <c r="F51" s="84">
        <f>SUM(E51*5/1000)</f>
        <v>14.362</v>
      </c>
      <c r="G51" s="13">
        <v>1297.28</v>
      </c>
      <c r="H51" s="85">
        <f t="shared" si="4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22" ht="31.5" hidden="1" customHeight="1">
      <c r="A52" s="30"/>
      <c r="B52" s="82" t="s">
        <v>134</v>
      </c>
      <c r="C52" s="83" t="s">
        <v>125</v>
      </c>
      <c r="D52" s="82" t="s">
        <v>44</v>
      </c>
      <c r="E52" s="56">
        <v>2872.4</v>
      </c>
      <c r="F52" s="84">
        <f>SUM(E52*2/1000)</f>
        <v>5.7448000000000006</v>
      </c>
      <c r="G52" s="13">
        <v>1297.28</v>
      </c>
      <c r="H52" s="85">
        <f t="shared" si="4"/>
        <v>7.4526141440000009</v>
      </c>
      <c r="I52" s="13">
        <v>0</v>
      </c>
      <c r="J52" s="24"/>
      <c r="L52" s="20"/>
      <c r="M52" s="21"/>
      <c r="N52" s="22"/>
    </row>
    <row r="53" spans="1:22" ht="31.5" hidden="1" customHeight="1">
      <c r="A53" s="30"/>
      <c r="B53" s="82" t="s">
        <v>135</v>
      </c>
      <c r="C53" s="83" t="s">
        <v>40</v>
      </c>
      <c r="D53" s="82" t="s">
        <v>44</v>
      </c>
      <c r="E53" s="56">
        <v>40</v>
      </c>
      <c r="F53" s="84">
        <f>SUM(E53*2/100)</f>
        <v>0.8</v>
      </c>
      <c r="G53" s="13">
        <v>2918.89</v>
      </c>
      <c r="H53" s="85">
        <f t="shared" si="4"/>
        <v>2.3351120000000001</v>
      </c>
      <c r="I53" s="13">
        <v>0</v>
      </c>
      <c r="J53" s="24"/>
      <c r="L53" s="20"/>
      <c r="M53" s="21"/>
      <c r="N53" s="22"/>
    </row>
    <row r="54" spans="1:22" ht="15.75" hidden="1" customHeight="1">
      <c r="A54" s="30"/>
      <c r="B54" s="82" t="s">
        <v>41</v>
      </c>
      <c r="C54" s="83" t="s">
        <v>42</v>
      </c>
      <c r="D54" s="82" t="s">
        <v>44</v>
      </c>
      <c r="E54" s="56">
        <v>1</v>
      </c>
      <c r="F54" s="84">
        <v>0.02</v>
      </c>
      <c r="G54" s="13">
        <v>6042.12</v>
      </c>
      <c r="H54" s="85">
        <f t="shared" si="4"/>
        <v>0.1208424</v>
      </c>
      <c r="I54" s="13">
        <v>0</v>
      </c>
      <c r="J54" s="24"/>
      <c r="L54" s="20"/>
      <c r="M54" s="21"/>
      <c r="N54" s="22"/>
    </row>
    <row r="55" spans="1:22" ht="15.75" hidden="1" customHeight="1">
      <c r="A55" s="30">
        <v>15</v>
      </c>
      <c r="B55" s="82" t="s">
        <v>43</v>
      </c>
      <c r="C55" s="83" t="s">
        <v>31</v>
      </c>
      <c r="D55" s="82" t="s">
        <v>76</v>
      </c>
      <c r="E55" s="56">
        <v>160</v>
      </c>
      <c r="F55" s="84">
        <f>SUM(E55)*3</f>
        <v>480</v>
      </c>
      <c r="G55" s="13">
        <v>70.209999999999994</v>
      </c>
      <c r="H55" s="85">
        <f t="shared" si="4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22" ht="15.75" customHeight="1">
      <c r="A56" s="131" t="s">
        <v>186</v>
      </c>
      <c r="B56" s="132"/>
      <c r="C56" s="132"/>
      <c r="D56" s="132"/>
      <c r="E56" s="132"/>
      <c r="F56" s="132"/>
      <c r="G56" s="132"/>
      <c r="H56" s="132"/>
      <c r="I56" s="133"/>
      <c r="J56" s="24"/>
      <c r="L56" s="20"/>
      <c r="M56" s="21"/>
      <c r="N56" s="22"/>
    </row>
    <row r="57" spans="1:22" ht="15.75" hidden="1" customHeight="1">
      <c r="A57" s="30"/>
      <c r="B57" s="106" t="s">
        <v>45</v>
      </c>
      <c r="C57" s="83"/>
      <c r="D57" s="82"/>
      <c r="E57" s="56"/>
      <c r="F57" s="84"/>
      <c r="G57" s="84"/>
      <c r="H57" s="85"/>
      <c r="I57" s="13"/>
      <c r="J57" s="24"/>
      <c r="L57" s="20"/>
      <c r="M57" s="21"/>
      <c r="N57" s="22"/>
    </row>
    <row r="58" spans="1:22" ht="31.5" hidden="1" customHeight="1">
      <c r="A58" s="30">
        <v>16</v>
      </c>
      <c r="B58" s="82" t="s">
        <v>137</v>
      </c>
      <c r="C58" s="83" t="s">
        <v>116</v>
      </c>
      <c r="D58" s="82" t="s">
        <v>77</v>
      </c>
      <c r="E58" s="56">
        <v>239.59</v>
      </c>
      <c r="F58" s="84">
        <f>E58*6/100</f>
        <v>14.375399999999999</v>
      </c>
      <c r="G58" s="91">
        <v>1654.04</v>
      </c>
      <c r="H58" s="85">
        <f>F58*G58/1000</f>
        <v>23.777486615999997</v>
      </c>
      <c r="I58" s="13">
        <f>F58/6*G58</f>
        <v>3962.9144359999996</v>
      </c>
      <c r="J58" s="24"/>
      <c r="L58" s="20"/>
      <c r="M58" s="21"/>
      <c r="N58" s="22"/>
    </row>
    <row r="59" spans="1:22" ht="15.75" customHeight="1">
      <c r="A59" s="30"/>
      <c r="B59" s="107" t="s">
        <v>46</v>
      </c>
      <c r="C59" s="92"/>
      <c r="D59" s="93"/>
      <c r="E59" s="94"/>
      <c r="F59" s="96"/>
      <c r="G59" s="13"/>
      <c r="H59" s="98"/>
      <c r="I59" s="13"/>
      <c r="J59" s="24"/>
      <c r="L59" s="20"/>
      <c r="M59" s="21"/>
      <c r="N59" s="22"/>
    </row>
    <row r="60" spans="1:22" ht="15.75" hidden="1" customHeight="1">
      <c r="A60" s="30"/>
      <c r="B60" s="93" t="s">
        <v>47</v>
      </c>
      <c r="C60" s="92" t="s">
        <v>56</v>
      </c>
      <c r="D60" s="93" t="s">
        <v>57</v>
      </c>
      <c r="E60" s="94">
        <v>2686</v>
      </c>
      <c r="F60" s="96">
        <f>E60/100</f>
        <v>26.86</v>
      </c>
      <c r="G60" s="13">
        <v>848.37</v>
      </c>
      <c r="H60" s="98">
        <f>G60*F60/1000</f>
        <v>22.787218199999998</v>
      </c>
      <c r="I60" s="13">
        <v>0</v>
      </c>
      <c r="J60" s="24"/>
      <c r="L60" s="20"/>
    </row>
    <row r="61" spans="1:22" ht="15.75" customHeight="1">
      <c r="A61" s="30">
        <v>12</v>
      </c>
      <c r="B61" s="93" t="s">
        <v>105</v>
      </c>
      <c r="C61" s="92" t="s">
        <v>25</v>
      </c>
      <c r="D61" s="93" t="s">
        <v>30</v>
      </c>
      <c r="E61" s="94">
        <v>343</v>
      </c>
      <c r="F61" s="96">
        <v>4116</v>
      </c>
      <c r="G61" s="13">
        <v>2.6</v>
      </c>
      <c r="H61" s="98">
        <f>F61*G61</f>
        <v>10701.6</v>
      </c>
      <c r="I61" s="13">
        <f>F61/12*G61</f>
        <v>891.80000000000007</v>
      </c>
    </row>
    <row r="62" spans="1:22" ht="15.75" hidden="1" customHeight="1">
      <c r="A62" s="30"/>
      <c r="B62" s="107" t="s">
        <v>149</v>
      </c>
      <c r="C62" s="92"/>
      <c r="D62" s="93"/>
      <c r="E62" s="94"/>
      <c r="F62" s="96"/>
      <c r="G62" s="13"/>
      <c r="H62" s="98"/>
      <c r="I62" s="13"/>
    </row>
    <row r="63" spans="1:22" ht="15.75" hidden="1" customHeight="1">
      <c r="A63" s="30"/>
      <c r="B63" s="93" t="s">
        <v>150</v>
      </c>
      <c r="C63" s="92" t="s">
        <v>31</v>
      </c>
      <c r="D63" s="93" t="s">
        <v>72</v>
      </c>
      <c r="E63" s="94">
        <v>3</v>
      </c>
      <c r="F63" s="95">
        <v>3</v>
      </c>
      <c r="G63" s="97">
        <v>254.16</v>
      </c>
      <c r="H63" s="96">
        <v>0.76200000000000001</v>
      </c>
      <c r="I63" s="13">
        <v>0</v>
      </c>
    </row>
    <row r="64" spans="1:22" ht="15.75" hidden="1" customHeight="1">
      <c r="A64" s="30"/>
      <c r="B64" s="107" t="s">
        <v>48</v>
      </c>
      <c r="C64" s="92"/>
      <c r="D64" s="93"/>
      <c r="E64" s="94"/>
      <c r="F64" s="95"/>
      <c r="G64" s="95"/>
      <c r="H64" s="96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0">
        <v>13</v>
      </c>
      <c r="B65" s="14" t="s">
        <v>49</v>
      </c>
      <c r="C65" s="16" t="s">
        <v>136</v>
      </c>
      <c r="D65" s="93" t="s">
        <v>72</v>
      </c>
      <c r="E65" s="19">
        <v>15</v>
      </c>
      <c r="F65" s="84">
        <v>15</v>
      </c>
      <c r="G65" s="13">
        <v>237.74</v>
      </c>
      <c r="H65" s="99">
        <f t="shared" ref="H65:H78" si="5">SUM(F65*G65/1000)</f>
        <v>3.5661000000000005</v>
      </c>
      <c r="I65" s="13">
        <f>G65*3</f>
        <v>713.22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14" t="s">
        <v>50</v>
      </c>
      <c r="C66" s="16" t="s">
        <v>136</v>
      </c>
      <c r="D66" s="93" t="s">
        <v>72</v>
      </c>
      <c r="E66" s="19">
        <v>5</v>
      </c>
      <c r="F66" s="84">
        <v>5</v>
      </c>
      <c r="G66" s="13">
        <v>81.510000000000005</v>
      </c>
      <c r="H66" s="99">
        <f t="shared" si="5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14" t="s">
        <v>51</v>
      </c>
      <c r="C67" s="16" t="s">
        <v>138</v>
      </c>
      <c r="D67" s="14" t="s">
        <v>57</v>
      </c>
      <c r="E67" s="56">
        <v>24123</v>
      </c>
      <c r="F67" s="13">
        <f>SUM(E67/100)</f>
        <v>241.23</v>
      </c>
      <c r="G67" s="13">
        <v>226.79</v>
      </c>
      <c r="H67" s="99">
        <f t="shared" si="5"/>
        <v>54.708551699999994</v>
      </c>
      <c r="I67" s="13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127"/>
      <c r="S67" s="127"/>
      <c r="T67" s="127"/>
      <c r="U67" s="127"/>
    </row>
    <row r="68" spans="1:21" ht="15.75" hidden="1" customHeight="1">
      <c r="A68" s="30"/>
      <c r="B68" s="14" t="s">
        <v>52</v>
      </c>
      <c r="C68" s="16" t="s">
        <v>139</v>
      </c>
      <c r="D68" s="14"/>
      <c r="E68" s="56">
        <v>24123</v>
      </c>
      <c r="F68" s="13">
        <f>SUM(E68/1000)</f>
        <v>24.123000000000001</v>
      </c>
      <c r="G68" s="13">
        <v>176.61</v>
      </c>
      <c r="H68" s="99">
        <f t="shared" si="5"/>
        <v>4.2603630300000006</v>
      </c>
      <c r="I68" s="13">
        <f t="shared" ref="I68:I72" si="6">F68*G68</f>
        <v>4260.3630300000004</v>
      </c>
    </row>
    <row r="69" spans="1:21" ht="15.75" hidden="1" customHeight="1">
      <c r="A69" s="30"/>
      <c r="B69" s="14" t="s">
        <v>53</v>
      </c>
      <c r="C69" s="16" t="s">
        <v>82</v>
      </c>
      <c r="D69" s="14" t="s">
        <v>57</v>
      </c>
      <c r="E69" s="56">
        <v>2730</v>
      </c>
      <c r="F69" s="13">
        <f>SUM(E69/100)</f>
        <v>27.3</v>
      </c>
      <c r="G69" s="13">
        <v>2217.7800000000002</v>
      </c>
      <c r="H69" s="99">
        <f t="shared" si="5"/>
        <v>60.545394000000009</v>
      </c>
      <c r="I69" s="13">
        <f t="shared" si="6"/>
        <v>60545.394000000008</v>
      </c>
    </row>
    <row r="70" spans="1:21" ht="15.75" hidden="1" customHeight="1">
      <c r="A70" s="30"/>
      <c r="B70" s="100" t="s">
        <v>140</v>
      </c>
      <c r="C70" s="16" t="s">
        <v>34</v>
      </c>
      <c r="D70" s="14"/>
      <c r="E70" s="56">
        <v>23</v>
      </c>
      <c r="F70" s="13">
        <f>SUM(E70)</f>
        <v>23</v>
      </c>
      <c r="G70" s="13">
        <v>42.67</v>
      </c>
      <c r="H70" s="99">
        <f t="shared" si="5"/>
        <v>0.98141000000000012</v>
      </c>
      <c r="I70" s="13">
        <f t="shared" si="6"/>
        <v>981.41000000000008</v>
      </c>
    </row>
    <row r="71" spans="1:21" ht="15.75" hidden="1" customHeight="1">
      <c r="A71" s="30"/>
      <c r="B71" s="100" t="s">
        <v>141</v>
      </c>
      <c r="C71" s="16" t="s">
        <v>34</v>
      </c>
      <c r="D71" s="14"/>
      <c r="E71" s="56">
        <v>23</v>
      </c>
      <c r="F71" s="13">
        <f>SUM(E71)</f>
        <v>23</v>
      </c>
      <c r="G71" s="13">
        <v>39.81</v>
      </c>
      <c r="H71" s="99">
        <f t="shared" si="5"/>
        <v>0.91563000000000005</v>
      </c>
      <c r="I71" s="13">
        <f t="shared" si="6"/>
        <v>915.63000000000011</v>
      </c>
    </row>
    <row r="72" spans="1:21" ht="15.75" hidden="1" customHeight="1">
      <c r="A72" s="30"/>
      <c r="B72" s="14" t="s">
        <v>62</v>
      </c>
      <c r="C72" s="16" t="s">
        <v>63</v>
      </c>
      <c r="D72" s="14" t="s">
        <v>57</v>
      </c>
      <c r="E72" s="19">
        <v>10</v>
      </c>
      <c r="F72" s="84">
        <f>SUM(E72)</f>
        <v>10</v>
      </c>
      <c r="G72" s="13">
        <v>53.32</v>
      </c>
      <c r="H72" s="99">
        <f t="shared" si="5"/>
        <v>0.53320000000000001</v>
      </c>
      <c r="I72" s="13">
        <f t="shared" si="6"/>
        <v>533.20000000000005</v>
      </c>
    </row>
    <row r="73" spans="1:21" ht="15.75" hidden="1" customHeight="1">
      <c r="A73" s="30"/>
      <c r="B73" s="64" t="s">
        <v>78</v>
      </c>
      <c r="C73" s="16"/>
      <c r="D73" s="14"/>
      <c r="E73" s="19"/>
      <c r="F73" s="13"/>
      <c r="G73" s="13"/>
      <c r="H73" s="99" t="s">
        <v>144</v>
      </c>
      <c r="I73" s="13"/>
    </row>
    <row r="74" spans="1:21" ht="15.75" hidden="1" customHeight="1">
      <c r="A74" s="30"/>
      <c r="B74" s="14" t="s">
        <v>79</v>
      </c>
      <c r="C74" s="16" t="s">
        <v>32</v>
      </c>
      <c r="D74" s="14"/>
      <c r="E74" s="19">
        <v>2</v>
      </c>
      <c r="F74" s="75">
        <v>0.2</v>
      </c>
      <c r="G74" s="13">
        <v>536.23</v>
      </c>
      <c r="H74" s="99">
        <v>0.251</v>
      </c>
      <c r="I74" s="13">
        <v>0</v>
      </c>
    </row>
    <row r="75" spans="1:21" ht="15.75" hidden="1" customHeight="1">
      <c r="A75" s="30"/>
      <c r="B75" s="14" t="s">
        <v>95</v>
      </c>
      <c r="C75" s="16" t="s">
        <v>31</v>
      </c>
      <c r="D75" s="14"/>
      <c r="E75" s="19">
        <v>1</v>
      </c>
      <c r="F75" s="84">
        <f>SUM(E75)</f>
        <v>1</v>
      </c>
      <c r="G75" s="13">
        <v>383.25</v>
      </c>
      <c r="H75" s="99">
        <f t="shared" si="5"/>
        <v>0.38324999999999998</v>
      </c>
      <c r="I75" s="13">
        <v>0</v>
      </c>
    </row>
    <row r="76" spans="1:21" ht="15.75" hidden="1" customHeight="1">
      <c r="A76" s="30"/>
      <c r="B76" s="14" t="s">
        <v>80</v>
      </c>
      <c r="C76" s="16" t="s">
        <v>31</v>
      </c>
      <c r="D76" s="14"/>
      <c r="E76" s="19">
        <v>2</v>
      </c>
      <c r="F76" s="13">
        <v>2</v>
      </c>
      <c r="G76" s="13">
        <v>911.85</v>
      </c>
      <c r="H76" s="99">
        <f>F76*G76/1000</f>
        <v>1.8237000000000001</v>
      </c>
      <c r="I76" s="13">
        <v>0</v>
      </c>
    </row>
    <row r="77" spans="1:21" ht="15.75" hidden="1" customHeight="1">
      <c r="A77" s="30"/>
      <c r="B77" s="101" t="s">
        <v>81</v>
      </c>
      <c r="C77" s="16"/>
      <c r="D77" s="14"/>
      <c r="E77" s="19"/>
      <c r="F77" s="13"/>
      <c r="G77" s="13" t="s">
        <v>144</v>
      </c>
      <c r="H77" s="99" t="s">
        <v>144</v>
      </c>
      <c r="I77" s="13"/>
    </row>
    <row r="78" spans="1:21" ht="15.75" hidden="1" customHeight="1">
      <c r="A78" s="30"/>
      <c r="B78" s="49" t="s">
        <v>145</v>
      </c>
      <c r="C78" s="16" t="s">
        <v>82</v>
      </c>
      <c r="D78" s="14"/>
      <c r="E78" s="19"/>
      <c r="F78" s="13">
        <v>1.35</v>
      </c>
      <c r="G78" s="13">
        <v>2949.85</v>
      </c>
      <c r="H78" s="99">
        <f t="shared" si="5"/>
        <v>3.9822975</v>
      </c>
      <c r="I78" s="13">
        <v>0</v>
      </c>
    </row>
    <row r="79" spans="1:21" ht="15.75" hidden="1" customHeight="1">
      <c r="A79" s="30"/>
      <c r="B79" s="87" t="s">
        <v>142</v>
      </c>
      <c r="C79" s="101"/>
      <c r="D79" s="32"/>
      <c r="E79" s="33"/>
      <c r="F79" s="88"/>
      <c r="G79" s="88"/>
      <c r="H79" s="102">
        <f>SUM(H58:H78)</f>
        <v>10881.285151046004</v>
      </c>
      <c r="I79" s="88"/>
    </row>
    <row r="80" spans="1:21" ht="15.75" hidden="1" customHeight="1">
      <c r="A80" s="30">
        <v>13</v>
      </c>
      <c r="B80" s="82" t="s">
        <v>143</v>
      </c>
      <c r="C80" s="16"/>
      <c r="D80" s="14"/>
      <c r="E80" s="76"/>
      <c r="F80" s="13">
        <v>1</v>
      </c>
      <c r="G80" s="39">
        <v>21010.2</v>
      </c>
      <c r="H80" s="99">
        <f>G80*F80/1000</f>
        <v>21.010200000000001</v>
      </c>
      <c r="I80" s="13">
        <f>G80</f>
        <v>21010.2</v>
      </c>
    </row>
    <row r="81" spans="1:9" ht="15.75" customHeight="1">
      <c r="A81" s="140" t="s">
        <v>187</v>
      </c>
      <c r="B81" s="141"/>
      <c r="C81" s="141"/>
      <c r="D81" s="141"/>
      <c r="E81" s="141"/>
      <c r="F81" s="141"/>
      <c r="G81" s="141"/>
      <c r="H81" s="141"/>
      <c r="I81" s="142"/>
    </row>
    <row r="82" spans="1:9" ht="15.75" customHeight="1">
      <c r="A82" s="30">
        <v>13</v>
      </c>
      <c r="B82" s="82" t="s">
        <v>146</v>
      </c>
      <c r="C82" s="16" t="s">
        <v>59</v>
      </c>
      <c r="D82" s="103" t="s">
        <v>60</v>
      </c>
      <c r="E82" s="13">
        <v>4591.2</v>
      </c>
      <c r="F82" s="13">
        <f>SUM(E82*12)</f>
        <v>55094.399999999994</v>
      </c>
      <c r="G82" s="13">
        <v>2.54</v>
      </c>
      <c r="H82" s="99">
        <f>SUM(F82*G82/1000)</f>
        <v>139.93977599999999</v>
      </c>
      <c r="I82" s="13">
        <f>F82/12*G82</f>
        <v>11661.647999999999</v>
      </c>
    </row>
    <row r="83" spans="1:9" ht="31.5" customHeight="1">
      <c r="A83" s="30">
        <v>14</v>
      </c>
      <c r="B83" s="14" t="s">
        <v>83</v>
      </c>
      <c r="C83" s="16"/>
      <c r="D83" s="103" t="s">
        <v>60</v>
      </c>
      <c r="E83" s="56">
        <f>E82</f>
        <v>4591.2</v>
      </c>
      <c r="F83" s="13">
        <f>E83*12</f>
        <v>55094.399999999994</v>
      </c>
      <c r="G83" s="13">
        <v>2.0499999999999998</v>
      </c>
      <c r="H83" s="99">
        <f>F83*G83/1000</f>
        <v>112.94351999999998</v>
      </c>
      <c r="I83" s="13">
        <f>F83/12*G83</f>
        <v>9411.9599999999991</v>
      </c>
    </row>
    <row r="84" spans="1:9" ht="15.75" customHeight="1">
      <c r="A84" s="50"/>
      <c r="B84" s="40" t="s">
        <v>86</v>
      </c>
      <c r="C84" s="42"/>
      <c r="D84" s="15"/>
      <c r="E84" s="15"/>
      <c r="F84" s="15"/>
      <c r="G84" s="19"/>
      <c r="H84" s="19"/>
      <c r="I84" s="33">
        <f>SUM(I16+I17+I18+I20+I21+I26+I27+I30+I31+I33+I34+I61+I82+I83)</f>
        <v>73251.635660200001</v>
      </c>
    </row>
    <row r="85" spans="1:9" ht="15.75" customHeight="1">
      <c r="A85" s="137" t="s">
        <v>65</v>
      </c>
      <c r="B85" s="138"/>
      <c r="C85" s="138"/>
      <c r="D85" s="138"/>
      <c r="E85" s="138"/>
      <c r="F85" s="138"/>
      <c r="G85" s="138"/>
      <c r="H85" s="138"/>
      <c r="I85" s="139"/>
    </row>
    <row r="86" spans="1:9" ht="31.5" customHeight="1">
      <c r="A86" s="30">
        <v>15</v>
      </c>
      <c r="B86" s="53" t="s">
        <v>175</v>
      </c>
      <c r="C86" s="58" t="s">
        <v>40</v>
      </c>
      <c r="D86" s="49"/>
      <c r="E86" s="13"/>
      <c r="F86" s="13">
        <v>0.06</v>
      </c>
      <c r="G86" s="13">
        <v>3581.13</v>
      </c>
      <c r="H86" s="99">
        <f t="shared" ref="H86" si="7">G86*F86/1000</f>
        <v>0.2148678</v>
      </c>
      <c r="I86" s="13">
        <f>G86*0.01</f>
        <v>35.811300000000003</v>
      </c>
    </row>
    <row r="87" spans="1:9" ht="31.5" customHeight="1">
      <c r="A87" s="30">
        <v>16</v>
      </c>
      <c r="B87" s="53" t="s">
        <v>88</v>
      </c>
      <c r="C87" s="58" t="s">
        <v>136</v>
      </c>
      <c r="D87" s="49"/>
      <c r="E87" s="13"/>
      <c r="F87" s="13">
        <v>1</v>
      </c>
      <c r="G87" s="13">
        <v>189.88</v>
      </c>
      <c r="H87" s="99">
        <f>G87*F87/1000</f>
        <v>0.18987999999999999</v>
      </c>
      <c r="I87" s="13">
        <f>G87</f>
        <v>189.88</v>
      </c>
    </row>
    <row r="88" spans="1:9" ht="15.75" customHeight="1">
      <c r="A88" s="30">
        <v>17</v>
      </c>
      <c r="B88" s="53" t="s">
        <v>230</v>
      </c>
      <c r="C88" s="58" t="s">
        <v>136</v>
      </c>
      <c r="D88" s="49"/>
      <c r="E88" s="13"/>
      <c r="F88" s="13">
        <v>1</v>
      </c>
      <c r="G88" s="13">
        <v>510.84</v>
      </c>
      <c r="H88" s="99">
        <f t="shared" ref="H88" si="8">G88*F88/1000</f>
        <v>0.51083999999999996</v>
      </c>
      <c r="I88" s="13">
        <f>G88</f>
        <v>510.84</v>
      </c>
    </row>
    <row r="89" spans="1:9" ht="15.75" customHeight="1">
      <c r="A89" s="30"/>
      <c r="B89" s="47" t="s">
        <v>54</v>
      </c>
      <c r="C89" s="43"/>
      <c r="D89" s="51"/>
      <c r="E89" s="43">
        <v>1</v>
      </c>
      <c r="F89" s="43"/>
      <c r="G89" s="43"/>
      <c r="H89" s="43"/>
      <c r="I89" s="33">
        <f>SUM(I86:I88)</f>
        <v>736.53129999999999</v>
      </c>
    </row>
    <row r="90" spans="1:9" ht="15.75" customHeight="1">
      <c r="A90" s="30"/>
      <c r="B90" s="49" t="s">
        <v>84</v>
      </c>
      <c r="C90" s="15"/>
      <c r="D90" s="15"/>
      <c r="E90" s="44"/>
      <c r="F90" s="44"/>
      <c r="G90" s="45"/>
      <c r="H90" s="45"/>
      <c r="I90" s="18">
        <v>0</v>
      </c>
    </row>
    <row r="91" spans="1:9" ht="15.75" customHeight="1">
      <c r="A91" s="52"/>
      <c r="B91" s="48" t="s">
        <v>203</v>
      </c>
      <c r="C91" s="36"/>
      <c r="D91" s="36"/>
      <c r="E91" s="36"/>
      <c r="F91" s="36"/>
      <c r="G91" s="36"/>
      <c r="H91" s="36"/>
      <c r="I91" s="46">
        <f>I84+I89</f>
        <v>73988.166960200004</v>
      </c>
    </row>
    <row r="92" spans="1:9" ht="15.75" customHeight="1">
      <c r="A92" s="134" t="s">
        <v>244</v>
      </c>
      <c r="B92" s="134"/>
      <c r="C92" s="134"/>
      <c r="D92" s="134"/>
      <c r="E92" s="134"/>
      <c r="F92" s="134"/>
      <c r="G92" s="134"/>
      <c r="H92" s="134"/>
      <c r="I92" s="134"/>
    </row>
    <row r="93" spans="1:9" ht="15.75" customHeight="1">
      <c r="A93" s="65"/>
      <c r="B93" s="135" t="s">
        <v>245</v>
      </c>
      <c r="C93" s="135"/>
      <c r="D93" s="135"/>
      <c r="E93" s="135"/>
      <c r="F93" s="135"/>
      <c r="G93" s="135"/>
      <c r="H93" s="80"/>
      <c r="I93" s="3"/>
    </row>
    <row r="94" spans="1:9" ht="15.75" customHeight="1">
      <c r="A94" s="59"/>
      <c r="B94" s="125" t="s">
        <v>6</v>
      </c>
      <c r="C94" s="125"/>
      <c r="D94" s="125"/>
      <c r="E94" s="125"/>
      <c r="F94" s="125"/>
      <c r="G94" s="125"/>
      <c r="H94" s="25"/>
      <c r="I94" s="5"/>
    </row>
    <row r="95" spans="1:9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 customHeight="1">
      <c r="A96" s="136" t="s">
        <v>7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>
      <c r="A97" s="136" t="s">
        <v>8</v>
      </c>
      <c r="B97" s="136"/>
      <c r="C97" s="136"/>
      <c r="D97" s="136"/>
      <c r="E97" s="136"/>
      <c r="F97" s="136"/>
      <c r="G97" s="136"/>
      <c r="H97" s="136"/>
      <c r="I97" s="136"/>
    </row>
    <row r="98" spans="1:9" ht="15.75" customHeight="1">
      <c r="A98" s="129" t="s">
        <v>66</v>
      </c>
      <c r="B98" s="129"/>
      <c r="C98" s="129"/>
      <c r="D98" s="129"/>
      <c r="E98" s="129"/>
      <c r="F98" s="129"/>
      <c r="G98" s="129"/>
      <c r="H98" s="129"/>
      <c r="I98" s="129"/>
    </row>
    <row r="99" spans="1:9" ht="15.75" customHeight="1">
      <c r="A99" s="11"/>
    </row>
    <row r="100" spans="1:9" ht="15.75" customHeight="1">
      <c r="A100" s="123" t="s">
        <v>9</v>
      </c>
      <c r="B100" s="123"/>
      <c r="C100" s="123"/>
      <c r="D100" s="123"/>
      <c r="E100" s="123"/>
      <c r="F100" s="123"/>
      <c r="G100" s="123"/>
      <c r="H100" s="123"/>
      <c r="I100" s="123"/>
    </row>
    <row r="101" spans="1:9" ht="15.75" customHeight="1">
      <c r="A101" s="4"/>
    </row>
    <row r="102" spans="1:9" ht="15.75" customHeight="1">
      <c r="B102" s="62" t="s">
        <v>10</v>
      </c>
      <c r="C102" s="124" t="s">
        <v>97</v>
      </c>
      <c r="D102" s="124"/>
      <c r="E102" s="124"/>
      <c r="F102" s="78"/>
      <c r="I102" s="61"/>
    </row>
    <row r="103" spans="1:9" ht="15.75" customHeight="1">
      <c r="A103" s="59"/>
      <c r="C103" s="125" t="s">
        <v>11</v>
      </c>
      <c r="D103" s="125"/>
      <c r="E103" s="125"/>
      <c r="F103" s="25"/>
      <c r="I103" s="60" t="s">
        <v>12</v>
      </c>
    </row>
    <row r="104" spans="1:9" ht="15.75" customHeight="1">
      <c r="A104" s="26"/>
      <c r="C104" s="12"/>
      <c r="D104" s="12"/>
      <c r="G104" s="12"/>
      <c r="H104" s="12"/>
    </row>
    <row r="105" spans="1:9" ht="15.75" customHeight="1">
      <c r="B105" s="62" t="s">
        <v>13</v>
      </c>
      <c r="C105" s="126"/>
      <c r="D105" s="126"/>
      <c r="E105" s="126"/>
      <c r="F105" s="79"/>
      <c r="I105" s="61"/>
    </row>
    <row r="106" spans="1:9" ht="15.75" customHeight="1">
      <c r="A106" s="59"/>
      <c r="C106" s="127" t="s">
        <v>11</v>
      </c>
      <c r="D106" s="127"/>
      <c r="E106" s="127"/>
      <c r="F106" s="59"/>
      <c r="I106" s="60" t="s">
        <v>12</v>
      </c>
    </row>
    <row r="107" spans="1:9" ht="15.75" customHeight="1">
      <c r="A107" s="4" t="s">
        <v>14</v>
      </c>
    </row>
    <row r="108" spans="1:9" ht="15.75" customHeight="1">
      <c r="A108" s="128" t="s">
        <v>15</v>
      </c>
      <c r="B108" s="128"/>
      <c r="C108" s="128"/>
      <c r="D108" s="128"/>
      <c r="E108" s="128"/>
      <c r="F108" s="128"/>
      <c r="G108" s="128"/>
      <c r="H108" s="128"/>
      <c r="I108" s="128"/>
    </row>
    <row r="109" spans="1:9" ht="45" customHeight="1">
      <c r="A109" s="122" t="s">
        <v>16</v>
      </c>
      <c r="B109" s="122"/>
      <c r="C109" s="122"/>
      <c r="D109" s="122"/>
      <c r="E109" s="122"/>
      <c r="F109" s="122"/>
      <c r="G109" s="122"/>
      <c r="H109" s="122"/>
      <c r="I109" s="122"/>
    </row>
    <row r="110" spans="1:9" ht="30" customHeight="1">
      <c r="A110" s="122" t="s">
        <v>17</v>
      </c>
      <c r="B110" s="122"/>
      <c r="C110" s="122"/>
      <c r="D110" s="122"/>
      <c r="E110" s="122"/>
      <c r="F110" s="122"/>
      <c r="G110" s="122"/>
      <c r="H110" s="122"/>
      <c r="I110" s="122"/>
    </row>
    <row r="111" spans="1:9" ht="30" customHeight="1">
      <c r="A111" s="122" t="s">
        <v>21</v>
      </c>
      <c r="B111" s="122"/>
      <c r="C111" s="122"/>
      <c r="D111" s="122"/>
      <c r="E111" s="122"/>
      <c r="F111" s="122"/>
      <c r="G111" s="122"/>
      <c r="H111" s="122"/>
      <c r="I111" s="122"/>
    </row>
    <row r="112" spans="1:9" ht="15" customHeight="1">
      <c r="A112" s="122" t="s">
        <v>20</v>
      </c>
      <c r="B112" s="122"/>
      <c r="C112" s="122"/>
      <c r="D112" s="122"/>
      <c r="E112" s="122"/>
      <c r="F112" s="122"/>
      <c r="G112" s="122"/>
      <c r="H112" s="122"/>
      <c r="I112" s="122"/>
    </row>
  </sheetData>
  <autoFilter ref="I12:I62"/>
  <mergeCells count="29">
    <mergeCell ref="R67:U67"/>
    <mergeCell ref="A81:I81"/>
    <mergeCell ref="A3:I3"/>
    <mergeCell ref="A4:I4"/>
    <mergeCell ref="A5:I5"/>
    <mergeCell ref="A8:I8"/>
    <mergeCell ref="A10:I10"/>
    <mergeCell ref="A14:I14"/>
    <mergeCell ref="A98:I98"/>
    <mergeCell ref="A15:I15"/>
    <mergeCell ref="A28:I28"/>
    <mergeCell ref="A45:I45"/>
    <mergeCell ref="A56:I56"/>
    <mergeCell ref="A92:I92"/>
    <mergeCell ref="B93:G93"/>
    <mergeCell ref="B94:G94"/>
    <mergeCell ref="A96:I96"/>
    <mergeCell ref="A97:I97"/>
    <mergeCell ref="A85:I85"/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92</v>
      </c>
      <c r="I1" s="27"/>
      <c r="J1" s="1"/>
      <c r="K1" s="1"/>
      <c r="L1" s="1"/>
      <c r="M1" s="1"/>
    </row>
    <row r="2" spans="1:13" ht="15.75" customHeight="1">
      <c r="A2" s="29" t="s">
        <v>67</v>
      </c>
      <c r="J2" s="2"/>
      <c r="K2" s="2"/>
      <c r="L2" s="2"/>
      <c r="M2" s="2"/>
    </row>
    <row r="3" spans="1:13" ht="15.75" customHeight="1">
      <c r="A3" s="143" t="s">
        <v>192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147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231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 customHeight="1">
      <c r="A6" s="2"/>
      <c r="B6" s="63"/>
      <c r="C6" s="63"/>
      <c r="D6" s="63"/>
      <c r="E6" s="63"/>
      <c r="F6" s="63"/>
      <c r="G6" s="63"/>
      <c r="H6" s="63"/>
      <c r="I6" s="31">
        <v>42978</v>
      </c>
      <c r="J6" s="2"/>
      <c r="K6" s="2"/>
      <c r="L6" s="2"/>
      <c r="M6" s="2"/>
    </row>
    <row r="7" spans="1:13" ht="15.75" customHeight="1">
      <c r="B7" s="62"/>
      <c r="C7" s="62"/>
      <c r="D7" s="6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158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276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64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30" t="s">
        <v>4</v>
      </c>
      <c r="B15" s="130"/>
      <c r="C15" s="130"/>
      <c r="D15" s="130"/>
      <c r="E15" s="130"/>
      <c r="F15" s="130"/>
      <c r="G15" s="130"/>
      <c r="H15" s="130"/>
      <c r="I15" s="130"/>
      <c r="J15" s="8"/>
      <c r="K15" s="8"/>
      <c r="L15" s="8"/>
      <c r="M15" s="8"/>
    </row>
    <row r="16" spans="1:13" ht="15.75" customHeight="1">
      <c r="A16" s="30">
        <v>1</v>
      </c>
      <c r="B16" s="82" t="s">
        <v>93</v>
      </c>
      <c r="C16" s="83" t="s">
        <v>116</v>
      </c>
      <c r="D16" s="82" t="s">
        <v>117</v>
      </c>
      <c r="E16" s="56">
        <v>127.9</v>
      </c>
      <c r="F16" s="84">
        <f>SUM(E16*156/100)</f>
        <v>199.524</v>
      </c>
      <c r="G16" s="84">
        <v>187.48</v>
      </c>
      <c r="H16" s="85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82" t="s">
        <v>102</v>
      </c>
      <c r="C17" s="83" t="s">
        <v>116</v>
      </c>
      <c r="D17" s="82" t="s">
        <v>181</v>
      </c>
      <c r="E17" s="56">
        <v>511.6</v>
      </c>
      <c r="F17" s="84">
        <f>SUM(E17*104/100)</f>
        <v>532.06399999999996</v>
      </c>
      <c r="G17" s="84">
        <v>185.48</v>
      </c>
      <c r="H17" s="85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82" t="s">
        <v>103</v>
      </c>
      <c r="C18" s="83" t="s">
        <v>116</v>
      </c>
      <c r="D18" s="82" t="s">
        <v>118</v>
      </c>
      <c r="E18" s="56">
        <f>SUM(E16+E17)</f>
        <v>639.5</v>
      </c>
      <c r="F18" s="84">
        <f>SUM(E18*24/100)</f>
        <v>153.47999999999999</v>
      </c>
      <c r="G18" s="84">
        <v>539.30999999999995</v>
      </c>
      <c r="H18" s="85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82" t="s">
        <v>119</v>
      </c>
      <c r="C19" s="83" t="s">
        <v>120</v>
      </c>
      <c r="D19" s="82" t="s">
        <v>121</v>
      </c>
      <c r="E19" s="56">
        <v>38.4</v>
      </c>
      <c r="F19" s="84">
        <f>SUM(E19/10)</f>
        <v>3.84</v>
      </c>
      <c r="G19" s="84">
        <v>181.91</v>
      </c>
      <c r="H19" s="85">
        <f t="shared" si="0"/>
        <v>0.6985344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82" t="s">
        <v>107</v>
      </c>
      <c r="C20" s="83" t="s">
        <v>116</v>
      </c>
      <c r="D20" s="82" t="s">
        <v>30</v>
      </c>
      <c r="E20" s="56">
        <v>58.4</v>
      </c>
      <c r="F20" s="84">
        <f>SUM(E20*12/100)</f>
        <v>7.0079999999999991</v>
      </c>
      <c r="G20" s="84">
        <v>232.92</v>
      </c>
      <c r="H20" s="85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hidden="1" customHeight="1">
      <c r="A21" s="30">
        <v>5</v>
      </c>
      <c r="B21" s="82" t="s">
        <v>108</v>
      </c>
      <c r="C21" s="83" t="s">
        <v>116</v>
      </c>
      <c r="D21" s="82" t="s">
        <v>115</v>
      </c>
      <c r="E21" s="56">
        <v>9.08</v>
      </c>
      <c r="F21" s="84">
        <f>SUM(E21*6/100)</f>
        <v>0.54480000000000006</v>
      </c>
      <c r="G21" s="84">
        <v>231.03</v>
      </c>
      <c r="H21" s="85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82" t="s">
        <v>122</v>
      </c>
      <c r="C22" s="83" t="s">
        <v>56</v>
      </c>
      <c r="D22" s="82" t="s">
        <v>121</v>
      </c>
      <c r="E22" s="56">
        <v>714</v>
      </c>
      <c r="F22" s="84">
        <f>SUM(E22/100)</f>
        <v>7.14</v>
      </c>
      <c r="G22" s="84">
        <v>287.83999999999997</v>
      </c>
      <c r="H22" s="85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82" t="s">
        <v>123</v>
      </c>
      <c r="C23" s="83" t="s">
        <v>56</v>
      </c>
      <c r="D23" s="82" t="s">
        <v>121</v>
      </c>
      <c r="E23" s="77">
        <v>96.6</v>
      </c>
      <c r="F23" s="84">
        <f>SUM(E23/100)</f>
        <v>0.96599999999999997</v>
      </c>
      <c r="G23" s="84">
        <v>47.34</v>
      </c>
      <c r="H23" s="85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82" t="s">
        <v>110</v>
      </c>
      <c r="C24" s="83" t="s">
        <v>56</v>
      </c>
      <c r="D24" s="82" t="s">
        <v>121</v>
      </c>
      <c r="E24" s="19">
        <v>40</v>
      </c>
      <c r="F24" s="86">
        <v>4.8</v>
      </c>
      <c r="G24" s="84">
        <v>416.62</v>
      </c>
      <c r="H24" s="85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82" t="s">
        <v>111</v>
      </c>
      <c r="C25" s="83" t="s">
        <v>56</v>
      </c>
      <c r="D25" s="82" t="s">
        <v>121</v>
      </c>
      <c r="E25" s="56">
        <v>17</v>
      </c>
      <c r="F25" s="84">
        <f>SUM(E25/100)</f>
        <v>0.17</v>
      </c>
      <c r="G25" s="84">
        <v>556.74</v>
      </c>
      <c r="H25" s="85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customHeight="1">
      <c r="A26" s="30">
        <v>5</v>
      </c>
      <c r="B26" s="82" t="s">
        <v>69</v>
      </c>
      <c r="C26" s="83" t="s">
        <v>34</v>
      </c>
      <c r="D26" s="82" t="s">
        <v>161</v>
      </c>
      <c r="E26" s="56">
        <v>0.1</v>
      </c>
      <c r="F26" s="84">
        <f>SUM(E26*365)</f>
        <v>36.5</v>
      </c>
      <c r="G26" s="84">
        <v>157.18</v>
      </c>
      <c r="H26" s="85">
        <f>SUM(F26*G26/1000)</f>
        <v>5.737070000000001</v>
      </c>
      <c r="I26" s="13">
        <f>F26/12*G26</f>
        <v>478.08916666666664</v>
      </c>
      <c r="J26" s="24"/>
    </row>
    <row r="27" spans="1:13" ht="15.75" customHeight="1">
      <c r="A27" s="30">
        <v>6</v>
      </c>
      <c r="B27" s="90" t="s">
        <v>23</v>
      </c>
      <c r="C27" s="83" t="s">
        <v>24</v>
      </c>
      <c r="D27" s="90" t="s">
        <v>161</v>
      </c>
      <c r="E27" s="56">
        <v>4591.2</v>
      </c>
      <c r="F27" s="84">
        <f>SUM(E27*12)</f>
        <v>55094.399999999994</v>
      </c>
      <c r="G27" s="84">
        <v>5.85</v>
      </c>
      <c r="H27" s="85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30" t="s">
        <v>91</v>
      </c>
      <c r="B28" s="130"/>
      <c r="C28" s="130"/>
      <c r="D28" s="130"/>
      <c r="E28" s="130"/>
      <c r="F28" s="130"/>
      <c r="G28" s="130"/>
      <c r="H28" s="130"/>
      <c r="I28" s="130"/>
      <c r="J28" s="23"/>
      <c r="K28" s="8"/>
      <c r="L28" s="8"/>
      <c r="M28" s="8"/>
    </row>
    <row r="29" spans="1:13" ht="15.75" customHeight="1">
      <c r="A29" s="30"/>
      <c r="B29" s="106" t="s">
        <v>28</v>
      </c>
      <c r="C29" s="83"/>
      <c r="D29" s="82"/>
      <c r="E29" s="56"/>
      <c r="F29" s="84"/>
      <c r="G29" s="84"/>
      <c r="H29" s="85"/>
      <c r="I29" s="13"/>
      <c r="J29" s="23"/>
      <c r="K29" s="8"/>
      <c r="L29" s="8"/>
      <c r="M29" s="8"/>
    </row>
    <row r="30" spans="1:13" ht="15.75" customHeight="1">
      <c r="A30" s="30">
        <v>7</v>
      </c>
      <c r="B30" s="82" t="s">
        <v>124</v>
      </c>
      <c r="C30" s="83" t="s">
        <v>125</v>
      </c>
      <c r="D30" s="82" t="s">
        <v>126</v>
      </c>
      <c r="E30" s="84">
        <v>844.95</v>
      </c>
      <c r="F30" s="84">
        <f>SUM(E30*52/1000)</f>
        <v>43.937400000000004</v>
      </c>
      <c r="G30" s="84">
        <v>166.65</v>
      </c>
      <c r="H30" s="85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customHeight="1">
      <c r="A31" s="30">
        <v>8</v>
      </c>
      <c r="B31" s="82" t="s">
        <v>182</v>
      </c>
      <c r="C31" s="83" t="s">
        <v>125</v>
      </c>
      <c r="D31" s="82" t="s">
        <v>127</v>
      </c>
      <c r="E31" s="84">
        <v>260.13</v>
      </c>
      <c r="F31" s="84">
        <f>SUM(E31*78/1000)</f>
        <v>20.290140000000001</v>
      </c>
      <c r="G31" s="84">
        <v>276.48</v>
      </c>
      <c r="H31" s="85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82" t="s">
        <v>27</v>
      </c>
      <c r="C32" s="83" t="s">
        <v>125</v>
      </c>
      <c r="D32" s="82" t="s">
        <v>57</v>
      </c>
      <c r="E32" s="84">
        <v>844.95</v>
      </c>
      <c r="F32" s="84">
        <f>SUM(E32/1000)</f>
        <v>0.84495000000000009</v>
      </c>
      <c r="G32" s="84">
        <v>3228.73</v>
      </c>
      <c r="H32" s="85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customHeight="1">
      <c r="A33" s="30">
        <v>9</v>
      </c>
      <c r="B33" s="82" t="s">
        <v>160</v>
      </c>
      <c r="C33" s="83" t="s">
        <v>42</v>
      </c>
      <c r="D33" s="82" t="s">
        <v>68</v>
      </c>
      <c r="E33" s="84">
        <v>8</v>
      </c>
      <c r="F33" s="84">
        <v>12.4</v>
      </c>
      <c r="G33" s="84">
        <v>1391.86</v>
      </c>
      <c r="H33" s="85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customHeight="1">
      <c r="A34" s="30">
        <v>10</v>
      </c>
      <c r="B34" s="82" t="s">
        <v>128</v>
      </c>
      <c r="C34" s="83" t="s">
        <v>31</v>
      </c>
      <c r="D34" s="82" t="s">
        <v>68</v>
      </c>
      <c r="E34" s="89">
        <v>0.33333333333333331</v>
      </c>
      <c r="F34" s="84">
        <f>155/3</f>
        <v>51.666666666666664</v>
      </c>
      <c r="G34" s="84">
        <v>60.6</v>
      </c>
      <c r="H34" s="85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82" t="s">
        <v>70</v>
      </c>
      <c r="C35" s="83" t="s">
        <v>34</v>
      </c>
      <c r="D35" s="82" t="s">
        <v>72</v>
      </c>
      <c r="E35" s="56"/>
      <c r="F35" s="84">
        <v>3</v>
      </c>
      <c r="G35" s="84">
        <v>204.32</v>
      </c>
      <c r="H35" s="85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82" t="s">
        <v>71</v>
      </c>
      <c r="C36" s="83" t="s">
        <v>33</v>
      </c>
      <c r="D36" s="82" t="s">
        <v>72</v>
      </c>
      <c r="E36" s="56"/>
      <c r="F36" s="84">
        <v>2</v>
      </c>
      <c r="G36" s="84">
        <v>1214.73</v>
      </c>
      <c r="H36" s="85">
        <f t="shared" si="1"/>
        <v>2.4294600000000002</v>
      </c>
      <c r="I36" s="13">
        <v>0</v>
      </c>
      <c r="J36" s="24"/>
    </row>
    <row r="37" spans="1:14" ht="15.75" hidden="1" customHeight="1">
      <c r="A37" s="30"/>
      <c r="B37" s="106" t="s">
        <v>5</v>
      </c>
      <c r="C37" s="83"/>
      <c r="D37" s="82"/>
      <c r="E37" s="56"/>
      <c r="F37" s="84"/>
      <c r="G37" s="84"/>
      <c r="H37" s="85" t="s">
        <v>144</v>
      </c>
      <c r="I37" s="13"/>
      <c r="J37" s="24"/>
    </row>
    <row r="38" spans="1:14" ht="15.75" hidden="1" customHeight="1">
      <c r="A38" s="30">
        <v>8</v>
      </c>
      <c r="B38" s="82" t="s">
        <v>26</v>
      </c>
      <c r="C38" s="83" t="s">
        <v>33</v>
      </c>
      <c r="D38" s="82"/>
      <c r="E38" s="56"/>
      <c r="F38" s="84">
        <v>10</v>
      </c>
      <c r="G38" s="84">
        <v>1632.6</v>
      </c>
      <c r="H38" s="85">
        <f t="shared" ref="H38:H44" si="3">SUM(F38*G38/1000)</f>
        <v>16.326000000000001</v>
      </c>
      <c r="I38" s="13">
        <f>F38/6*G38</f>
        <v>2721</v>
      </c>
      <c r="J38" s="24"/>
    </row>
    <row r="39" spans="1:14" ht="15.75" hidden="1" customHeight="1">
      <c r="A39" s="30">
        <v>9</v>
      </c>
      <c r="B39" s="82" t="s">
        <v>162</v>
      </c>
      <c r="C39" s="83" t="s">
        <v>29</v>
      </c>
      <c r="D39" s="82" t="s">
        <v>129</v>
      </c>
      <c r="E39" s="84">
        <v>254.8</v>
      </c>
      <c r="F39" s="84">
        <f>SUM(E39*30/1000)</f>
        <v>7.6440000000000001</v>
      </c>
      <c r="G39" s="84">
        <v>2247.8000000000002</v>
      </c>
      <c r="H39" s="85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82" t="s">
        <v>104</v>
      </c>
      <c r="C40" s="83" t="s">
        <v>130</v>
      </c>
      <c r="D40" s="82" t="s">
        <v>72</v>
      </c>
      <c r="E40" s="56"/>
      <c r="F40" s="84">
        <v>40</v>
      </c>
      <c r="G40" s="84">
        <v>213.2</v>
      </c>
      <c r="H40" s="85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hidden="1" customHeight="1">
      <c r="A41" s="30">
        <v>10</v>
      </c>
      <c r="B41" s="82" t="s">
        <v>73</v>
      </c>
      <c r="C41" s="83" t="s">
        <v>29</v>
      </c>
      <c r="D41" s="82" t="s">
        <v>131</v>
      </c>
      <c r="E41" s="84">
        <v>260.13</v>
      </c>
      <c r="F41" s="84">
        <f>SUM(E41*155/1000)</f>
        <v>40.320149999999998</v>
      </c>
      <c r="G41" s="84">
        <v>374.95</v>
      </c>
      <c r="H41" s="85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hidden="1" customHeight="1">
      <c r="A42" s="30">
        <v>11</v>
      </c>
      <c r="B42" s="82" t="s">
        <v>89</v>
      </c>
      <c r="C42" s="83" t="s">
        <v>125</v>
      </c>
      <c r="D42" s="82" t="s">
        <v>132</v>
      </c>
      <c r="E42" s="84">
        <v>132.72999999999999</v>
      </c>
      <c r="F42" s="84">
        <f>SUM(E42*35/1000)</f>
        <v>4.6455499999999992</v>
      </c>
      <c r="G42" s="84">
        <v>6203.7</v>
      </c>
      <c r="H42" s="85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hidden="1" customHeight="1">
      <c r="A43" s="30">
        <v>12</v>
      </c>
      <c r="B43" s="82" t="s">
        <v>133</v>
      </c>
      <c r="C43" s="83" t="s">
        <v>125</v>
      </c>
      <c r="D43" s="82" t="s">
        <v>74</v>
      </c>
      <c r="E43" s="84">
        <v>254.8</v>
      </c>
      <c r="F43" s="84">
        <f>SUM(E43*45/1000)</f>
        <v>11.465999999999999</v>
      </c>
      <c r="G43" s="84">
        <v>458.28</v>
      </c>
      <c r="H43" s="85">
        <f t="shared" si="3"/>
        <v>5.2546384799999997</v>
      </c>
      <c r="I43" s="13">
        <f>F43/6*G43</f>
        <v>875.77307999999982</v>
      </c>
      <c r="J43" s="24"/>
      <c r="L43" s="20"/>
      <c r="M43" s="21"/>
      <c r="N43" s="22"/>
    </row>
    <row r="44" spans="1:14" ht="15.75" hidden="1" customHeight="1">
      <c r="A44" s="30">
        <v>13</v>
      </c>
      <c r="B44" s="82" t="s">
        <v>75</v>
      </c>
      <c r="C44" s="83" t="s">
        <v>34</v>
      </c>
      <c r="D44" s="82"/>
      <c r="E44" s="56"/>
      <c r="F44" s="84">
        <v>0.9</v>
      </c>
      <c r="G44" s="84">
        <v>853.06</v>
      </c>
      <c r="H44" s="85">
        <f t="shared" si="3"/>
        <v>0.76775400000000005</v>
      </c>
      <c r="I44" s="13">
        <f>F44/6*G44</f>
        <v>127.95899999999999</v>
      </c>
      <c r="J44" s="24"/>
      <c r="L44" s="20"/>
      <c r="M44" s="21"/>
      <c r="N44" s="22"/>
    </row>
    <row r="45" spans="1:14" ht="15.75" hidden="1" customHeight="1">
      <c r="A45" s="131" t="s">
        <v>154</v>
      </c>
      <c r="B45" s="132"/>
      <c r="C45" s="132"/>
      <c r="D45" s="132"/>
      <c r="E45" s="132"/>
      <c r="F45" s="132"/>
      <c r="G45" s="132"/>
      <c r="H45" s="132"/>
      <c r="I45" s="133"/>
      <c r="J45" s="24"/>
      <c r="L45" s="20"/>
      <c r="M45" s="21"/>
      <c r="N45" s="22"/>
    </row>
    <row r="46" spans="1:14" ht="15.75" hidden="1" customHeight="1">
      <c r="A46" s="30"/>
      <c r="B46" s="82" t="s">
        <v>148</v>
      </c>
      <c r="C46" s="83" t="s">
        <v>125</v>
      </c>
      <c r="D46" s="82" t="s">
        <v>44</v>
      </c>
      <c r="E46" s="56">
        <v>1795.9</v>
      </c>
      <c r="F46" s="84">
        <f>SUM(E46*2/1000)</f>
        <v>3.5918000000000001</v>
      </c>
      <c r="G46" s="13">
        <v>865.61</v>
      </c>
      <c r="H46" s="85">
        <f t="shared" ref="H46:H55" si="4">SUM(F46*G46/1000)</f>
        <v>3.1090979980000002</v>
      </c>
      <c r="I46" s="13">
        <v>0</v>
      </c>
      <c r="J46" s="24"/>
      <c r="L46" s="20"/>
      <c r="M46" s="21"/>
      <c r="N46" s="22"/>
    </row>
    <row r="47" spans="1:14" ht="15.75" hidden="1" customHeight="1">
      <c r="A47" s="30"/>
      <c r="B47" s="82" t="s">
        <v>37</v>
      </c>
      <c r="C47" s="83" t="s">
        <v>125</v>
      </c>
      <c r="D47" s="82" t="s">
        <v>44</v>
      </c>
      <c r="E47" s="56">
        <v>104</v>
      </c>
      <c r="F47" s="84">
        <f>SUM(E47*2/1000)</f>
        <v>0.20799999999999999</v>
      </c>
      <c r="G47" s="13">
        <v>619.46</v>
      </c>
      <c r="H47" s="85">
        <f t="shared" si="4"/>
        <v>0.12884767999999999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30"/>
      <c r="B48" s="82" t="s">
        <v>38</v>
      </c>
      <c r="C48" s="83" t="s">
        <v>125</v>
      </c>
      <c r="D48" s="82" t="s">
        <v>44</v>
      </c>
      <c r="E48" s="56">
        <v>1996.87</v>
      </c>
      <c r="F48" s="84">
        <f>SUM(E48*2/1000)</f>
        <v>3.9937399999999998</v>
      </c>
      <c r="G48" s="13">
        <v>619.46</v>
      </c>
      <c r="H48" s="85">
        <f t="shared" si="4"/>
        <v>2.4739621804</v>
      </c>
      <c r="I48" s="13">
        <v>0</v>
      </c>
      <c r="J48" s="24"/>
      <c r="L48" s="20"/>
      <c r="M48" s="21"/>
      <c r="N48" s="22"/>
    </row>
    <row r="49" spans="1:22" ht="15.75" hidden="1" customHeight="1">
      <c r="A49" s="30"/>
      <c r="B49" s="82" t="s">
        <v>39</v>
      </c>
      <c r="C49" s="83" t="s">
        <v>125</v>
      </c>
      <c r="D49" s="82" t="s">
        <v>44</v>
      </c>
      <c r="E49" s="56">
        <v>2630.35</v>
      </c>
      <c r="F49" s="84">
        <f>SUM(E49*2/1000)</f>
        <v>5.2606999999999999</v>
      </c>
      <c r="G49" s="13">
        <v>648.64</v>
      </c>
      <c r="H49" s="85">
        <f t="shared" si="4"/>
        <v>3.4123004479999999</v>
      </c>
      <c r="I49" s="13">
        <v>0</v>
      </c>
      <c r="J49" s="24"/>
      <c r="L49" s="20"/>
      <c r="M49" s="21"/>
      <c r="N49" s="22"/>
    </row>
    <row r="50" spans="1:22" ht="15.75" hidden="1" customHeight="1">
      <c r="A50" s="30"/>
      <c r="B50" s="82" t="s">
        <v>35</v>
      </c>
      <c r="C50" s="83" t="s">
        <v>36</v>
      </c>
      <c r="D50" s="82" t="s">
        <v>44</v>
      </c>
      <c r="E50" s="56">
        <v>131.47</v>
      </c>
      <c r="F50" s="84">
        <f>SUM(E50*2/100)</f>
        <v>2.6294</v>
      </c>
      <c r="G50" s="13">
        <v>77.84</v>
      </c>
      <c r="H50" s="85">
        <f t="shared" si="4"/>
        <v>0.20467249599999998</v>
      </c>
      <c r="I50" s="13">
        <v>0</v>
      </c>
      <c r="J50" s="24"/>
      <c r="L50" s="20"/>
      <c r="M50" s="21"/>
      <c r="N50" s="22"/>
    </row>
    <row r="51" spans="1:22" ht="15.75" hidden="1" customHeight="1">
      <c r="A51" s="30">
        <v>14</v>
      </c>
      <c r="B51" s="82" t="s">
        <v>61</v>
      </c>
      <c r="C51" s="83" t="s">
        <v>125</v>
      </c>
      <c r="D51" s="82" t="s">
        <v>183</v>
      </c>
      <c r="E51" s="56">
        <v>2872.4</v>
      </c>
      <c r="F51" s="84">
        <f>SUM(E51*5/1000)</f>
        <v>14.362</v>
      </c>
      <c r="G51" s="13">
        <v>1297.28</v>
      </c>
      <c r="H51" s="85">
        <f t="shared" si="4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22" ht="31.5" hidden="1" customHeight="1">
      <c r="A52" s="30"/>
      <c r="B52" s="82" t="s">
        <v>134</v>
      </c>
      <c r="C52" s="83" t="s">
        <v>125</v>
      </c>
      <c r="D52" s="82" t="s">
        <v>44</v>
      </c>
      <c r="E52" s="56">
        <v>2872.4</v>
      </c>
      <c r="F52" s="84">
        <f>SUM(E52*2/1000)</f>
        <v>5.7448000000000006</v>
      </c>
      <c r="G52" s="13">
        <v>1297.28</v>
      </c>
      <c r="H52" s="85">
        <f t="shared" si="4"/>
        <v>7.4526141440000009</v>
      </c>
      <c r="I52" s="13">
        <v>0</v>
      </c>
      <c r="J52" s="24"/>
      <c r="L52" s="20"/>
      <c r="M52" s="21"/>
      <c r="N52" s="22"/>
    </row>
    <row r="53" spans="1:22" ht="31.5" hidden="1" customHeight="1">
      <c r="A53" s="30"/>
      <c r="B53" s="82" t="s">
        <v>135</v>
      </c>
      <c r="C53" s="83" t="s">
        <v>40</v>
      </c>
      <c r="D53" s="82" t="s">
        <v>44</v>
      </c>
      <c r="E53" s="56">
        <v>40</v>
      </c>
      <c r="F53" s="84">
        <f>SUM(E53*2/100)</f>
        <v>0.8</v>
      </c>
      <c r="G53" s="13">
        <v>2918.89</v>
      </c>
      <c r="H53" s="85">
        <f t="shared" si="4"/>
        <v>2.3351120000000001</v>
      </c>
      <c r="I53" s="13">
        <v>0</v>
      </c>
      <c r="J53" s="24"/>
      <c r="L53" s="20"/>
      <c r="M53" s="21"/>
      <c r="N53" s="22"/>
    </row>
    <row r="54" spans="1:22" ht="15.75" hidden="1" customHeight="1">
      <c r="A54" s="30"/>
      <c r="B54" s="82" t="s">
        <v>41</v>
      </c>
      <c r="C54" s="83" t="s">
        <v>42</v>
      </c>
      <c r="D54" s="82" t="s">
        <v>44</v>
      </c>
      <c r="E54" s="56">
        <v>1</v>
      </c>
      <c r="F54" s="84">
        <v>0.02</v>
      </c>
      <c r="G54" s="13">
        <v>6042.12</v>
      </c>
      <c r="H54" s="85">
        <f t="shared" si="4"/>
        <v>0.1208424</v>
      </c>
      <c r="I54" s="13">
        <v>0</v>
      </c>
      <c r="J54" s="24"/>
      <c r="L54" s="20"/>
      <c r="M54" s="21"/>
      <c r="N54" s="22"/>
    </row>
    <row r="55" spans="1:22" ht="15.75" hidden="1" customHeight="1">
      <c r="A55" s="30">
        <v>11</v>
      </c>
      <c r="B55" s="82" t="s">
        <v>43</v>
      </c>
      <c r="C55" s="83" t="s">
        <v>31</v>
      </c>
      <c r="D55" s="82" t="s">
        <v>76</v>
      </c>
      <c r="E55" s="56">
        <v>160</v>
      </c>
      <c r="F55" s="84">
        <f>SUM(E55)*3</f>
        <v>480</v>
      </c>
      <c r="G55" s="13">
        <v>70.209999999999994</v>
      </c>
      <c r="H55" s="85">
        <f t="shared" si="4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22" ht="15.75" customHeight="1">
      <c r="A56" s="131" t="s">
        <v>186</v>
      </c>
      <c r="B56" s="132"/>
      <c r="C56" s="132"/>
      <c r="D56" s="132"/>
      <c r="E56" s="132"/>
      <c r="F56" s="132"/>
      <c r="G56" s="132"/>
      <c r="H56" s="132"/>
      <c r="I56" s="133"/>
      <c r="J56" s="24"/>
      <c r="L56" s="20"/>
      <c r="M56" s="21"/>
      <c r="N56" s="22"/>
    </row>
    <row r="57" spans="1:22" ht="15.75" hidden="1" customHeight="1">
      <c r="A57" s="30"/>
      <c r="B57" s="106" t="s">
        <v>45</v>
      </c>
      <c r="C57" s="83"/>
      <c r="D57" s="82"/>
      <c r="E57" s="56"/>
      <c r="F57" s="84"/>
      <c r="G57" s="84"/>
      <c r="H57" s="85"/>
      <c r="I57" s="13"/>
      <c r="J57" s="24"/>
      <c r="L57" s="20"/>
      <c r="M57" s="21"/>
      <c r="N57" s="22"/>
    </row>
    <row r="58" spans="1:22" ht="31.5" hidden="1" customHeight="1">
      <c r="A58" s="30">
        <v>16</v>
      </c>
      <c r="B58" s="82" t="s">
        <v>137</v>
      </c>
      <c r="C58" s="83" t="s">
        <v>116</v>
      </c>
      <c r="D58" s="82" t="s">
        <v>77</v>
      </c>
      <c r="E58" s="56">
        <v>239.59</v>
      </c>
      <c r="F58" s="84">
        <f>E58*6/100</f>
        <v>14.375399999999999</v>
      </c>
      <c r="G58" s="91">
        <v>1654.04</v>
      </c>
      <c r="H58" s="85">
        <f>F58*G58/1000</f>
        <v>23.777486615999997</v>
      </c>
      <c r="I58" s="13">
        <f>F58/6*G58</f>
        <v>3962.9144359999996</v>
      </c>
      <c r="J58" s="24"/>
      <c r="L58" s="20"/>
      <c r="M58" s="21"/>
      <c r="N58" s="22"/>
    </row>
    <row r="59" spans="1:22" ht="15.75" customHeight="1">
      <c r="A59" s="30"/>
      <c r="B59" s="107" t="s">
        <v>46</v>
      </c>
      <c r="C59" s="92"/>
      <c r="D59" s="93"/>
      <c r="E59" s="94"/>
      <c r="F59" s="96"/>
      <c r="G59" s="13"/>
      <c r="H59" s="98"/>
      <c r="I59" s="13"/>
      <c r="J59" s="24"/>
      <c r="L59" s="20"/>
      <c r="M59" s="21"/>
      <c r="N59" s="22"/>
    </row>
    <row r="60" spans="1:22" ht="15.75" hidden="1" customHeight="1">
      <c r="A60" s="30"/>
      <c r="B60" s="93" t="s">
        <v>47</v>
      </c>
      <c r="C60" s="92" t="s">
        <v>56</v>
      </c>
      <c r="D60" s="93" t="s">
        <v>57</v>
      </c>
      <c r="E60" s="94">
        <v>2686</v>
      </c>
      <c r="F60" s="96">
        <f>E60/100</f>
        <v>26.86</v>
      </c>
      <c r="G60" s="13">
        <v>848.37</v>
      </c>
      <c r="H60" s="98">
        <f>G60*F60/1000</f>
        <v>22.787218199999998</v>
      </c>
      <c r="I60" s="13">
        <v>0</v>
      </c>
      <c r="J60" s="24"/>
      <c r="L60" s="20"/>
    </row>
    <row r="61" spans="1:22" ht="15.75" customHeight="1">
      <c r="A61" s="30">
        <v>11</v>
      </c>
      <c r="B61" s="93" t="s">
        <v>105</v>
      </c>
      <c r="C61" s="92" t="s">
        <v>25</v>
      </c>
      <c r="D61" s="93" t="s">
        <v>30</v>
      </c>
      <c r="E61" s="94">
        <v>343</v>
      </c>
      <c r="F61" s="96">
        <v>4116</v>
      </c>
      <c r="G61" s="13">
        <v>2.6</v>
      </c>
      <c r="H61" s="98">
        <f>F61*G61</f>
        <v>10701.6</v>
      </c>
      <c r="I61" s="13">
        <f>F61/12*G61</f>
        <v>891.80000000000007</v>
      </c>
    </row>
    <row r="62" spans="1:22" ht="15.75" hidden="1" customHeight="1">
      <c r="A62" s="30"/>
      <c r="B62" s="107" t="s">
        <v>149</v>
      </c>
      <c r="C62" s="92"/>
      <c r="D62" s="93"/>
      <c r="E62" s="94"/>
      <c r="F62" s="96"/>
      <c r="G62" s="13"/>
      <c r="H62" s="98"/>
      <c r="I62" s="13"/>
    </row>
    <row r="63" spans="1:22" ht="15.75" hidden="1" customHeight="1">
      <c r="A63" s="30"/>
      <c r="B63" s="93" t="s">
        <v>150</v>
      </c>
      <c r="C63" s="92" t="s">
        <v>31</v>
      </c>
      <c r="D63" s="93" t="s">
        <v>72</v>
      </c>
      <c r="E63" s="94">
        <v>3</v>
      </c>
      <c r="F63" s="95">
        <v>3</v>
      </c>
      <c r="G63" s="97">
        <v>254.16</v>
      </c>
      <c r="H63" s="96">
        <v>0.76200000000000001</v>
      </c>
      <c r="I63" s="13">
        <v>0</v>
      </c>
    </row>
    <row r="64" spans="1:22" ht="15.75" customHeight="1">
      <c r="A64" s="30"/>
      <c r="B64" s="107" t="s">
        <v>48</v>
      </c>
      <c r="C64" s="92"/>
      <c r="D64" s="93"/>
      <c r="E64" s="94"/>
      <c r="F64" s="95"/>
      <c r="G64" s="95"/>
      <c r="H64" s="96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30">
        <v>12</v>
      </c>
      <c r="B65" s="14" t="s">
        <v>49</v>
      </c>
      <c r="C65" s="16" t="s">
        <v>136</v>
      </c>
      <c r="D65" s="93" t="s">
        <v>72</v>
      </c>
      <c r="E65" s="19">
        <v>15</v>
      </c>
      <c r="F65" s="84">
        <v>15</v>
      </c>
      <c r="G65" s="13">
        <v>237.74</v>
      </c>
      <c r="H65" s="99">
        <f t="shared" ref="H65:H78" si="5">SUM(F65*G65/1000)</f>
        <v>3.5661000000000005</v>
      </c>
      <c r="I65" s="13">
        <f>G65*3</f>
        <v>713.22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14" t="s">
        <v>50</v>
      </c>
      <c r="C66" s="16" t="s">
        <v>136</v>
      </c>
      <c r="D66" s="93" t="s">
        <v>72</v>
      </c>
      <c r="E66" s="19">
        <v>5</v>
      </c>
      <c r="F66" s="84">
        <v>5</v>
      </c>
      <c r="G66" s="13">
        <v>81.510000000000005</v>
      </c>
      <c r="H66" s="99">
        <f t="shared" si="5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14" t="s">
        <v>51</v>
      </c>
      <c r="C67" s="16" t="s">
        <v>138</v>
      </c>
      <c r="D67" s="14" t="s">
        <v>57</v>
      </c>
      <c r="E67" s="56">
        <v>24123</v>
      </c>
      <c r="F67" s="13">
        <f>SUM(E67/100)</f>
        <v>241.23</v>
      </c>
      <c r="G67" s="13">
        <v>226.79</v>
      </c>
      <c r="H67" s="99">
        <f t="shared" si="5"/>
        <v>54.708551699999994</v>
      </c>
      <c r="I67" s="13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127"/>
      <c r="S67" s="127"/>
      <c r="T67" s="127"/>
      <c r="U67" s="127"/>
    </row>
    <row r="68" spans="1:21" ht="15.75" hidden="1" customHeight="1">
      <c r="A68" s="30"/>
      <c r="B68" s="14" t="s">
        <v>52</v>
      </c>
      <c r="C68" s="16" t="s">
        <v>139</v>
      </c>
      <c r="D68" s="14"/>
      <c r="E68" s="56">
        <v>24123</v>
      </c>
      <c r="F68" s="13">
        <f>SUM(E68/1000)</f>
        <v>24.123000000000001</v>
      </c>
      <c r="G68" s="13">
        <v>176.61</v>
      </c>
      <c r="H68" s="99">
        <f t="shared" si="5"/>
        <v>4.2603630300000006</v>
      </c>
      <c r="I68" s="13">
        <f t="shared" ref="I68:I72" si="6">F68*G68</f>
        <v>4260.3630300000004</v>
      </c>
    </row>
    <row r="69" spans="1:21" ht="15.75" hidden="1" customHeight="1">
      <c r="A69" s="30"/>
      <c r="B69" s="14" t="s">
        <v>53</v>
      </c>
      <c r="C69" s="16" t="s">
        <v>82</v>
      </c>
      <c r="D69" s="14" t="s">
        <v>57</v>
      </c>
      <c r="E69" s="56">
        <v>2730</v>
      </c>
      <c r="F69" s="13">
        <f>SUM(E69/100)</f>
        <v>27.3</v>
      </c>
      <c r="G69" s="13">
        <v>2217.7800000000002</v>
      </c>
      <c r="H69" s="99">
        <f t="shared" si="5"/>
        <v>60.545394000000009</v>
      </c>
      <c r="I69" s="13">
        <f t="shared" si="6"/>
        <v>60545.394000000008</v>
      </c>
    </row>
    <row r="70" spans="1:21" ht="15.75" hidden="1" customHeight="1">
      <c r="A70" s="30"/>
      <c r="B70" s="100" t="s">
        <v>140</v>
      </c>
      <c r="C70" s="16" t="s">
        <v>34</v>
      </c>
      <c r="D70" s="14"/>
      <c r="E70" s="56">
        <v>23</v>
      </c>
      <c r="F70" s="13">
        <f>SUM(E70)</f>
        <v>23</v>
      </c>
      <c r="G70" s="13">
        <v>42.67</v>
      </c>
      <c r="H70" s="99">
        <f t="shared" si="5"/>
        <v>0.98141000000000012</v>
      </c>
      <c r="I70" s="13">
        <f t="shared" si="6"/>
        <v>981.41000000000008</v>
      </c>
    </row>
    <row r="71" spans="1:21" ht="15.75" hidden="1" customHeight="1">
      <c r="A71" s="30"/>
      <c r="B71" s="100" t="s">
        <v>141</v>
      </c>
      <c r="C71" s="16" t="s">
        <v>34</v>
      </c>
      <c r="D71" s="14"/>
      <c r="E71" s="56">
        <v>23</v>
      </c>
      <c r="F71" s="13">
        <f>SUM(E71)</f>
        <v>23</v>
      </c>
      <c r="G71" s="13">
        <v>39.81</v>
      </c>
      <c r="H71" s="99">
        <f t="shared" si="5"/>
        <v>0.91563000000000005</v>
      </c>
      <c r="I71" s="13">
        <f t="shared" si="6"/>
        <v>915.63000000000011</v>
      </c>
    </row>
    <row r="72" spans="1:21" ht="15.75" hidden="1" customHeight="1">
      <c r="A72" s="30"/>
      <c r="B72" s="14" t="s">
        <v>62</v>
      </c>
      <c r="C72" s="16" t="s">
        <v>63</v>
      </c>
      <c r="D72" s="14" t="s">
        <v>57</v>
      </c>
      <c r="E72" s="19">
        <v>10</v>
      </c>
      <c r="F72" s="84">
        <f>SUM(E72)</f>
        <v>10</v>
      </c>
      <c r="G72" s="13">
        <v>53.32</v>
      </c>
      <c r="H72" s="99">
        <f t="shared" si="5"/>
        <v>0.53320000000000001</v>
      </c>
      <c r="I72" s="13">
        <f t="shared" si="6"/>
        <v>533.20000000000005</v>
      </c>
    </row>
    <row r="73" spans="1:21" ht="15.75" hidden="1" customHeight="1">
      <c r="A73" s="30"/>
      <c r="B73" s="64" t="s">
        <v>78</v>
      </c>
      <c r="C73" s="16"/>
      <c r="D73" s="14"/>
      <c r="E73" s="19"/>
      <c r="F73" s="13"/>
      <c r="G73" s="13"/>
      <c r="H73" s="99" t="s">
        <v>144</v>
      </c>
      <c r="I73" s="13"/>
    </row>
    <row r="74" spans="1:21" ht="15.75" hidden="1" customHeight="1">
      <c r="A74" s="30"/>
      <c r="B74" s="14" t="s">
        <v>79</v>
      </c>
      <c r="C74" s="16" t="s">
        <v>32</v>
      </c>
      <c r="D74" s="14"/>
      <c r="E74" s="19">
        <v>2</v>
      </c>
      <c r="F74" s="75">
        <v>0.2</v>
      </c>
      <c r="G74" s="13">
        <v>536.23</v>
      </c>
      <c r="H74" s="99">
        <v>0.251</v>
      </c>
      <c r="I74" s="13">
        <v>0</v>
      </c>
    </row>
    <row r="75" spans="1:21" ht="15.75" hidden="1" customHeight="1">
      <c r="A75" s="30"/>
      <c r="B75" s="14" t="s">
        <v>95</v>
      </c>
      <c r="C75" s="16" t="s">
        <v>31</v>
      </c>
      <c r="D75" s="14"/>
      <c r="E75" s="19">
        <v>1</v>
      </c>
      <c r="F75" s="84">
        <f>SUM(E75)</f>
        <v>1</v>
      </c>
      <c r="G75" s="13">
        <v>383.25</v>
      </c>
      <c r="H75" s="99">
        <f t="shared" si="5"/>
        <v>0.38324999999999998</v>
      </c>
      <c r="I75" s="13">
        <v>0</v>
      </c>
    </row>
    <row r="76" spans="1:21" ht="15.75" hidden="1" customHeight="1">
      <c r="A76" s="30"/>
      <c r="B76" s="14" t="s">
        <v>80</v>
      </c>
      <c r="C76" s="16" t="s">
        <v>31</v>
      </c>
      <c r="D76" s="14"/>
      <c r="E76" s="19">
        <v>2</v>
      </c>
      <c r="F76" s="13">
        <v>2</v>
      </c>
      <c r="G76" s="13">
        <v>911.85</v>
      </c>
      <c r="H76" s="99">
        <f>F76*G76/1000</f>
        <v>1.8237000000000001</v>
      </c>
      <c r="I76" s="13">
        <v>0</v>
      </c>
    </row>
    <row r="77" spans="1:21" ht="15.75" hidden="1" customHeight="1">
      <c r="A77" s="30"/>
      <c r="B77" s="101" t="s">
        <v>81</v>
      </c>
      <c r="C77" s="16"/>
      <c r="D77" s="14"/>
      <c r="E77" s="19"/>
      <c r="F77" s="13"/>
      <c r="G77" s="13" t="s">
        <v>144</v>
      </c>
      <c r="H77" s="99" t="s">
        <v>144</v>
      </c>
      <c r="I77" s="13"/>
    </row>
    <row r="78" spans="1:21" ht="15.75" hidden="1" customHeight="1">
      <c r="A78" s="30"/>
      <c r="B78" s="49" t="s">
        <v>145</v>
      </c>
      <c r="C78" s="16" t="s">
        <v>82</v>
      </c>
      <c r="D78" s="14"/>
      <c r="E78" s="19"/>
      <c r="F78" s="13">
        <v>1.35</v>
      </c>
      <c r="G78" s="13">
        <v>2949.85</v>
      </c>
      <c r="H78" s="99">
        <f t="shared" si="5"/>
        <v>3.9822975</v>
      </c>
      <c r="I78" s="13">
        <v>0</v>
      </c>
    </row>
    <row r="79" spans="1:21" ht="15.75" hidden="1" customHeight="1">
      <c r="A79" s="30"/>
      <c r="B79" s="87" t="s">
        <v>142</v>
      </c>
      <c r="C79" s="101"/>
      <c r="D79" s="32"/>
      <c r="E79" s="33"/>
      <c r="F79" s="88"/>
      <c r="G79" s="88"/>
      <c r="H79" s="102">
        <f>SUM(H58:H78)</f>
        <v>10881.285151046004</v>
      </c>
      <c r="I79" s="88"/>
    </row>
    <row r="80" spans="1:21" ht="15.75" hidden="1" customHeight="1">
      <c r="A80" s="30"/>
      <c r="B80" s="82" t="s">
        <v>143</v>
      </c>
      <c r="C80" s="16"/>
      <c r="D80" s="14"/>
      <c r="E80" s="76"/>
      <c r="F80" s="13">
        <v>1</v>
      </c>
      <c r="G80" s="13">
        <v>19342.2</v>
      </c>
      <c r="H80" s="99">
        <f>G80*F80/1000</f>
        <v>19.342200000000002</v>
      </c>
      <c r="I80" s="13">
        <v>0</v>
      </c>
    </row>
    <row r="81" spans="1:9" ht="15.75" customHeight="1">
      <c r="A81" s="140" t="s">
        <v>187</v>
      </c>
      <c r="B81" s="141"/>
      <c r="C81" s="141"/>
      <c r="D81" s="141"/>
      <c r="E81" s="141"/>
      <c r="F81" s="141"/>
      <c r="G81" s="141"/>
      <c r="H81" s="141"/>
      <c r="I81" s="142"/>
    </row>
    <row r="82" spans="1:9" ht="15.75" customHeight="1">
      <c r="A82" s="30">
        <v>13</v>
      </c>
      <c r="B82" s="82" t="s">
        <v>146</v>
      </c>
      <c r="C82" s="16" t="s">
        <v>59</v>
      </c>
      <c r="D82" s="103" t="s">
        <v>60</v>
      </c>
      <c r="E82" s="13">
        <v>4591.2</v>
      </c>
      <c r="F82" s="13">
        <f>SUM(E82*12)</f>
        <v>55094.399999999994</v>
      </c>
      <c r="G82" s="13">
        <v>2.54</v>
      </c>
      <c r="H82" s="99">
        <f>SUM(F82*G82/1000)</f>
        <v>139.93977599999999</v>
      </c>
      <c r="I82" s="13">
        <f>F82/12*G82</f>
        <v>11661.647999999999</v>
      </c>
    </row>
    <row r="83" spans="1:9" ht="31.5" customHeight="1">
      <c r="A83" s="30">
        <v>14</v>
      </c>
      <c r="B83" s="14" t="s">
        <v>83</v>
      </c>
      <c r="C83" s="16"/>
      <c r="D83" s="103" t="s">
        <v>60</v>
      </c>
      <c r="E83" s="56">
        <f>E82</f>
        <v>4591.2</v>
      </c>
      <c r="F83" s="13">
        <f>E83*12</f>
        <v>55094.399999999994</v>
      </c>
      <c r="G83" s="13">
        <v>2.0499999999999998</v>
      </c>
      <c r="H83" s="99">
        <f>F83*G83/1000</f>
        <v>112.94351999999998</v>
      </c>
      <c r="I83" s="13">
        <f>F83/12*G83</f>
        <v>9411.9599999999991</v>
      </c>
    </row>
    <row r="84" spans="1:9" ht="15.75" customHeight="1">
      <c r="A84" s="50"/>
      <c r="B84" s="40" t="s">
        <v>86</v>
      </c>
      <c r="C84" s="42"/>
      <c r="D84" s="15"/>
      <c r="E84" s="15"/>
      <c r="F84" s="15"/>
      <c r="G84" s="19"/>
      <c r="H84" s="19"/>
      <c r="I84" s="33">
        <f>SUM(I16+I17+I18+I20+I26+I27+I30+I31+I33+I34+I61+I65+I82+I83)</f>
        <v>73943.878136200001</v>
      </c>
    </row>
    <row r="85" spans="1:9" ht="15.75" customHeight="1">
      <c r="A85" s="137" t="s">
        <v>65</v>
      </c>
      <c r="B85" s="138"/>
      <c r="C85" s="138"/>
      <c r="D85" s="138"/>
      <c r="E85" s="138"/>
      <c r="F85" s="138"/>
      <c r="G85" s="138"/>
      <c r="H85" s="138"/>
      <c r="I85" s="139"/>
    </row>
    <row r="86" spans="1:9" ht="15.75" customHeight="1">
      <c r="A86" s="30">
        <v>15</v>
      </c>
      <c r="B86" s="66" t="s">
        <v>204</v>
      </c>
      <c r="C86" s="67" t="s">
        <v>99</v>
      </c>
      <c r="D86" s="49"/>
      <c r="E86" s="37"/>
      <c r="F86" s="37">
        <f>124/3</f>
        <v>41.333333333333336</v>
      </c>
      <c r="G86" s="37">
        <v>1120.8900000000001</v>
      </c>
      <c r="H86" s="117">
        <f t="shared" ref="H86:H88" si="7">G86*F86/1000</f>
        <v>46.330120000000008</v>
      </c>
      <c r="I86" s="13">
        <f>G86*((15+10+15)/3)</f>
        <v>14945.200000000003</v>
      </c>
    </row>
    <row r="87" spans="1:9" ht="31.5" customHeight="1">
      <c r="A87" s="30">
        <v>16</v>
      </c>
      <c r="B87" s="53" t="s">
        <v>207</v>
      </c>
      <c r="C87" s="58" t="s">
        <v>87</v>
      </c>
      <c r="D87" s="49"/>
      <c r="E87" s="37"/>
      <c r="F87" s="37">
        <v>11</v>
      </c>
      <c r="G87" s="37">
        <v>1187</v>
      </c>
      <c r="H87" s="117">
        <f t="shared" si="7"/>
        <v>13.057</v>
      </c>
      <c r="I87" s="13">
        <f>G87</f>
        <v>1187</v>
      </c>
    </row>
    <row r="88" spans="1:9" ht="15.75" customHeight="1">
      <c r="A88" s="30">
        <v>17</v>
      </c>
      <c r="B88" s="115" t="s">
        <v>211</v>
      </c>
      <c r="C88" s="116" t="s">
        <v>212</v>
      </c>
      <c r="D88" s="118"/>
      <c r="E88" s="37"/>
      <c r="F88" s="37">
        <v>3</v>
      </c>
      <c r="G88" s="37">
        <v>663.38</v>
      </c>
      <c r="H88" s="117">
        <f t="shared" si="7"/>
        <v>1.9901399999999998</v>
      </c>
      <c r="I88" s="13">
        <f>G88</f>
        <v>663.38</v>
      </c>
    </row>
    <row r="89" spans="1:9" ht="31.5" customHeight="1">
      <c r="A89" s="30">
        <v>18</v>
      </c>
      <c r="B89" s="53" t="s">
        <v>96</v>
      </c>
      <c r="C89" s="58" t="s">
        <v>101</v>
      </c>
      <c r="D89" s="49"/>
      <c r="E89" s="37"/>
      <c r="F89" s="37">
        <v>3</v>
      </c>
      <c r="G89" s="37">
        <v>589.84</v>
      </c>
      <c r="H89" s="117">
        <f>G89*F89/1000</f>
        <v>1.76952</v>
      </c>
      <c r="I89" s="13">
        <f>G89*3</f>
        <v>1769.52</v>
      </c>
    </row>
    <row r="90" spans="1:9" ht="15.75" customHeight="1">
      <c r="A90" s="30">
        <v>19</v>
      </c>
      <c r="B90" s="53" t="s">
        <v>232</v>
      </c>
      <c r="C90" s="58" t="s">
        <v>101</v>
      </c>
      <c r="D90" s="49"/>
      <c r="E90" s="37"/>
      <c r="F90" s="37">
        <v>1</v>
      </c>
      <c r="G90" s="38">
        <v>760.76</v>
      </c>
      <c r="H90" s="117">
        <f>G90*F90/1000</f>
        <v>0.76075999999999999</v>
      </c>
      <c r="I90" s="13">
        <f>G90</f>
        <v>760.76</v>
      </c>
    </row>
    <row r="91" spans="1:9" ht="31.5" customHeight="1">
      <c r="A91" s="30">
        <v>20</v>
      </c>
      <c r="B91" s="53" t="s">
        <v>233</v>
      </c>
      <c r="C91" s="58" t="s">
        <v>87</v>
      </c>
      <c r="D91" s="49"/>
      <c r="E91" s="37"/>
      <c r="F91" s="37">
        <v>1.5</v>
      </c>
      <c r="G91" s="37">
        <v>1272</v>
      </c>
      <c r="H91" s="117">
        <f t="shared" ref="H91:H92" si="8">G91*F91/1000</f>
        <v>1.9079999999999999</v>
      </c>
      <c r="I91" s="13">
        <f>G91*0.5</f>
        <v>636</v>
      </c>
    </row>
    <row r="92" spans="1:9" ht="31.5" customHeight="1">
      <c r="A92" s="30">
        <v>21</v>
      </c>
      <c r="B92" s="115" t="s">
        <v>234</v>
      </c>
      <c r="C92" s="116" t="s">
        <v>112</v>
      </c>
      <c r="D92" s="49"/>
      <c r="E92" s="37"/>
      <c r="F92" s="37">
        <v>1</v>
      </c>
      <c r="G92" s="37">
        <v>54.17</v>
      </c>
      <c r="H92" s="117">
        <f t="shared" si="8"/>
        <v>5.4170000000000003E-2</v>
      </c>
      <c r="I92" s="13">
        <f>G92</f>
        <v>54.17</v>
      </c>
    </row>
    <row r="93" spans="1:9" ht="15.75" customHeight="1">
      <c r="A93" s="30"/>
      <c r="B93" s="47" t="s">
        <v>54</v>
      </c>
      <c r="C93" s="43"/>
      <c r="D93" s="51"/>
      <c r="E93" s="43">
        <v>1</v>
      </c>
      <c r="F93" s="43"/>
      <c r="G93" s="43"/>
      <c r="H93" s="43"/>
      <c r="I93" s="33">
        <f>SUM(I86:I92)</f>
        <v>20016.03</v>
      </c>
    </row>
    <row r="94" spans="1:9" ht="15.75" customHeight="1">
      <c r="A94" s="30"/>
      <c r="B94" s="49" t="s">
        <v>84</v>
      </c>
      <c r="C94" s="15"/>
      <c r="D94" s="15"/>
      <c r="E94" s="44"/>
      <c r="F94" s="44"/>
      <c r="G94" s="45"/>
      <c r="H94" s="45"/>
      <c r="I94" s="18">
        <v>0</v>
      </c>
    </row>
    <row r="95" spans="1:9" ht="15.75" customHeight="1">
      <c r="A95" s="52"/>
      <c r="B95" s="48" t="s">
        <v>203</v>
      </c>
      <c r="C95" s="36"/>
      <c r="D95" s="36"/>
      <c r="E95" s="36"/>
      <c r="F95" s="36"/>
      <c r="G95" s="36"/>
      <c r="H95" s="36"/>
      <c r="I95" s="46">
        <f>I84+I93</f>
        <v>93959.9081362</v>
      </c>
    </row>
    <row r="96" spans="1:9" ht="15.75" customHeight="1">
      <c r="A96" s="134" t="s">
        <v>235</v>
      </c>
      <c r="B96" s="134"/>
      <c r="C96" s="134"/>
      <c r="D96" s="134"/>
      <c r="E96" s="134"/>
      <c r="F96" s="134"/>
      <c r="G96" s="134"/>
      <c r="H96" s="134"/>
      <c r="I96" s="134"/>
    </row>
    <row r="97" spans="1:9" ht="15.75" customHeight="1">
      <c r="A97" s="65"/>
      <c r="B97" s="135" t="s">
        <v>236</v>
      </c>
      <c r="C97" s="135"/>
      <c r="D97" s="135"/>
      <c r="E97" s="135"/>
      <c r="F97" s="135"/>
      <c r="G97" s="135"/>
      <c r="H97" s="80"/>
      <c r="I97" s="3"/>
    </row>
    <row r="98" spans="1:9" ht="15.75" customHeight="1">
      <c r="A98" s="59"/>
      <c r="B98" s="125" t="s">
        <v>6</v>
      </c>
      <c r="C98" s="125"/>
      <c r="D98" s="125"/>
      <c r="E98" s="125"/>
      <c r="F98" s="125"/>
      <c r="G98" s="125"/>
      <c r="H98" s="25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36" t="s">
        <v>7</v>
      </c>
      <c r="B100" s="136"/>
      <c r="C100" s="136"/>
      <c r="D100" s="136"/>
      <c r="E100" s="136"/>
      <c r="F100" s="136"/>
      <c r="G100" s="136"/>
      <c r="H100" s="136"/>
      <c r="I100" s="136"/>
    </row>
    <row r="101" spans="1:9" ht="15.75" customHeight="1">
      <c r="A101" s="136" t="s">
        <v>8</v>
      </c>
      <c r="B101" s="136"/>
      <c r="C101" s="136"/>
      <c r="D101" s="136"/>
      <c r="E101" s="136"/>
      <c r="F101" s="136"/>
      <c r="G101" s="136"/>
      <c r="H101" s="136"/>
      <c r="I101" s="136"/>
    </row>
    <row r="102" spans="1:9" ht="15.75" customHeight="1">
      <c r="A102" s="129" t="s">
        <v>66</v>
      </c>
      <c r="B102" s="129"/>
      <c r="C102" s="129"/>
      <c r="D102" s="129"/>
      <c r="E102" s="129"/>
      <c r="F102" s="129"/>
      <c r="G102" s="129"/>
      <c r="H102" s="129"/>
      <c r="I102" s="129"/>
    </row>
    <row r="103" spans="1:9" ht="15.75" customHeight="1">
      <c r="A103" s="11"/>
    </row>
    <row r="104" spans="1:9" ht="15.75" customHeight="1">
      <c r="A104" s="123" t="s">
        <v>9</v>
      </c>
      <c r="B104" s="123"/>
      <c r="C104" s="123"/>
      <c r="D104" s="123"/>
      <c r="E104" s="123"/>
      <c r="F104" s="123"/>
      <c r="G104" s="123"/>
      <c r="H104" s="123"/>
      <c r="I104" s="123"/>
    </row>
    <row r="105" spans="1:9" ht="15.75" customHeight="1">
      <c r="A105" s="4"/>
    </row>
    <row r="106" spans="1:9" ht="15.75" customHeight="1">
      <c r="B106" s="62" t="s">
        <v>10</v>
      </c>
      <c r="C106" s="124" t="s">
        <v>97</v>
      </c>
      <c r="D106" s="124"/>
      <c r="E106" s="124"/>
      <c r="F106" s="78"/>
      <c r="I106" s="61"/>
    </row>
    <row r="107" spans="1:9" ht="15.75" customHeight="1">
      <c r="A107" s="59"/>
      <c r="C107" s="125" t="s">
        <v>11</v>
      </c>
      <c r="D107" s="125"/>
      <c r="E107" s="125"/>
      <c r="F107" s="25"/>
      <c r="I107" s="60" t="s">
        <v>12</v>
      </c>
    </row>
    <row r="108" spans="1:9" ht="15.75" customHeight="1">
      <c r="A108" s="26"/>
      <c r="C108" s="12"/>
      <c r="D108" s="12"/>
      <c r="G108" s="12"/>
      <c r="H108" s="12"/>
    </row>
    <row r="109" spans="1:9" ht="15.75" customHeight="1">
      <c r="B109" s="62" t="s">
        <v>13</v>
      </c>
      <c r="C109" s="126"/>
      <c r="D109" s="126"/>
      <c r="E109" s="126"/>
      <c r="F109" s="79"/>
      <c r="I109" s="61"/>
    </row>
    <row r="110" spans="1:9" ht="15.75" customHeight="1">
      <c r="A110" s="59"/>
      <c r="C110" s="127" t="s">
        <v>11</v>
      </c>
      <c r="D110" s="127"/>
      <c r="E110" s="127"/>
      <c r="F110" s="59"/>
      <c r="I110" s="60" t="s">
        <v>12</v>
      </c>
    </row>
    <row r="111" spans="1:9" ht="15.75" customHeight="1">
      <c r="A111" s="4" t="s">
        <v>14</v>
      </c>
    </row>
    <row r="112" spans="1:9" ht="15.75" customHeight="1">
      <c r="A112" s="128" t="s">
        <v>15</v>
      </c>
      <c r="B112" s="128"/>
      <c r="C112" s="128"/>
      <c r="D112" s="128"/>
      <c r="E112" s="128"/>
      <c r="F112" s="128"/>
      <c r="G112" s="128"/>
      <c r="H112" s="128"/>
      <c r="I112" s="128"/>
    </row>
    <row r="113" spans="1:9" ht="45" customHeight="1">
      <c r="A113" s="122" t="s">
        <v>16</v>
      </c>
      <c r="B113" s="122"/>
      <c r="C113" s="122"/>
      <c r="D113" s="122"/>
      <c r="E113" s="122"/>
      <c r="F113" s="122"/>
      <c r="G113" s="122"/>
      <c r="H113" s="122"/>
      <c r="I113" s="122"/>
    </row>
    <row r="114" spans="1:9" ht="30" customHeight="1">
      <c r="A114" s="122" t="s">
        <v>17</v>
      </c>
      <c r="B114" s="122"/>
      <c r="C114" s="122"/>
      <c r="D114" s="122"/>
      <c r="E114" s="122"/>
      <c r="F114" s="122"/>
      <c r="G114" s="122"/>
      <c r="H114" s="122"/>
      <c r="I114" s="122"/>
    </row>
    <row r="115" spans="1:9" ht="30" customHeight="1">
      <c r="A115" s="122" t="s">
        <v>21</v>
      </c>
      <c r="B115" s="122"/>
      <c r="C115" s="122"/>
      <c r="D115" s="122"/>
      <c r="E115" s="122"/>
      <c r="F115" s="122"/>
      <c r="G115" s="122"/>
      <c r="H115" s="122"/>
      <c r="I115" s="122"/>
    </row>
    <row r="116" spans="1:9" ht="15" customHeight="1">
      <c r="A116" s="122" t="s">
        <v>20</v>
      </c>
      <c r="B116" s="122"/>
      <c r="C116" s="122"/>
      <c r="D116" s="122"/>
      <c r="E116" s="122"/>
      <c r="F116" s="122"/>
      <c r="G116" s="122"/>
      <c r="H116" s="122"/>
      <c r="I116" s="122"/>
    </row>
  </sheetData>
  <autoFilter ref="I12:I62"/>
  <mergeCells count="29">
    <mergeCell ref="R67:U67"/>
    <mergeCell ref="A81:I81"/>
    <mergeCell ref="A3:I3"/>
    <mergeCell ref="A4:I4"/>
    <mergeCell ref="A5:I5"/>
    <mergeCell ref="A8:I8"/>
    <mergeCell ref="A10:I10"/>
    <mergeCell ref="A14:I14"/>
    <mergeCell ref="A102:I102"/>
    <mergeCell ref="A15:I15"/>
    <mergeCell ref="A28:I28"/>
    <mergeCell ref="A45:I45"/>
    <mergeCell ref="A56:I56"/>
    <mergeCell ref="A96:I96"/>
    <mergeCell ref="B97:G97"/>
    <mergeCell ref="B98:G98"/>
    <mergeCell ref="A100:I100"/>
    <mergeCell ref="A101:I101"/>
    <mergeCell ref="A85:I85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92</v>
      </c>
      <c r="I1" s="27"/>
      <c r="J1" s="1"/>
      <c r="K1" s="1"/>
      <c r="L1" s="1"/>
      <c r="M1" s="1"/>
    </row>
    <row r="2" spans="1:13" ht="15.75" customHeight="1">
      <c r="A2" s="29" t="s">
        <v>67</v>
      </c>
      <c r="J2" s="2"/>
      <c r="K2" s="2"/>
      <c r="L2" s="2"/>
      <c r="M2" s="2"/>
    </row>
    <row r="3" spans="1:13" ht="15.75" customHeight="1">
      <c r="A3" s="143" t="s">
        <v>193</v>
      </c>
      <c r="B3" s="143"/>
      <c r="C3" s="143"/>
      <c r="D3" s="143"/>
      <c r="E3" s="143"/>
      <c r="F3" s="143"/>
      <c r="G3" s="143"/>
      <c r="H3" s="143"/>
      <c r="I3" s="143"/>
      <c r="J3" s="3"/>
      <c r="K3" s="3"/>
      <c r="L3" s="3"/>
    </row>
    <row r="4" spans="1:13" ht="31.5" customHeight="1">
      <c r="A4" s="144" t="s">
        <v>147</v>
      </c>
      <c r="B4" s="144"/>
      <c r="C4" s="144"/>
      <c r="D4" s="144"/>
      <c r="E4" s="144"/>
      <c r="F4" s="144"/>
      <c r="G4" s="144"/>
      <c r="H4" s="144"/>
      <c r="I4" s="144"/>
    </row>
    <row r="5" spans="1:13" ht="15.75" customHeight="1">
      <c r="A5" s="143" t="s">
        <v>237</v>
      </c>
      <c r="B5" s="145"/>
      <c r="C5" s="145"/>
      <c r="D5" s="145"/>
      <c r="E5" s="145"/>
      <c r="F5" s="145"/>
      <c r="G5" s="145"/>
      <c r="H5" s="145"/>
      <c r="I5" s="145"/>
      <c r="J5" s="2"/>
      <c r="K5" s="2"/>
      <c r="L5" s="2"/>
      <c r="M5" s="2"/>
    </row>
    <row r="6" spans="1:13" ht="15.75" customHeight="1">
      <c r="A6" s="2"/>
      <c r="B6" s="63"/>
      <c r="C6" s="63"/>
      <c r="D6" s="63"/>
      <c r="E6" s="63"/>
      <c r="F6" s="63"/>
      <c r="G6" s="63"/>
      <c r="H6" s="63"/>
      <c r="I6" s="31">
        <v>43008</v>
      </c>
      <c r="J6" s="2"/>
      <c r="K6" s="2"/>
      <c r="L6" s="2"/>
      <c r="M6" s="2"/>
    </row>
    <row r="7" spans="1:13" ht="15.75" customHeight="1">
      <c r="B7" s="62"/>
      <c r="C7" s="62"/>
      <c r="D7" s="6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158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276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8" t="s">
        <v>64</v>
      </c>
      <c r="B14" s="148"/>
      <c r="C14" s="148"/>
      <c r="D14" s="148"/>
      <c r="E14" s="148"/>
      <c r="F14" s="148"/>
      <c r="G14" s="148"/>
      <c r="H14" s="148"/>
      <c r="I14" s="148"/>
      <c r="J14" s="8"/>
      <c r="K14" s="8"/>
      <c r="L14" s="8"/>
      <c r="M14" s="8"/>
    </row>
    <row r="15" spans="1:13" ht="15.75" customHeight="1">
      <c r="A15" s="130" t="s">
        <v>4</v>
      </c>
      <c r="B15" s="130"/>
      <c r="C15" s="130"/>
      <c r="D15" s="130"/>
      <c r="E15" s="130"/>
      <c r="F15" s="130"/>
      <c r="G15" s="130"/>
      <c r="H15" s="130"/>
      <c r="I15" s="130"/>
      <c r="J15" s="8"/>
      <c r="K15" s="8"/>
      <c r="L15" s="8"/>
      <c r="M15" s="8"/>
    </row>
    <row r="16" spans="1:13" ht="15.75" customHeight="1">
      <c r="A16" s="30">
        <v>1</v>
      </c>
      <c r="B16" s="82" t="s">
        <v>93</v>
      </c>
      <c r="C16" s="83" t="s">
        <v>116</v>
      </c>
      <c r="D16" s="82" t="s">
        <v>117</v>
      </c>
      <c r="E16" s="56">
        <v>127.9</v>
      </c>
      <c r="F16" s="84">
        <f>SUM(E16*156/100)</f>
        <v>199.524</v>
      </c>
      <c r="G16" s="84">
        <v>187.48</v>
      </c>
      <c r="H16" s="85">
        <f t="shared" ref="H16:H25" si="0">SUM(F16*G16/1000)</f>
        <v>37.406759520000001</v>
      </c>
      <c r="I16" s="13">
        <f>F16/12*G16</f>
        <v>3117.2299599999997</v>
      </c>
      <c r="J16" s="8"/>
      <c r="K16" s="8"/>
      <c r="L16" s="8"/>
      <c r="M16" s="8"/>
    </row>
    <row r="17" spans="1:13" ht="15.75" customHeight="1">
      <c r="A17" s="30">
        <v>2</v>
      </c>
      <c r="B17" s="82" t="s">
        <v>102</v>
      </c>
      <c r="C17" s="83" t="s">
        <v>116</v>
      </c>
      <c r="D17" s="82" t="s">
        <v>181</v>
      </c>
      <c r="E17" s="56">
        <v>511.6</v>
      </c>
      <c r="F17" s="84">
        <f>SUM(E17*104/100)</f>
        <v>532.06399999999996</v>
      </c>
      <c r="G17" s="84">
        <v>185.48</v>
      </c>
      <c r="H17" s="85">
        <f t="shared" si="0"/>
        <v>98.687230719999988</v>
      </c>
      <c r="I17" s="13">
        <f>F17/12*G17</f>
        <v>8223.9358933333315</v>
      </c>
      <c r="J17" s="23"/>
      <c r="K17" s="8"/>
      <c r="L17" s="8"/>
      <c r="M17" s="8"/>
    </row>
    <row r="18" spans="1:13" ht="15.75" customHeight="1">
      <c r="A18" s="30">
        <v>3</v>
      </c>
      <c r="B18" s="82" t="s">
        <v>103</v>
      </c>
      <c r="C18" s="83" t="s">
        <v>116</v>
      </c>
      <c r="D18" s="82" t="s">
        <v>118</v>
      </c>
      <c r="E18" s="56">
        <f>SUM(E16+E17)</f>
        <v>639.5</v>
      </c>
      <c r="F18" s="84">
        <f>SUM(E18*24/100)</f>
        <v>153.47999999999999</v>
      </c>
      <c r="G18" s="84">
        <v>539.30999999999995</v>
      </c>
      <c r="H18" s="85">
        <f t="shared" si="0"/>
        <v>82.773298799999992</v>
      </c>
      <c r="I18" s="13">
        <f>F18/12*G18</f>
        <v>6897.7748999999985</v>
      </c>
      <c r="J18" s="23"/>
      <c r="K18" s="8"/>
      <c r="L18" s="8"/>
      <c r="M18" s="8"/>
    </row>
    <row r="19" spans="1:13" ht="15.75" hidden="1" customHeight="1">
      <c r="A19" s="30"/>
      <c r="B19" s="82" t="s">
        <v>119</v>
      </c>
      <c r="C19" s="83" t="s">
        <v>120</v>
      </c>
      <c r="D19" s="82" t="s">
        <v>121</v>
      </c>
      <c r="E19" s="56">
        <v>38.4</v>
      </c>
      <c r="F19" s="84">
        <f>SUM(E19/10)</f>
        <v>3.84</v>
      </c>
      <c r="G19" s="84">
        <v>181.91</v>
      </c>
      <c r="H19" s="85">
        <f t="shared" si="0"/>
        <v>0.6985344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82" t="s">
        <v>107</v>
      </c>
      <c r="C20" s="83" t="s">
        <v>116</v>
      </c>
      <c r="D20" s="82" t="s">
        <v>30</v>
      </c>
      <c r="E20" s="56">
        <v>58.4</v>
      </c>
      <c r="F20" s="84">
        <f>SUM(E20*12/100)</f>
        <v>7.0079999999999991</v>
      </c>
      <c r="G20" s="84">
        <v>232.92</v>
      </c>
      <c r="H20" s="85">
        <f t="shared" si="0"/>
        <v>1.6323033599999996</v>
      </c>
      <c r="I20" s="13">
        <f>F20/12*G20</f>
        <v>136.02527999999998</v>
      </c>
      <c r="J20" s="23"/>
      <c r="K20" s="8"/>
      <c r="L20" s="8"/>
      <c r="M20" s="8"/>
    </row>
    <row r="21" spans="1:13" ht="15.75" customHeight="1">
      <c r="A21" s="30">
        <v>5</v>
      </c>
      <c r="B21" s="82" t="s">
        <v>108</v>
      </c>
      <c r="C21" s="83" t="s">
        <v>116</v>
      </c>
      <c r="D21" s="82" t="s">
        <v>115</v>
      </c>
      <c r="E21" s="56">
        <v>9.08</v>
      </c>
      <c r="F21" s="84">
        <f>SUM(E21*6/100)</f>
        <v>0.54480000000000006</v>
      </c>
      <c r="G21" s="84">
        <v>231.03</v>
      </c>
      <c r="H21" s="85">
        <f t="shared" si="0"/>
        <v>0.12586514400000001</v>
      </c>
      <c r="I21" s="13">
        <f>F21/6*G21</f>
        <v>20.977524000000003</v>
      </c>
      <c r="J21" s="23"/>
      <c r="K21" s="8"/>
      <c r="L21" s="8"/>
      <c r="M21" s="8"/>
    </row>
    <row r="22" spans="1:13" ht="15.75" hidden="1" customHeight="1">
      <c r="A22" s="30"/>
      <c r="B22" s="82" t="s">
        <v>122</v>
      </c>
      <c r="C22" s="83" t="s">
        <v>56</v>
      </c>
      <c r="D22" s="82" t="s">
        <v>121</v>
      </c>
      <c r="E22" s="56">
        <v>714</v>
      </c>
      <c r="F22" s="84">
        <f>SUM(E22/100)</f>
        <v>7.14</v>
      </c>
      <c r="G22" s="84">
        <v>287.83999999999997</v>
      </c>
      <c r="H22" s="85">
        <f t="shared" si="0"/>
        <v>2.0551775999999995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82" t="s">
        <v>123</v>
      </c>
      <c r="C23" s="83" t="s">
        <v>56</v>
      </c>
      <c r="D23" s="82" t="s">
        <v>121</v>
      </c>
      <c r="E23" s="77">
        <v>96.6</v>
      </c>
      <c r="F23" s="84">
        <f>SUM(E23/100)</f>
        <v>0.96599999999999997</v>
      </c>
      <c r="G23" s="84">
        <v>47.34</v>
      </c>
      <c r="H23" s="85">
        <f t="shared" si="0"/>
        <v>4.5730440000000004E-2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82" t="s">
        <v>110</v>
      </c>
      <c r="C24" s="83" t="s">
        <v>56</v>
      </c>
      <c r="D24" s="82" t="s">
        <v>121</v>
      </c>
      <c r="E24" s="19">
        <v>40</v>
      </c>
      <c r="F24" s="86">
        <v>4.8</v>
      </c>
      <c r="G24" s="84">
        <v>416.62</v>
      </c>
      <c r="H24" s="85">
        <f>F24*G24/1000</f>
        <v>1.9997759999999998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82" t="s">
        <v>111</v>
      </c>
      <c r="C25" s="83" t="s">
        <v>56</v>
      </c>
      <c r="D25" s="82" t="s">
        <v>121</v>
      </c>
      <c r="E25" s="56">
        <v>17</v>
      </c>
      <c r="F25" s="84">
        <f>SUM(E25/100)</f>
        <v>0.17</v>
      </c>
      <c r="G25" s="84">
        <v>556.74</v>
      </c>
      <c r="H25" s="85">
        <f t="shared" si="0"/>
        <v>9.4645800000000002E-2</v>
      </c>
      <c r="I25" s="13">
        <v>0</v>
      </c>
      <c r="J25" s="23"/>
      <c r="K25" s="8"/>
      <c r="L25" s="8"/>
      <c r="M25" s="8"/>
    </row>
    <row r="26" spans="1:13" ht="15.75" customHeight="1">
      <c r="A26" s="30">
        <v>6</v>
      </c>
      <c r="B26" s="82" t="s">
        <v>69</v>
      </c>
      <c r="C26" s="83" t="s">
        <v>34</v>
      </c>
      <c r="D26" s="82" t="s">
        <v>161</v>
      </c>
      <c r="E26" s="56">
        <v>0.1</v>
      </c>
      <c r="F26" s="84">
        <f>SUM(E26*365)</f>
        <v>36.5</v>
      </c>
      <c r="G26" s="84">
        <v>157.18</v>
      </c>
      <c r="H26" s="85">
        <f>SUM(F26*G26/1000)</f>
        <v>5.737070000000001</v>
      </c>
      <c r="I26" s="13">
        <f>F26/12*G26</f>
        <v>478.08916666666664</v>
      </c>
      <c r="J26" s="24"/>
    </row>
    <row r="27" spans="1:13" ht="15.75" customHeight="1">
      <c r="A27" s="30">
        <v>7</v>
      </c>
      <c r="B27" s="90" t="s">
        <v>23</v>
      </c>
      <c r="C27" s="83" t="s">
        <v>24</v>
      </c>
      <c r="D27" s="90" t="s">
        <v>161</v>
      </c>
      <c r="E27" s="56">
        <v>4591.2</v>
      </c>
      <c r="F27" s="84">
        <f>SUM(E27*12)</f>
        <v>55094.399999999994</v>
      </c>
      <c r="G27" s="84">
        <v>5.85</v>
      </c>
      <c r="H27" s="85">
        <f>SUM(F27*G27/1000)</f>
        <v>322.30223999999993</v>
      </c>
      <c r="I27" s="13">
        <f>F27/12*G27</f>
        <v>26858.519999999997</v>
      </c>
      <c r="J27" s="24"/>
    </row>
    <row r="28" spans="1:13" ht="15.75" customHeight="1">
      <c r="A28" s="130" t="s">
        <v>91</v>
      </c>
      <c r="B28" s="130"/>
      <c r="C28" s="130"/>
      <c r="D28" s="130"/>
      <c r="E28" s="130"/>
      <c r="F28" s="130"/>
      <c r="G28" s="130"/>
      <c r="H28" s="130"/>
      <c r="I28" s="130"/>
      <c r="J28" s="23"/>
      <c r="K28" s="8"/>
      <c r="L28" s="8"/>
      <c r="M28" s="8"/>
    </row>
    <row r="29" spans="1:13" ht="15.75" customHeight="1">
      <c r="A29" s="30"/>
      <c r="B29" s="106" t="s">
        <v>28</v>
      </c>
      <c r="C29" s="83"/>
      <c r="D29" s="82"/>
      <c r="E29" s="56"/>
      <c r="F29" s="84"/>
      <c r="G29" s="84"/>
      <c r="H29" s="85"/>
      <c r="I29" s="13"/>
      <c r="J29" s="23"/>
      <c r="K29" s="8"/>
      <c r="L29" s="8"/>
      <c r="M29" s="8"/>
    </row>
    <row r="30" spans="1:13" ht="15.75" customHeight="1">
      <c r="A30" s="30">
        <v>8</v>
      </c>
      <c r="B30" s="82" t="s">
        <v>124</v>
      </c>
      <c r="C30" s="83" t="s">
        <v>125</v>
      </c>
      <c r="D30" s="82" t="s">
        <v>126</v>
      </c>
      <c r="E30" s="84">
        <v>844.95</v>
      </c>
      <c r="F30" s="84">
        <f>SUM(E30*52/1000)</f>
        <v>43.937400000000004</v>
      </c>
      <c r="G30" s="84">
        <v>166.65</v>
      </c>
      <c r="H30" s="85">
        <f>SUM(F30*G30/1000)</f>
        <v>7.3221677100000004</v>
      </c>
      <c r="I30" s="13">
        <f>F30/6*G30</f>
        <v>1220.3612850000002</v>
      </c>
      <c r="J30" s="23"/>
      <c r="K30" s="8"/>
      <c r="L30" s="8"/>
      <c r="M30" s="8"/>
    </row>
    <row r="31" spans="1:13" ht="31.5" customHeight="1">
      <c r="A31" s="30">
        <v>9</v>
      </c>
      <c r="B31" s="82" t="s">
        <v>182</v>
      </c>
      <c r="C31" s="83" t="s">
        <v>125</v>
      </c>
      <c r="D31" s="82" t="s">
        <v>127</v>
      </c>
      <c r="E31" s="84">
        <v>260.13</v>
      </c>
      <c r="F31" s="84">
        <f>SUM(E31*78/1000)</f>
        <v>20.290140000000001</v>
      </c>
      <c r="G31" s="84">
        <v>276.48</v>
      </c>
      <c r="H31" s="85">
        <f t="shared" ref="H31:H36" si="1">SUM(F31*G31/1000)</f>
        <v>5.6098179072000001</v>
      </c>
      <c r="I31" s="13">
        <f t="shared" ref="I31:I34" si="2">F31/6*G31</f>
        <v>934.96965120000016</v>
      </c>
      <c r="J31" s="23"/>
      <c r="K31" s="8"/>
      <c r="L31" s="8"/>
      <c r="M31" s="8"/>
    </row>
    <row r="32" spans="1:13" ht="15.75" hidden="1" customHeight="1">
      <c r="A32" s="30"/>
      <c r="B32" s="82" t="s">
        <v>27</v>
      </c>
      <c r="C32" s="83" t="s">
        <v>125</v>
      </c>
      <c r="D32" s="82" t="s">
        <v>57</v>
      </c>
      <c r="E32" s="84">
        <v>844.95</v>
      </c>
      <c r="F32" s="84">
        <f>SUM(E32/1000)</f>
        <v>0.84495000000000009</v>
      </c>
      <c r="G32" s="84">
        <v>3228.73</v>
      </c>
      <c r="H32" s="85">
        <f t="shared" si="1"/>
        <v>2.7281154135000003</v>
      </c>
      <c r="I32" s="13">
        <f>F32*G32</f>
        <v>2728.1154135000002</v>
      </c>
      <c r="J32" s="23"/>
      <c r="K32" s="8"/>
      <c r="L32" s="8"/>
      <c r="M32" s="8"/>
    </row>
    <row r="33" spans="1:14" ht="15.75" customHeight="1">
      <c r="A33" s="30">
        <v>10</v>
      </c>
      <c r="B33" s="82" t="s">
        <v>160</v>
      </c>
      <c r="C33" s="83" t="s">
        <v>42</v>
      </c>
      <c r="D33" s="82" t="s">
        <v>68</v>
      </c>
      <c r="E33" s="84">
        <v>8</v>
      </c>
      <c r="F33" s="84">
        <v>12.4</v>
      </c>
      <c r="G33" s="84">
        <v>1391.86</v>
      </c>
      <c r="H33" s="85">
        <v>17.259</v>
      </c>
      <c r="I33" s="13">
        <f t="shared" si="2"/>
        <v>2876.5106666666666</v>
      </c>
      <c r="J33" s="23"/>
      <c r="K33" s="8"/>
      <c r="L33" s="8"/>
      <c r="M33" s="8"/>
    </row>
    <row r="34" spans="1:14" ht="15.75" customHeight="1">
      <c r="A34" s="30">
        <v>11</v>
      </c>
      <c r="B34" s="82" t="s">
        <v>128</v>
      </c>
      <c r="C34" s="83" t="s">
        <v>31</v>
      </c>
      <c r="D34" s="82" t="s">
        <v>68</v>
      </c>
      <c r="E34" s="89">
        <v>0.33333333333333331</v>
      </c>
      <c r="F34" s="84">
        <f>155/3</f>
        <v>51.666666666666664</v>
      </c>
      <c r="G34" s="84">
        <v>60.6</v>
      </c>
      <c r="H34" s="85">
        <f>SUM(G34*155/3/1000)</f>
        <v>3.1309999999999998</v>
      </c>
      <c r="I34" s="13">
        <f t="shared" si="2"/>
        <v>521.83333333333337</v>
      </c>
      <c r="J34" s="23"/>
      <c r="K34" s="8"/>
    </row>
    <row r="35" spans="1:14" ht="15.75" hidden="1" customHeight="1">
      <c r="A35" s="30"/>
      <c r="B35" s="82" t="s">
        <v>70</v>
      </c>
      <c r="C35" s="83" t="s">
        <v>34</v>
      </c>
      <c r="D35" s="82" t="s">
        <v>72</v>
      </c>
      <c r="E35" s="56"/>
      <c r="F35" s="84">
        <v>3</v>
      </c>
      <c r="G35" s="84">
        <v>204.32</v>
      </c>
      <c r="H35" s="85">
        <f t="shared" si="1"/>
        <v>0.61296000000000006</v>
      </c>
      <c r="I35" s="13">
        <v>0</v>
      </c>
      <c r="J35" s="24"/>
    </row>
    <row r="36" spans="1:14" ht="15.75" hidden="1" customHeight="1">
      <c r="A36" s="30"/>
      <c r="B36" s="82" t="s">
        <v>71</v>
      </c>
      <c r="C36" s="83" t="s">
        <v>33</v>
      </c>
      <c r="D36" s="82" t="s">
        <v>72</v>
      </c>
      <c r="E36" s="56"/>
      <c r="F36" s="84">
        <v>2</v>
      </c>
      <c r="G36" s="84">
        <v>1214.73</v>
      </c>
      <c r="H36" s="85">
        <f t="shared" si="1"/>
        <v>2.4294600000000002</v>
      </c>
      <c r="I36" s="13">
        <v>0</v>
      </c>
      <c r="J36" s="24"/>
    </row>
    <row r="37" spans="1:14" ht="15.75" hidden="1" customHeight="1">
      <c r="A37" s="30"/>
      <c r="B37" s="106" t="s">
        <v>5</v>
      </c>
      <c r="C37" s="83"/>
      <c r="D37" s="82"/>
      <c r="E37" s="56"/>
      <c r="F37" s="84"/>
      <c r="G37" s="84"/>
      <c r="H37" s="85" t="s">
        <v>144</v>
      </c>
      <c r="I37" s="13"/>
      <c r="J37" s="24"/>
    </row>
    <row r="38" spans="1:14" ht="15.75" hidden="1" customHeight="1">
      <c r="A38" s="30">
        <v>8</v>
      </c>
      <c r="B38" s="82" t="s">
        <v>26</v>
      </c>
      <c r="C38" s="83" t="s">
        <v>33</v>
      </c>
      <c r="D38" s="82"/>
      <c r="E38" s="56"/>
      <c r="F38" s="84">
        <v>10</v>
      </c>
      <c r="G38" s="84">
        <v>1632.6</v>
      </c>
      <c r="H38" s="85">
        <f t="shared" ref="H38:H44" si="3">SUM(F38*G38/1000)</f>
        <v>16.326000000000001</v>
      </c>
      <c r="I38" s="13">
        <f>F38/6*G38</f>
        <v>2721</v>
      </c>
      <c r="J38" s="24"/>
    </row>
    <row r="39" spans="1:14" ht="15.75" hidden="1" customHeight="1">
      <c r="A39" s="30">
        <v>9</v>
      </c>
      <c r="B39" s="82" t="s">
        <v>162</v>
      </c>
      <c r="C39" s="83" t="s">
        <v>29</v>
      </c>
      <c r="D39" s="82" t="s">
        <v>129</v>
      </c>
      <c r="E39" s="84">
        <v>254.8</v>
      </c>
      <c r="F39" s="84">
        <f>SUM(E39*30/1000)</f>
        <v>7.6440000000000001</v>
      </c>
      <c r="G39" s="84">
        <v>2247.8000000000002</v>
      </c>
      <c r="H39" s="85">
        <f t="shared" si="3"/>
        <v>17.182183200000004</v>
      </c>
      <c r="I39" s="13">
        <f>F39/6*G39</f>
        <v>2863.6972000000001</v>
      </c>
      <c r="J39" s="24"/>
      <c r="L39" s="20"/>
      <c r="M39" s="21"/>
      <c r="N39" s="22"/>
    </row>
    <row r="40" spans="1:14" ht="15.75" hidden="1" customHeight="1">
      <c r="A40" s="30"/>
      <c r="B40" s="82" t="s">
        <v>104</v>
      </c>
      <c r="C40" s="83" t="s">
        <v>130</v>
      </c>
      <c r="D40" s="82" t="s">
        <v>72</v>
      </c>
      <c r="E40" s="56"/>
      <c r="F40" s="84">
        <v>40</v>
      </c>
      <c r="G40" s="84">
        <v>213.2</v>
      </c>
      <c r="H40" s="85">
        <f t="shared" si="3"/>
        <v>8.5280000000000005</v>
      </c>
      <c r="I40" s="13">
        <v>0</v>
      </c>
      <c r="J40" s="24"/>
      <c r="L40" s="20"/>
      <c r="M40" s="21"/>
      <c r="N40" s="22"/>
    </row>
    <row r="41" spans="1:14" ht="15.75" hidden="1" customHeight="1">
      <c r="A41" s="30">
        <v>10</v>
      </c>
      <c r="B41" s="82" t="s">
        <v>73</v>
      </c>
      <c r="C41" s="83" t="s">
        <v>29</v>
      </c>
      <c r="D41" s="82" t="s">
        <v>131</v>
      </c>
      <c r="E41" s="84">
        <v>260.13</v>
      </c>
      <c r="F41" s="84">
        <f>SUM(E41*155/1000)</f>
        <v>40.320149999999998</v>
      </c>
      <c r="G41" s="84">
        <v>374.95</v>
      </c>
      <c r="H41" s="85">
        <f t="shared" si="3"/>
        <v>15.118040242499999</v>
      </c>
      <c r="I41" s="13">
        <f>F41/6*G41</f>
        <v>2519.6733737499999</v>
      </c>
      <c r="J41" s="24"/>
      <c r="L41" s="20"/>
      <c r="M41" s="21"/>
      <c r="N41" s="22"/>
    </row>
    <row r="42" spans="1:14" ht="47.25" hidden="1" customHeight="1">
      <c r="A42" s="30">
        <v>11</v>
      </c>
      <c r="B42" s="82" t="s">
        <v>89</v>
      </c>
      <c r="C42" s="83" t="s">
        <v>125</v>
      </c>
      <c r="D42" s="82" t="s">
        <v>132</v>
      </c>
      <c r="E42" s="84">
        <v>132.72999999999999</v>
      </c>
      <c r="F42" s="84">
        <f>SUM(E42*35/1000)</f>
        <v>4.6455499999999992</v>
      </c>
      <c r="G42" s="84">
        <v>6203.7</v>
      </c>
      <c r="H42" s="85">
        <f t="shared" si="3"/>
        <v>28.819598534999994</v>
      </c>
      <c r="I42" s="13">
        <f>F42/6*G42</f>
        <v>4803.266422499999</v>
      </c>
      <c r="J42" s="24"/>
      <c r="L42" s="20"/>
      <c r="M42" s="21"/>
      <c r="N42" s="22"/>
    </row>
    <row r="43" spans="1:14" ht="15.75" hidden="1" customHeight="1">
      <c r="A43" s="30">
        <v>12</v>
      </c>
      <c r="B43" s="82" t="s">
        <v>133</v>
      </c>
      <c r="C43" s="83" t="s">
        <v>125</v>
      </c>
      <c r="D43" s="82" t="s">
        <v>74</v>
      </c>
      <c r="E43" s="84">
        <v>254.8</v>
      </c>
      <c r="F43" s="84">
        <f>SUM(E43*45/1000)</f>
        <v>11.465999999999999</v>
      </c>
      <c r="G43" s="84">
        <v>458.28</v>
      </c>
      <c r="H43" s="85">
        <f t="shared" si="3"/>
        <v>5.2546384799999997</v>
      </c>
      <c r="I43" s="13">
        <f>F43/6*G43</f>
        <v>875.77307999999982</v>
      </c>
      <c r="J43" s="24"/>
      <c r="L43" s="20"/>
      <c r="M43" s="21"/>
      <c r="N43" s="22"/>
    </row>
    <row r="44" spans="1:14" ht="15.75" hidden="1" customHeight="1">
      <c r="A44" s="30">
        <v>13</v>
      </c>
      <c r="B44" s="82" t="s">
        <v>75</v>
      </c>
      <c r="C44" s="83" t="s">
        <v>34</v>
      </c>
      <c r="D44" s="82"/>
      <c r="E44" s="56"/>
      <c r="F44" s="84">
        <v>0.9</v>
      </c>
      <c r="G44" s="84">
        <v>853.06</v>
      </c>
      <c r="H44" s="85">
        <f t="shared" si="3"/>
        <v>0.76775400000000005</v>
      </c>
      <c r="I44" s="13">
        <f>F44/6*G44</f>
        <v>127.95899999999999</v>
      </c>
      <c r="J44" s="24"/>
      <c r="L44" s="20"/>
      <c r="M44" s="21"/>
      <c r="N44" s="22"/>
    </row>
    <row r="45" spans="1:14" ht="15.75" customHeight="1">
      <c r="A45" s="131" t="s">
        <v>154</v>
      </c>
      <c r="B45" s="132"/>
      <c r="C45" s="132"/>
      <c r="D45" s="132"/>
      <c r="E45" s="132"/>
      <c r="F45" s="132"/>
      <c r="G45" s="132"/>
      <c r="H45" s="132"/>
      <c r="I45" s="133"/>
      <c r="J45" s="24"/>
      <c r="L45" s="20"/>
      <c r="M45" s="21"/>
      <c r="N45" s="22"/>
    </row>
    <row r="46" spans="1:14" ht="15.75" customHeight="1">
      <c r="A46" s="30">
        <v>12</v>
      </c>
      <c r="B46" s="82" t="s">
        <v>148</v>
      </c>
      <c r="C46" s="83" t="s">
        <v>125</v>
      </c>
      <c r="D46" s="82" t="s">
        <v>44</v>
      </c>
      <c r="E46" s="56">
        <v>1795.9</v>
      </c>
      <c r="F46" s="84">
        <f>SUM(E46*2/1000)</f>
        <v>3.5918000000000001</v>
      </c>
      <c r="G46" s="13">
        <v>865.61</v>
      </c>
      <c r="H46" s="85">
        <f t="shared" ref="H46:H55" si="4">SUM(F46*G46/1000)</f>
        <v>3.1090979980000002</v>
      </c>
      <c r="I46" s="13">
        <f t="shared" ref="I46:I49" si="5">F46/2*G46</f>
        <v>1554.5489990000001</v>
      </c>
      <c r="J46" s="24"/>
      <c r="L46" s="20"/>
      <c r="M46" s="21"/>
      <c r="N46" s="22"/>
    </row>
    <row r="47" spans="1:14" ht="15.75" customHeight="1">
      <c r="A47" s="30">
        <v>13</v>
      </c>
      <c r="B47" s="82" t="s">
        <v>37</v>
      </c>
      <c r="C47" s="83" t="s">
        <v>125</v>
      </c>
      <c r="D47" s="82" t="s">
        <v>44</v>
      </c>
      <c r="E47" s="56">
        <v>104</v>
      </c>
      <c r="F47" s="84">
        <f>SUM(E47*2/1000)</f>
        <v>0.20799999999999999</v>
      </c>
      <c r="G47" s="13">
        <v>619.46</v>
      </c>
      <c r="H47" s="85">
        <f t="shared" si="4"/>
        <v>0.12884767999999999</v>
      </c>
      <c r="I47" s="13">
        <f t="shared" si="5"/>
        <v>64.423839999999998</v>
      </c>
      <c r="J47" s="24"/>
      <c r="L47" s="20"/>
      <c r="M47" s="21"/>
      <c r="N47" s="22"/>
    </row>
    <row r="48" spans="1:14" ht="15.75" customHeight="1">
      <c r="A48" s="30">
        <v>14</v>
      </c>
      <c r="B48" s="82" t="s">
        <v>38</v>
      </c>
      <c r="C48" s="83" t="s">
        <v>125</v>
      </c>
      <c r="D48" s="82" t="s">
        <v>44</v>
      </c>
      <c r="E48" s="56">
        <v>1996.87</v>
      </c>
      <c r="F48" s="84">
        <f>SUM(E48*2/1000)</f>
        <v>3.9937399999999998</v>
      </c>
      <c r="G48" s="13">
        <v>619.46</v>
      </c>
      <c r="H48" s="85">
        <f t="shared" si="4"/>
        <v>2.4739621804</v>
      </c>
      <c r="I48" s="13">
        <f t="shared" si="5"/>
        <v>1236.9810901999999</v>
      </c>
      <c r="J48" s="24"/>
      <c r="L48" s="20"/>
      <c r="M48" s="21"/>
      <c r="N48" s="22"/>
    </row>
    <row r="49" spans="1:22" ht="15.75" customHeight="1">
      <c r="A49" s="30">
        <v>15</v>
      </c>
      <c r="B49" s="82" t="s">
        <v>39</v>
      </c>
      <c r="C49" s="83" t="s">
        <v>125</v>
      </c>
      <c r="D49" s="82" t="s">
        <v>44</v>
      </c>
      <c r="E49" s="56">
        <v>2630.35</v>
      </c>
      <c r="F49" s="84">
        <f>SUM(E49*2/1000)</f>
        <v>5.2606999999999999</v>
      </c>
      <c r="G49" s="13">
        <v>648.64</v>
      </c>
      <c r="H49" s="85">
        <f t="shared" si="4"/>
        <v>3.4123004479999999</v>
      </c>
      <c r="I49" s="13">
        <f t="shared" si="5"/>
        <v>1706.150224</v>
      </c>
      <c r="J49" s="24"/>
      <c r="L49" s="20"/>
      <c r="M49" s="21"/>
      <c r="N49" s="22"/>
    </row>
    <row r="50" spans="1:22" ht="15.75" customHeight="1">
      <c r="A50" s="30">
        <v>16</v>
      </c>
      <c r="B50" s="82" t="s">
        <v>35</v>
      </c>
      <c r="C50" s="83" t="s">
        <v>36</v>
      </c>
      <c r="D50" s="82" t="s">
        <v>44</v>
      </c>
      <c r="E50" s="56">
        <v>131.47</v>
      </c>
      <c r="F50" s="84">
        <f>SUM(E50*2/100)</f>
        <v>2.6294</v>
      </c>
      <c r="G50" s="13">
        <v>77.84</v>
      </c>
      <c r="H50" s="85">
        <f t="shared" si="4"/>
        <v>0.20467249599999998</v>
      </c>
      <c r="I50" s="13">
        <f>F50/2*G50</f>
        <v>102.336248</v>
      </c>
      <c r="J50" s="24"/>
      <c r="L50" s="20"/>
      <c r="M50" s="21"/>
      <c r="N50" s="22"/>
    </row>
    <row r="51" spans="1:22" ht="15.75" customHeight="1">
      <c r="A51" s="30">
        <v>17</v>
      </c>
      <c r="B51" s="82" t="s">
        <v>61</v>
      </c>
      <c r="C51" s="83" t="s">
        <v>125</v>
      </c>
      <c r="D51" s="82" t="s">
        <v>183</v>
      </c>
      <c r="E51" s="56">
        <v>2872.4</v>
      </c>
      <c r="F51" s="84">
        <f>SUM(E51*5/1000)</f>
        <v>14.362</v>
      </c>
      <c r="G51" s="13">
        <v>1297.28</v>
      </c>
      <c r="H51" s="85">
        <f t="shared" si="4"/>
        <v>18.631535359999997</v>
      </c>
      <c r="I51" s="13">
        <f>F51/5*G51</f>
        <v>3726.3070719999996</v>
      </c>
      <c r="J51" s="24"/>
      <c r="L51" s="20"/>
      <c r="M51" s="21"/>
      <c r="N51" s="22"/>
    </row>
    <row r="52" spans="1:22" ht="31.5" hidden="1" customHeight="1">
      <c r="A52" s="30"/>
      <c r="B52" s="82" t="s">
        <v>134</v>
      </c>
      <c r="C52" s="83" t="s">
        <v>125</v>
      </c>
      <c r="D52" s="82" t="s">
        <v>44</v>
      </c>
      <c r="E52" s="56">
        <v>2872.4</v>
      </c>
      <c r="F52" s="84">
        <f>SUM(E52*2/1000)</f>
        <v>5.7448000000000006</v>
      </c>
      <c r="G52" s="13">
        <v>1297.28</v>
      </c>
      <c r="H52" s="85">
        <f t="shared" si="4"/>
        <v>7.4526141440000009</v>
      </c>
      <c r="I52" s="13">
        <v>0</v>
      </c>
      <c r="J52" s="24"/>
      <c r="L52" s="20"/>
      <c r="M52" s="21"/>
      <c r="N52" s="22"/>
    </row>
    <row r="53" spans="1:22" ht="31.5" hidden="1" customHeight="1">
      <c r="A53" s="30"/>
      <c r="B53" s="82" t="s">
        <v>135</v>
      </c>
      <c r="C53" s="83" t="s">
        <v>40</v>
      </c>
      <c r="D53" s="82" t="s">
        <v>44</v>
      </c>
      <c r="E53" s="56">
        <v>40</v>
      </c>
      <c r="F53" s="84">
        <f>SUM(E53*2/100)</f>
        <v>0.8</v>
      </c>
      <c r="G53" s="13">
        <v>2918.89</v>
      </c>
      <c r="H53" s="85">
        <f t="shared" si="4"/>
        <v>2.3351120000000001</v>
      </c>
      <c r="I53" s="13">
        <v>0</v>
      </c>
      <c r="J53" s="24"/>
      <c r="L53" s="20"/>
      <c r="M53" s="21"/>
      <c r="N53" s="22"/>
    </row>
    <row r="54" spans="1:22" ht="15.75" hidden="1" customHeight="1">
      <c r="A54" s="30"/>
      <c r="B54" s="82" t="s">
        <v>41</v>
      </c>
      <c r="C54" s="83" t="s">
        <v>42</v>
      </c>
      <c r="D54" s="82" t="s">
        <v>44</v>
      </c>
      <c r="E54" s="56">
        <v>1</v>
      </c>
      <c r="F54" s="84">
        <v>0.02</v>
      </c>
      <c r="G54" s="13">
        <v>6042.12</v>
      </c>
      <c r="H54" s="85">
        <f t="shared" si="4"/>
        <v>0.1208424</v>
      </c>
      <c r="I54" s="13">
        <v>0</v>
      </c>
      <c r="J54" s="24"/>
      <c r="L54" s="20"/>
      <c r="M54" s="21"/>
      <c r="N54" s="22"/>
    </row>
    <row r="55" spans="1:22" ht="15.75" hidden="1" customHeight="1">
      <c r="A55" s="30">
        <v>15</v>
      </c>
      <c r="B55" s="82" t="s">
        <v>43</v>
      </c>
      <c r="C55" s="83" t="s">
        <v>31</v>
      </c>
      <c r="D55" s="82" t="s">
        <v>76</v>
      </c>
      <c r="E55" s="56">
        <v>160</v>
      </c>
      <c r="F55" s="84">
        <f>SUM(E55)*3</f>
        <v>480</v>
      </c>
      <c r="G55" s="13">
        <v>70.209999999999994</v>
      </c>
      <c r="H55" s="85">
        <f t="shared" si="4"/>
        <v>33.700799999999994</v>
      </c>
      <c r="I55" s="13">
        <f>E55*G55</f>
        <v>11233.599999999999</v>
      </c>
      <c r="J55" s="24"/>
      <c r="L55" s="20"/>
      <c r="M55" s="21"/>
      <c r="N55" s="22"/>
    </row>
    <row r="56" spans="1:22" ht="15.75" customHeight="1">
      <c r="A56" s="131" t="s">
        <v>155</v>
      </c>
      <c r="B56" s="132"/>
      <c r="C56" s="132"/>
      <c r="D56" s="132"/>
      <c r="E56" s="132"/>
      <c r="F56" s="132"/>
      <c r="G56" s="132"/>
      <c r="H56" s="132"/>
      <c r="I56" s="133"/>
      <c r="J56" s="24"/>
      <c r="L56" s="20"/>
      <c r="M56" s="21"/>
      <c r="N56" s="22"/>
    </row>
    <row r="57" spans="1:22" ht="15.75" hidden="1" customHeight="1">
      <c r="A57" s="30"/>
      <c r="B57" s="106" t="s">
        <v>45</v>
      </c>
      <c r="C57" s="83"/>
      <c r="D57" s="82"/>
      <c r="E57" s="56"/>
      <c r="F57" s="84"/>
      <c r="G57" s="84"/>
      <c r="H57" s="85"/>
      <c r="I57" s="13"/>
      <c r="J57" s="24"/>
      <c r="L57" s="20"/>
      <c r="M57" s="21"/>
      <c r="N57" s="22"/>
    </row>
    <row r="58" spans="1:22" ht="31.5" hidden="1" customHeight="1">
      <c r="A58" s="30">
        <v>16</v>
      </c>
      <c r="B58" s="82" t="s">
        <v>137</v>
      </c>
      <c r="C58" s="83" t="s">
        <v>116</v>
      </c>
      <c r="D58" s="82" t="s">
        <v>77</v>
      </c>
      <c r="E58" s="56">
        <v>239.59</v>
      </c>
      <c r="F58" s="84">
        <f>E58*6/100</f>
        <v>14.375399999999999</v>
      </c>
      <c r="G58" s="91">
        <v>1654.04</v>
      </c>
      <c r="H58" s="85">
        <f>F58*G58/1000</f>
        <v>23.777486615999997</v>
      </c>
      <c r="I58" s="13">
        <f>F58/6*G58</f>
        <v>3962.9144359999996</v>
      </c>
      <c r="J58" s="24"/>
      <c r="L58" s="20"/>
      <c r="M58" s="21"/>
      <c r="N58" s="22"/>
    </row>
    <row r="59" spans="1:22" ht="15.75" customHeight="1">
      <c r="A59" s="30"/>
      <c r="B59" s="107" t="s">
        <v>46</v>
      </c>
      <c r="C59" s="92"/>
      <c r="D59" s="93"/>
      <c r="E59" s="94"/>
      <c r="F59" s="96"/>
      <c r="G59" s="13"/>
      <c r="H59" s="98"/>
      <c r="I59" s="13"/>
      <c r="J59" s="24"/>
      <c r="L59" s="20"/>
      <c r="M59" s="21"/>
      <c r="N59" s="22"/>
    </row>
    <row r="60" spans="1:22" ht="15.75" hidden="1" customHeight="1">
      <c r="A60" s="30"/>
      <c r="B60" s="93" t="s">
        <v>47</v>
      </c>
      <c r="C60" s="92" t="s">
        <v>56</v>
      </c>
      <c r="D60" s="93" t="s">
        <v>57</v>
      </c>
      <c r="E60" s="94">
        <v>2686</v>
      </c>
      <c r="F60" s="96">
        <f>E60/100</f>
        <v>26.86</v>
      </c>
      <c r="G60" s="13">
        <v>848.37</v>
      </c>
      <c r="H60" s="98">
        <f>G60*F60/1000</f>
        <v>22.787218199999998</v>
      </c>
      <c r="I60" s="13">
        <v>0</v>
      </c>
      <c r="J60" s="24"/>
      <c r="L60" s="20"/>
    </row>
    <row r="61" spans="1:22" ht="15.75" customHeight="1">
      <c r="A61" s="30">
        <v>18</v>
      </c>
      <c r="B61" s="93" t="s">
        <v>105</v>
      </c>
      <c r="C61" s="92" t="s">
        <v>25</v>
      </c>
      <c r="D61" s="93" t="s">
        <v>30</v>
      </c>
      <c r="E61" s="94">
        <v>343</v>
      </c>
      <c r="F61" s="96">
        <v>4116</v>
      </c>
      <c r="G61" s="13">
        <v>2.6</v>
      </c>
      <c r="H61" s="98">
        <f>F61*G61</f>
        <v>10701.6</v>
      </c>
      <c r="I61" s="13">
        <f>F61/12*G61</f>
        <v>891.80000000000007</v>
      </c>
    </row>
    <row r="62" spans="1:22" ht="15.75" hidden="1" customHeight="1">
      <c r="A62" s="30"/>
      <c r="B62" s="107" t="s">
        <v>149</v>
      </c>
      <c r="C62" s="92"/>
      <c r="D62" s="93"/>
      <c r="E62" s="94"/>
      <c r="F62" s="96"/>
      <c r="G62" s="13"/>
      <c r="H62" s="98"/>
      <c r="I62" s="13"/>
    </row>
    <row r="63" spans="1:22" ht="15.75" hidden="1" customHeight="1">
      <c r="A63" s="30"/>
      <c r="B63" s="93" t="s">
        <v>150</v>
      </c>
      <c r="C63" s="92" t="s">
        <v>31</v>
      </c>
      <c r="D63" s="93" t="s">
        <v>72</v>
      </c>
      <c r="E63" s="94">
        <v>3</v>
      </c>
      <c r="F63" s="95">
        <v>3</v>
      </c>
      <c r="G63" s="97">
        <v>254.16</v>
      </c>
      <c r="H63" s="96">
        <v>0.76200000000000001</v>
      </c>
      <c r="I63" s="13">
        <v>0</v>
      </c>
    </row>
    <row r="64" spans="1:22" ht="15.75" customHeight="1">
      <c r="A64" s="30"/>
      <c r="B64" s="107" t="s">
        <v>48</v>
      </c>
      <c r="C64" s="92"/>
      <c r="D64" s="93"/>
      <c r="E64" s="94"/>
      <c r="F64" s="95"/>
      <c r="G64" s="95"/>
      <c r="H64" s="96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30">
        <v>19</v>
      </c>
      <c r="B65" s="14" t="s">
        <v>49</v>
      </c>
      <c r="C65" s="16" t="s">
        <v>136</v>
      </c>
      <c r="D65" s="93" t="s">
        <v>72</v>
      </c>
      <c r="E65" s="19">
        <v>15</v>
      </c>
      <c r="F65" s="84">
        <v>15</v>
      </c>
      <c r="G65" s="13">
        <v>237.74</v>
      </c>
      <c r="H65" s="99">
        <f t="shared" ref="H65:H78" si="6">SUM(F65*G65/1000)</f>
        <v>3.5661000000000005</v>
      </c>
      <c r="I65" s="13">
        <f>G65*5</f>
        <v>1188.7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14" t="s">
        <v>50</v>
      </c>
      <c r="C66" s="16" t="s">
        <v>136</v>
      </c>
      <c r="D66" s="93" t="s">
        <v>72</v>
      </c>
      <c r="E66" s="19">
        <v>5</v>
      </c>
      <c r="F66" s="84">
        <v>5</v>
      </c>
      <c r="G66" s="13">
        <v>81.510000000000005</v>
      </c>
      <c r="H66" s="99">
        <f t="shared" si="6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14" t="s">
        <v>51</v>
      </c>
      <c r="C67" s="16" t="s">
        <v>138</v>
      </c>
      <c r="D67" s="14" t="s">
        <v>57</v>
      </c>
      <c r="E67" s="56">
        <v>24123</v>
      </c>
      <c r="F67" s="13">
        <f>SUM(E67/100)</f>
        <v>241.23</v>
      </c>
      <c r="G67" s="13">
        <v>226.79</v>
      </c>
      <c r="H67" s="99">
        <f t="shared" si="6"/>
        <v>54.708551699999994</v>
      </c>
      <c r="I67" s="13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127"/>
      <c r="S67" s="127"/>
      <c r="T67" s="127"/>
      <c r="U67" s="127"/>
    </row>
    <row r="68" spans="1:21" ht="15.75" hidden="1" customHeight="1">
      <c r="A68" s="30"/>
      <c r="B68" s="14" t="s">
        <v>52</v>
      </c>
      <c r="C68" s="16" t="s">
        <v>139</v>
      </c>
      <c r="D68" s="14"/>
      <c r="E68" s="56">
        <v>24123</v>
      </c>
      <c r="F68" s="13">
        <f>SUM(E68/1000)</f>
        <v>24.123000000000001</v>
      </c>
      <c r="G68" s="13">
        <v>176.61</v>
      </c>
      <c r="H68" s="99">
        <f t="shared" si="6"/>
        <v>4.2603630300000006</v>
      </c>
      <c r="I68" s="13">
        <f t="shared" ref="I68:I72" si="7">F68*G68</f>
        <v>4260.3630300000004</v>
      </c>
    </row>
    <row r="69" spans="1:21" ht="15.75" hidden="1" customHeight="1">
      <c r="A69" s="30"/>
      <c r="B69" s="14" t="s">
        <v>53</v>
      </c>
      <c r="C69" s="16" t="s">
        <v>82</v>
      </c>
      <c r="D69" s="14" t="s">
        <v>57</v>
      </c>
      <c r="E69" s="56">
        <v>2730</v>
      </c>
      <c r="F69" s="13">
        <f>SUM(E69/100)</f>
        <v>27.3</v>
      </c>
      <c r="G69" s="13">
        <v>2217.7800000000002</v>
      </c>
      <c r="H69" s="99">
        <f t="shared" si="6"/>
        <v>60.545394000000009</v>
      </c>
      <c r="I69" s="13">
        <f t="shared" si="7"/>
        <v>60545.394000000008</v>
      </c>
    </row>
    <row r="70" spans="1:21" ht="15.75" hidden="1" customHeight="1">
      <c r="A70" s="30"/>
      <c r="B70" s="100" t="s">
        <v>140</v>
      </c>
      <c r="C70" s="16" t="s">
        <v>34</v>
      </c>
      <c r="D70" s="14"/>
      <c r="E70" s="56">
        <v>23</v>
      </c>
      <c r="F70" s="13">
        <f>SUM(E70)</f>
        <v>23</v>
      </c>
      <c r="G70" s="13">
        <v>42.67</v>
      </c>
      <c r="H70" s="99">
        <f t="shared" si="6"/>
        <v>0.98141000000000012</v>
      </c>
      <c r="I70" s="13">
        <f t="shared" si="7"/>
        <v>981.41000000000008</v>
      </c>
    </row>
    <row r="71" spans="1:21" ht="15.75" hidden="1" customHeight="1">
      <c r="A71" s="30"/>
      <c r="B71" s="100" t="s">
        <v>141</v>
      </c>
      <c r="C71" s="16" t="s">
        <v>34</v>
      </c>
      <c r="D71" s="14"/>
      <c r="E71" s="56">
        <v>23</v>
      </c>
      <c r="F71" s="13">
        <f>SUM(E71)</f>
        <v>23</v>
      </c>
      <c r="G71" s="13">
        <v>39.81</v>
      </c>
      <c r="H71" s="99">
        <f t="shared" si="6"/>
        <v>0.91563000000000005</v>
      </c>
      <c r="I71" s="13">
        <f t="shared" si="7"/>
        <v>915.63000000000011</v>
      </c>
    </row>
    <row r="72" spans="1:21" ht="15.75" customHeight="1">
      <c r="A72" s="30">
        <v>20</v>
      </c>
      <c r="B72" s="14" t="s">
        <v>62</v>
      </c>
      <c r="C72" s="16" t="s">
        <v>63</v>
      </c>
      <c r="D72" s="14" t="s">
        <v>57</v>
      </c>
      <c r="E72" s="19">
        <v>10</v>
      </c>
      <c r="F72" s="84">
        <f>SUM(E72)</f>
        <v>10</v>
      </c>
      <c r="G72" s="13">
        <v>53.32</v>
      </c>
      <c r="H72" s="99">
        <f t="shared" si="6"/>
        <v>0.53320000000000001</v>
      </c>
      <c r="I72" s="13">
        <f t="shared" si="7"/>
        <v>533.20000000000005</v>
      </c>
    </row>
    <row r="73" spans="1:21" ht="15.75" hidden="1" customHeight="1">
      <c r="A73" s="30"/>
      <c r="B73" s="64" t="s">
        <v>78</v>
      </c>
      <c r="C73" s="16"/>
      <c r="D73" s="14"/>
      <c r="E73" s="19"/>
      <c r="F73" s="13"/>
      <c r="G73" s="13"/>
      <c r="H73" s="99" t="s">
        <v>144</v>
      </c>
      <c r="I73" s="13"/>
    </row>
    <row r="74" spans="1:21" ht="15.75" hidden="1" customHeight="1">
      <c r="A74" s="30"/>
      <c r="B74" s="14" t="s">
        <v>79</v>
      </c>
      <c r="C74" s="16" t="s">
        <v>32</v>
      </c>
      <c r="D74" s="14"/>
      <c r="E74" s="19">
        <v>2</v>
      </c>
      <c r="F74" s="75">
        <v>0.2</v>
      </c>
      <c r="G74" s="13">
        <v>536.23</v>
      </c>
      <c r="H74" s="99">
        <v>0.251</v>
      </c>
      <c r="I74" s="13">
        <v>0</v>
      </c>
    </row>
    <row r="75" spans="1:21" ht="15.75" hidden="1" customHeight="1">
      <c r="A75" s="30"/>
      <c r="B75" s="14" t="s">
        <v>95</v>
      </c>
      <c r="C75" s="16" t="s">
        <v>31</v>
      </c>
      <c r="D75" s="14"/>
      <c r="E75" s="19">
        <v>1</v>
      </c>
      <c r="F75" s="84">
        <f>SUM(E75)</f>
        <v>1</v>
      </c>
      <c r="G75" s="13">
        <v>383.25</v>
      </c>
      <c r="H75" s="99">
        <f t="shared" si="6"/>
        <v>0.38324999999999998</v>
      </c>
      <c r="I75" s="13">
        <v>0</v>
      </c>
    </row>
    <row r="76" spans="1:21" ht="15.75" hidden="1" customHeight="1">
      <c r="A76" s="30"/>
      <c r="B76" s="14" t="s">
        <v>80</v>
      </c>
      <c r="C76" s="16" t="s">
        <v>31</v>
      </c>
      <c r="D76" s="14"/>
      <c r="E76" s="19">
        <v>2</v>
      </c>
      <c r="F76" s="13">
        <v>2</v>
      </c>
      <c r="G76" s="13">
        <v>911.85</v>
      </c>
      <c r="H76" s="99">
        <f>F76*G76/1000</f>
        <v>1.8237000000000001</v>
      </c>
      <c r="I76" s="13">
        <v>0</v>
      </c>
    </row>
    <row r="77" spans="1:21" ht="15.75" hidden="1" customHeight="1">
      <c r="A77" s="30"/>
      <c r="B77" s="101" t="s">
        <v>81</v>
      </c>
      <c r="C77" s="16"/>
      <c r="D77" s="14"/>
      <c r="E77" s="19"/>
      <c r="F77" s="13"/>
      <c r="G77" s="13" t="s">
        <v>144</v>
      </c>
      <c r="H77" s="99" t="s">
        <v>144</v>
      </c>
      <c r="I77" s="13"/>
    </row>
    <row r="78" spans="1:21" ht="15.75" hidden="1" customHeight="1">
      <c r="A78" s="30"/>
      <c r="B78" s="49" t="s">
        <v>145</v>
      </c>
      <c r="C78" s="16" t="s">
        <v>82</v>
      </c>
      <c r="D78" s="14"/>
      <c r="E78" s="19"/>
      <c r="F78" s="13">
        <v>1.35</v>
      </c>
      <c r="G78" s="13">
        <v>2949.85</v>
      </c>
      <c r="H78" s="99">
        <f t="shared" si="6"/>
        <v>3.9822975</v>
      </c>
      <c r="I78" s="13">
        <v>0</v>
      </c>
    </row>
    <row r="79" spans="1:21" ht="15.75" hidden="1" customHeight="1">
      <c r="A79" s="30"/>
      <c r="B79" s="87" t="s">
        <v>142</v>
      </c>
      <c r="C79" s="101"/>
      <c r="D79" s="32"/>
      <c r="E79" s="33"/>
      <c r="F79" s="88"/>
      <c r="G79" s="88"/>
      <c r="H79" s="102">
        <f>SUM(H58:H78)</f>
        <v>10881.285151046004</v>
      </c>
      <c r="I79" s="88"/>
    </row>
    <row r="80" spans="1:21" ht="15.75" hidden="1" customHeight="1">
      <c r="A80" s="30"/>
      <c r="B80" s="82" t="s">
        <v>143</v>
      </c>
      <c r="C80" s="16"/>
      <c r="D80" s="14"/>
      <c r="E80" s="76"/>
      <c r="F80" s="13">
        <v>1</v>
      </c>
      <c r="G80" s="13">
        <v>19342.2</v>
      </c>
      <c r="H80" s="99">
        <f>G80*F80/1000</f>
        <v>19.342200000000002</v>
      </c>
      <c r="I80" s="13">
        <v>0</v>
      </c>
    </row>
    <row r="81" spans="1:9" ht="15.75" customHeight="1">
      <c r="A81" s="140" t="s">
        <v>156</v>
      </c>
      <c r="B81" s="141"/>
      <c r="C81" s="141"/>
      <c r="D81" s="141"/>
      <c r="E81" s="141"/>
      <c r="F81" s="141"/>
      <c r="G81" s="141"/>
      <c r="H81" s="141"/>
      <c r="I81" s="142"/>
    </row>
    <row r="82" spans="1:9" ht="15.75" customHeight="1">
      <c r="A82" s="30">
        <v>21</v>
      </c>
      <c r="B82" s="82" t="s">
        <v>146</v>
      </c>
      <c r="C82" s="16" t="s">
        <v>59</v>
      </c>
      <c r="D82" s="103" t="s">
        <v>60</v>
      </c>
      <c r="E82" s="13">
        <v>4591.2</v>
      </c>
      <c r="F82" s="13">
        <f>SUM(E82*12)</f>
        <v>55094.399999999994</v>
      </c>
      <c r="G82" s="13">
        <v>2.54</v>
      </c>
      <c r="H82" s="99">
        <f>SUM(F82*G82/1000)</f>
        <v>139.93977599999999</v>
      </c>
      <c r="I82" s="13">
        <f>F82/12*G82</f>
        <v>11661.647999999999</v>
      </c>
    </row>
    <row r="83" spans="1:9" ht="31.5" customHeight="1">
      <c r="A83" s="30">
        <v>22</v>
      </c>
      <c r="B83" s="14" t="s">
        <v>83</v>
      </c>
      <c r="C83" s="16"/>
      <c r="D83" s="103" t="s">
        <v>60</v>
      </c>
      <c r="E83" s="56">
        <f>E82</f>
        <v>4591.2</v>
      </c>
      <c r="F83" s="13">
        <f>E83*12</f>
        <v>55094.399999999994</v>
      </c>
      <c r="G83" s="13">
        <v>2.0499999999999998</v>
      </c>
      <c r="H83" s="99">
        <f>F83*G83/1000</f>
        <v>112.94351999999998</v>
      </c>
      <c r="I83" s="13">
        <f>F83/12*G83</f>
        <v>9411.9599999999991</v>
      </c>
    </row>
    <row r="84" spans="1:9" ht="15.75" customHeight="1">
      <c r="A84" s="50"/>
      <c r="B84" s="40" t="s">
        <v>86</v>
      </c>
      <c r="C84" s="42"/>
      <c r="D84" s="15"/>
      <c r="E84" s="15"/>
      <c r="F84" s="15"/>
      <c r="G84" s="19"/>
      <c r="H84" s="19"/>
      <c r="I84" s="33">
        <f>SUM(I16+I17+I18+I20+I21+I26+I27+I30+I31+I33+I34+I46+I47+I48+I49+I50+I51+I61+I65+I72+I82+I83)</f>
        <v>83364.283133399993</v>
      </c>
    </row>
    <row r="85" spans="1:9" ht="15.75" customHeight="1">
      <c r="A85" s="137" t="s">
        <v>65</v>
      </c>
      <c r="B85" s="138"/>
      <c r="C85" s="138"/>
      <c r="D85" s="138"/>
      <c r="E85" s="138"/>
      <c r="F85" s="138"/>
      <c r="G85" s="138"/>
      <c r="H85" s="138"/>
      <c r="I85" s="139"/>
    </row>
    <row r="86" spans="1:9" ht="15.75" customHeight="1">
      <c r="A86" s="30">
        <v>23</v>
      </c>
      <c r="B86" s="66" t="s">
        <v>204</v>
      </c>
      <c r="C86" s="67" t="s">
        <v>99</v>
      </c>
      <c r="D86" s="49"/>
      <c r="E86" s="37"/>
      <c r="F86" s="37">
        <f>124/3</f>
        <v>41.333333333333336</v>
      </c>
      <c r="G86" s="37">
        <v>1120.8900000000001</v>
      </c>
      <c r="H86" s="117">
        <f t="shared" ref="H86:H89" si="8">G86*F86/1000</f>
        <v>46.330120000000008</v>
      </c>
      <c r="I86" s="13">
        <f>G86*2</f>
        <v>2241.7800000000002</v>
      </c>
    </row>
    <row r="87" spans="1:9" ht="30.75" customHeight="1">
      <c r="A87" s="30">
        <v>24</v>
      </c>
      <c r="B87" s="53" t="s">
        <v>175</v>
      </c>
      <c r="C87" s="58" t="s">
        <v>40</v>
      </c>
      <c r="D87" s="49"/>
      <c r="E87" s="13"/>
      <c r="F87" s="13">
        <v>0.06</v>
      </c>
      <c r="G87" s="13">
        <v>3581.13</v>
      </c>
      <c r="H87" s="99">
        <f t="shared" si="8"/>
        <v>0.2148678</v>
      </c>
      <c r="I87" s="13">
        <f>G87*0.01</f>
        <v>35.811300000000003</v>
      </c>
    </row>
    <row r="88" spans="1:9" ht="31.5" customHeight="1">
      <c r="A88" s="30">
        <v>25</v>
      </c>
      <c r="B88" s="53" t="s">
        <v>207</v>
      </c>
      <c r="C88" s="58" t="s">
        <v>87</v>
      </c>
      <c r="D88" s="49"/>
      <c r="E88" s="37"/>
      <c r="F88" s="37">
        <v>11</v>
      </c>
      <c r="G88" s="37">
        <v>1187</v>
      </c>
      <c r="H88" s="117">
        <f t="shared" si="8"/>
        <v>13.057</v>
      </c>
      <c r="I88" s="13">
        <f>G88*5</f>
        <v>5935</v>
      </c>
    </row>
    <row r="89" spans="1:9" ht="31.5" customHeight="1">
      <c r="A89" s="30">
        <v>26</v>
      </c>
      <c r="B89" s="53" t="s">
        <v>233</v>
      </c>
      <c r="C89" s="58" t="s">
        <v>87</v>
      </c>
      <c r="D89" s="49"/>
      <c r="E89" s="37"/>
      <c r="F89" s="37">
        <v>1.5</v>
      </c>
      <c r="G89" s="37">
        <v>1272</v>
      </c>
      <c r="H89" s="117">
        <f t="shared" si="8"/>
        <v>1.9079999999999999</v>
      </c>
      <c r="I89" s="13">
        <f>G89</f>
        <v>1272</v>
      </c>
    </row>
    <row r="90" spans="1:9" ht="15.75" customHeight="1">
      <c r="A90" s="30"/>
      <c r="B90" s="47" t="s">
        <v>54</v>
      </c>
      <c r="C90" s="43"/>
      <c r="D90" s="51"/>
      <c r="E90" s="43">
        <v>1</v>
      </c>
      <c r="F90" s="43"/>
      <c r="G90" s="43"/>
      <c r="H90" s="43"/>
      <c r="I90" s="33">
        <f>SUM(I86:I89)</f>
        <v>9484.5913</v>
      </c>
    </row>
    <row r="91" spans="1:9" ht="15.75" customHeight="1">
      <c r="A91" s="30"/>
      <c r="B91" s="49" t="s">
        <v>84</v>
      </c>
      <c r="C91" s="15"/>
      <c r="D91" s="15"/>
      <c r="E91" s="44"/>
      <c r="F91" s="44"/>
      <c r="G91" s="45"/>
      <c r="H91" s="45"/>
      <c r="I91" s="18">
        <v>0</v>
      </c>
    </row>
    <row r="92" spans="1:9" ht="15.75" customHeight="1">
      <c r="A92" s="52"/>
      <c r="B92" s="48" t="s">
        <v>203</v>
      </c>
      <c r="C92" s="36"/>
      <c r="D92" s="36"/>
      <c r="E92" s="36"/>
      <c r="F92" s="36"/>
      <c r="G92" s="36"/>
      <c r="H92" s="36"/>
      <c r="I92" s="46">
        <f>I84+I90</f>
        <v>92848.874433399993</v>
      </c>
    </row>
    <row r="93" spans="1:9" ht="15.75" customHeight="1">
      <c r="A93" s="134" t="s">
        <v>238</v>
      </c>
      <c r="B93" s="134"/>
      <c r="C93" s="134"/>
      <c r="D93" s="134"/>
      <c r="E93" s="134"/>
      <c r="F93" s="134"/>
      <c r="G93" s="134"/>
      <c r="H93" s="134"/>
      <c r="I93" s="134"/>
    </row>
    <row r="94" spans="1:9" ht="15.75" customHeight="1">
      <c r="A94" s="65"/>
      <c r="B94" s="135" t="s">
        <v>239</v>
      </c>
      <c r="C94" s="135"/>
      <c r="D94" s="135"/>
      <c r="E94" s="135"/>
      <c r="F94" s="135"/>
      <c r="G94" s="135"/>
      <c r="H94" s="80"/>
      <c r="I94" s="3"/>
    </row>
    <row r="95" spans="1:9" ht="15.75" customHeight="1">
      <c r="A95" s="59"/>
      <c r="B95" s="125" t="s">
        <v>6</v>
      </c>
      <c r="C95" s="125"/>
      <c r="D95" s="125"/>
      <c r="E95" s="125"/>
      <c r="F95" s="125"/>
      <c r="G95" s="125"/>
      <c r="H95" s="25"/>
      <c r="I95" s="5"/>
    </row>
    <row r="96" spans="1:9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36" t="s">
        <v>7</v>
      </c>
      <c r="B97" s="136"/>
      <c r="C97" s="136"/>
      <c r="D97" s="136"/>
      <c r="E97" s="136"/>
      <c r="F97" s="136"/>
      <c r="G97" s="136"/>
      <c r="H97" s="136"/>
      <c r="I97" s="136"/>
    </row>
    <row r="98" spans="1:9" ht="15.75" customHeight="1">
      <c r="A98" s="136" t="s">
        <v>8</v>
      </c>
      <c r="B98" s="136"/>
      <c r="C98" s="136"/>
      <c r="D98" s="136"/>
      <c r="E98" s="136"/>
      <c r="F98" s="136"/>
      <c r="G98" s="136"/>
      <c r="H98" s="136"/>
      <c r="I98" s="136"/>
    </row>
    <row r="99" spans="1:9" ht="15.75" customHeight="1">
      <c r="A99" s="129" t="s">
        <v>66</v>
      </c>
      <c r="B99" s="129"/>
      <c r="C99" s="129"/>
      <c r="D99" s="129"/>
      <c r="E99" s="129"/>
      <c r="F99" s="129"/>
      <c r="G99" s="129"/>
      <c r="H99" s="129"/>
      <c r="I99" s="129"/>
    </row>
    <row r="100" spans="1:9" ht="15.75" customHeight="1">
      <c r="A100" s="11"/>
    </row>
    <row r="101" spans="1:9" ht="15.75" customHeight="1">
      <c r="A101" s="123" t="s">
        <v>9</v>
      </c>
      <c r="B101" s="123"/>
      <c r="C101" s="123"/>
      <c r="D101" s="123"/>
      <c r="E101" s="123"/>
      <c r="F101" s="123"/>
      <c r="G101" s="123"/>
      <c r="H101" s="123"/>
      <c r="I101" s="123"/>
    </row>
    <row r="102" spans="1:9" ht="15.75" customHeight="1">
      <c r="A102" s="4"/>
    </row>
    <row r="103" spans="1:9" ht="15.75" customHeight="1">
      <c r="B103" s="62" t="s">
        <v>10</v>
      </c>
      <c r="C103" s="124" t="s">
        <v>97</v>
      </c>
      <c r="D103" s="124"/>
      <c r="E103" s="124"/>
      <c r="F103" s="78"/>
      <c r="I103" s="61"/>
    </row>
    <row r="104" spans="1:9" ht="15.75" customHeight="1">
      <c r="A104" s="59"/>
      <c r="C104" s="125" t="s">
        <v>11</v>
      </c>
      <c r="D104" s="125"/>
      <c r="E104" s="125"/>
      <c r="F104" s="25"/>
      <c r="I104" s="60" t="s">
        <v>12</v>
      </c>
    </row>
    <row r="105" spans="1:9" ht="15.75" customHeight="1">
      <c r="A105" s="26"/>
      <c r="C105" s="12"/>
      <c r="D105" s="12"/>
      <c r="G105" s="12"/>
      <c r="H105" s="12"/>
    </row>
    <row r="106" spans="1:9" ht="15.75" customHeight="1">
      <c r="B106" s="62" t="s">
        <v>13</v>
      </c>
      <c r="C106" s="126"/>
      <c r="D106" s="126"/>
      <c r="E106" s="126"/>
      <c r="F106" s="79"/>
      <c r="I106" s="61"/>
    </row>
    <row r="107" spans="1:9" ht="15.75" customHeight="1">
      <c r="A107" s="59"/>
      <c r="C107" s="127" t="s">
        <v>11</v>
      </c>
      <c r="D107" s="127"/>
      <c r="E107" s="127"/>
      <c r="F107" s="59"/>
      <c r="I107" s="60" t="s">
        <v>12</v>
      </c>
    </row>
    <row r="108" spans="1:9" ht="15.75" customHeight="1">
      <c r="A108" s="4" t="s">
        <v>14</v>
      </c>
    </row>
    <row r="109" spans="1:9" ht="15.75" customHeight="1">
      <c r="A109" s="128" t="s">
        <v>15</v>
      </c>
      <c r="B109" s="128"/>
      <c r="C109" s="128"/>
      <c r="D109" s="128"/>
      <c r="E109" s="128"/>
      <c r="F109" s="128"/>
      <c r="G109" s="128"/>
      <c r="H109" s="128"/>
      <c r="I109" s="128"/>
    </row>
    <row r="110" spans="1:9" ht="45" customHeight="1">
      <c r="A110" s="122" t="s">
        <v>16</v>
      </c>
      <c r="B110" s="122"/>
      <c r="C110" s="122"/>
      <c r="D110" s="122"/>
      <c r="E110" s="122"/>
      <c r="F110" s="122"/>
      <c r="G110" s="122"/>
      <c r="H110" s="122"/>
      <c r="I110" s="122"/>
    </row>
    <row r="111" spans="1:9" ht="30" customHeight="1">
      <c r="A111" s="122" t="s">
        <v>17</v>
      </c>
      <c r="B111" s="122"/>
      <c r="C111" s="122"/>
      <c r="D111" s="122"/>
      <c r="E111" s="122"/>
      <c r="F111" s="122"/>
      <c r="G111" s="122"/>
      <c r="H111" s="122"/>
      <c r="I111" s="122"/>
    </row>
    <row r="112" spans="1:9" ht="30" customHeight="1">
      <c r="A112" s="122" t="s">
        <v>21</v>
      </c>
      <c r="B112" s="122"/>
      <c r="C112" s="122"/>
      <c r="D112" s="122"/>
      <c r="E112" s="122"/>
      <c r="F112" s="122"/>
      <c r="G112" s="122"/>
      <c r="H112" s="122"/>
      <c r="I112" s="122"/>
    </row>
    <row r="113" spans="1:9" ht="15" customHeight="1">
      <c r="A113" s="122" t="s">
        <v>20</v>
      </c>
      <c r="B113" s="122"/>
      <c r="C113" s="122"/>
      <c r="D113" s="122"/>
      <c r="E113" s="122"/>
      <c r="F113" s="122"/>
      <c r="G113" s="122"/>
      <c r="H113" s="122"/>
      <c r="I113" s="122"/>
    </row>
  </sheetData>
  <autoFilter ref="I12:I62"/>
  <mergeCells count="29">
    <mergeCell ref="R67:U67"/>
    <mergeCell ref="A81:I81"/>
    <mergeCell ref="A3:I3"/>
    <mergeCell ref="A4:I4"/>
    <mergeCell ref="A5:I5"/>
    <mergeCell ref="A8:I8"/>
    <mergeCell ref="A10:I10"/>
    <mergeCell ref="A14:I14"/>
    <mergeCell ref="A99:I99"/>
    <mergeCell ref="A15:I15"/>
    <mergeCell ref="A28:I28"/>
    <mergeCell ref="A45:I45"/>
    <mergeCell ref="A56:I56"/>
    <mergeCell ref="A93:I93"/>
    <mergeCell ref="B94:G94"/>
    <mergeCell ref="B95:G95"/>
    <mergeCell ref="A97:I97"/>
    <mergeCell ref="A98:I98"/>
    <mergeCell ref="A85:I85"/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13</vt:i4>
      </vt:variant>
    </vt:vector>
  </HeadingPairs>
  <TitlesOfParts>
    <vt:vector size="26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10а.17</vt:lpstr>
      <vt:lpstr>11.17</vt:lpstr>
      <vt:lpstr>12.17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'10а.17'!Область_печати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2017-11-27T07:39:15Z</cp:lastPrinted>
  <dcterms:created xsi:type="dcterms:W3CDTF">2016-03-25T08:33:47Z</dcterms:created>
  <dcterms:modified xsi:type="dcterms:W3CDTF">2018-03-30T06:18:24Z</dcterms:modified>
</cp:coreProperties>
</file>