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,43" sheetId="1" r:id="rId1"/>
  </sheets>
  <definedNames>
    <definedName name="_xlnm.Print_Area" localSheetId="0">'Окт.,43'!$A$1:$U$111</definedName>
  </definedNames>
  <calcPr calcId="124519"/>
</workbook>
</file>

<file path=xl/calcChain.xml><?xml version="1.0" encoding="utf-8"?>
<calcChain xmlns="http://schemas.openxmlformats.org/spreadsheetml/2006/main">
  <c r="U99" i="1"/>
  <c r="F98"/>
  <c r="T98" s="1"/>
  <c r="U98" s="1"/>
  <c r="L39"/>
  <c r="K39"/>
  <c r="C106"/>
  <c r="U87"/>
  <c r="U88"/>
  <c r="U89"/>
  <c r="U90"/>
  <c r="U91"/>
  <c r="U92"/>
  <c r="U93"/>
  <c r="U94"/>
  <c r="U95"/>
  <c r="U96"/>
  <c r="S55"/>
  <c r="L55"/>
  <c r="K55"/>
  <c r="C109"/>
  <c r="S97"/>
  <c r="R97"/>
  <c r="U97" s="1"/>
  <c r="H97"/>
  <c r="H98" l="1"/>
  <c r="H99" s="1"/>
  <c r="R96"/>
  <c r="H96"/>
  <c r="R90"/>
  <c r="R89" l="1"/>
  <c r="T92"/>
  <c r="S60"/>
  <c r="S95"/>
  <c r="S94"/>
  <c r="R95"/>
  <c r="H95"/>
  <c r="U55" l="1"/>
  <c r="U57"/>
  <c r="U60"/>
  <c r="U61"/>
  <c r="U70"/>
  <c r="U71"/>
  <c r="U72"/>
  <c r="U73"/>
  <c r="U75"/>
  <c r="U36"/>
  <c r="U29"/>
  <c r="U30"/>
  <c r="Q92"/>
  <c r="S77"/>
  <c r="U77" s="1"/>
  <c r="O89"/>
  <c r="O91"/>
  <c r="O94"/>
  <c r="H94"/>
  <c r="N93"/>
  <c r="H93"/>
  <c r="N92"/>
  <c r="H92"/>
  <c r="Q51" l="1"/>
  <c r="O51"/>
  <c r="M51"/>
  <c r="I51"/>
  <c r="U51" l="1"/>
  <c r="K91"/>
  <c r="M88"/>
  <c r="F88"/>
  <c r="H88" s="1"/>
  <c r="L89"/>
  <c r="K88"/>
  <c r="J90"/>
  <c r="H90"/>
  <c r="J89"/>
  <c r="J88"/>
  <c r="J87"/>
  <c r="H87"/>
  <c r="H36" l="1"/>
  <c r="C108" l="1"/>
  <c r="H89" l="1"/>
  <c r="H71"/>
  <c r="F70"/>
  <c r="H70" s="1"/>
  <c r="F68" l="1"/>
  <c r="F61"/>
  <c r="F60"/>
  <c r="F58"/>
  <c r="F57"/>
  <c r="H55"/>
  <c r="F39"/>
  <c r="F38"/>
  <c r="F35"/>
  <c r="E27"/>
  <c r="H29"/>
  <c r="H30"/>
  <c r="H20"/>
  <c r="P68" l="1"/>
  <c r="N68"/>
  <c r="O68"/>
  <c r="M68"/>
  <c r="P58"/>
  <c r="N58"/>
  <c r="O58"/>
  <c r="M58"/>
  <c r="H68"/>
  <c r="K68"/>
  <c r="I68"/>
  <c r="L68"/>
  <c r="J68"/>
  <c r="L58"/>
  <c r="J58"/>
  <c r="K58"/>
  <c r="I58"/>
  <c r="R68"/>
  <c r="H58"/>
  <c r="S58"/>
  <c r="T58"/>
  <c r="R58"/>
  <c r="S68"/>
  <c r="T68"/>
  <c r="Q58"/>
  <c r="Q68"/>
  <c r="U58" l="1"/>
  <c r="U68"/>
  <c r="K50"/>
  <c r="M20"/>
  <c r="U20" s="1"/>
  <c r="T40" l="1"/>
  <c r="S40"/>
  <c r="T34"/>
  <c r="S34"/>
  <c r="Q67" l="1"/>
  <c r="U67" s="1"/>
  <c r="S50"/>
  <c r="U50" s="1"/>
  <c r="R47"/>
  <c r="F27"/>
  <c r="L40"/>
  <c r="L34"/>
  <c r="R27" l="1"/>
  <c r="H27"/>
  <c r="N27"/>
  <c r="O27"/>
  <c r="Q27"/>
  <c r="M27"/>
  <c r="P27"/>
  <c r="H91"/>
  <c r="H77"/>
  <c r="K40"/>
  <c r="K34"/>
  <c r="J40"/>
  <c r="J34"/>
  <c r="I40"/>
  <c r="U40" s="1"/>
  <c r="I34"/>
  <c r="U34" s="1"/>
  <c r="F102"/>
  <c r="F46"/>
  <c r="M46" s="1"/>
  <c r="U27" l="1"/>
  <c r="H46"/>
  <c r="Q46"/>
  <c r="U46" s="1"/>
  <c r="F16"/>
  <c r="F15"/>
  <c r="M16" l="1"/>
  <c r="Q16"/>
  <c r="M15"/>
  <c r="Q15"/>
  <c r="H73"/>
  <c r="F51"/>
  <c r="U15" l="1"/>
  <c r="U16"/>
  <c r="F14"/>
  <c r="M14" s="1"/>
  <c r="U14" s="1"/>
  <c r="F17"/>
  <c r="M17" s="1"/>
  <c r="U17" s="1"/>
  <c r="F18"/>
  <c r="M18" s="1"/>
  <c r="U18" s="1"/>
  <c r="F19"/>
  <c r="M19" s="1"/>
  <c r="U19" s="1"/>
  <c r="I35" l="1"/>
  <c r="T35"/>
  <c r="S35"/>
  <c r="L35"/>
  <c r="J35"/>
  <c r="K35"/>
  <c r="I38"/>
  <c r="T38"/>
  <c r="S38"/>
  <c r="L38"/>
  <c r="K38"/>
  <c r="J38"/>
  <c r="H57"/>
  <c r="U38" l="1"/>
  <c r="U35"/>
  <c r="H101"/>
  <c r="E80"/>
  <c r="H83" s="1"/>
  <c r="F78"/>
  <c r="H75"/>
  <c r="H72"/>
  <c r="H67"/>
  <c r="F66"/>
  <c r="F65"/>
  <c r="F64"/>
  <c r="F63"/>
  <c r="F62"/>
  <c r="H61"/>
  <c r="H60"/>
  <c r="F54"/>
  <c r="H51"/>
  <c r="H50"/>
  <c r="F49"/>
  <c r="F48"/>
  <c r="F47"/>
  <c r="F45"/>
  <c r="M45" s="1"/>
  <c r="F44"/>
  <c r="M44" s="1"/>
  <c r="F43"/>
  <c r="M43" s="1"/>
  <c r="H40"/>
  <c r="H38"/>
  <c r="F37"/>
  <c r="H35"/>
  <c r="H34"/>
  <c r="F31"/>
  <c r="H31" s="1"/>
  <c r="F28"/>
  <c r="H28" s="1"/>
  <c r="F26"/>
  <c r="F25"/>
  <c r="F24"/>
  <c r="F21"/>
  <c r="M21" s="1"/>
  <c r="U21" s="1"/>
  <c r="H18"/>
  <c r="H17"/>
  <c r="H14"/>
  <c r="E13"/>
  <c r="F13" s="1"/>
  <c r="F12"/>
  <c r="F11"/>
  <c r="I13" l="1"/>
  <c r="T13"/>
  <c r="S13"/>
  <c r="Q13"/>
  <c r="O13"/>
  <c r="R13"/>
  <c r="P13"/>
  <c r="N13"/>
  <c r="M13"/>
  <c r="L13"/>
  <c r="J13"/>
  <c r="K13"/>
  <c r="H21"/>
  <c r="I12"/>
  <c r="T12"/>
  <c r="S12"/>
  <c r="R12"/>
  <c r="P12"/>
  <c r="N12"/>
  <c r="M12"/>
  <c r="Q12"/>
  <c r="O12"/>
  <c r="K12"/>
  <c r="L12"/>
  <c r="J12"/>
  <c r="H24"/>
  <c r="R24"/>
  <c r="P24"/>
  <c r="N24"/>
  <c r="M24"/>
  <c r="Q24"/>
  <c r="O24"/>
  <c r="H26"/>
  <c r="M26"/>
  <c r="U26" s="1"/>
  <c r="I28"/>
  <c r="T28"/>
  <c r="S28"/>
  <c r="Q28"/>
  <c r="O28"/>
  <c r="R28"/>
  <c r="P28"/>
  <c r="N28"/>
  <c r="M28"/>
  <c r="L28"/>
  <c r="K28"/>
  <c r="J28"/>
  <c r="T37"/>
  <c r="S37"/>
  <c r="L37"/>
  <c r="J37"/>
  <c r="K37"/>
  <c r="H43"/>
  <c r="Q43"/>
  <c r="U43" s="1"/>
  <c r="H44"/>
  <c r="Q44"/>
  <c r="U44" s="1"/>
  <c r="I47"/>
  <c r="T47"/>
  <c r="Q47"/>
  <c r="M47"/>
  <c r="J47"/>
  <c r="H49"/>
  <c r="S49"/>
  <c r="L49"/>
  <c r="U49" s="1"/>
  <c r="H62"/>
  <c r="M62"/>
  <c r="U62" s="1"/>
  <c r="H64"/>
  <c r="M64"/>
  <c r="U64" s="1"/>
  <c r="H66"/>
  <c r="M66"/>
  <c r="U66" s="1"/>
  <c r="I78"/>
  <c r="S78"/>
  <c r="T78"/>
  <c r="Q78"/>
  <c r="O78"/>
  <c r="M78"/>
  <c r="L78"/>
  <c r="R78"/>
  <c r="P78"/>
  <c r="N78"/>
  <c r="K78"/>
  <c r="J78"/>
  <c r="I11"/>
  <c r="T11"/>
  <c r="S11"/>
  <c r="Q11"/>
  <c r="O11"/>
  <c r="R11"/>
  <c r="P11"/>
  <c r="N11"/>
  <c r="M11"/>
  <c r="L11"/>
  <c r="J11"/>
  <c r="K11"/>
  <c r="H25"/>
  <c r="Q25"/>
  <c r="O25"/>
  <c r="R25"/>
  <c r="P25"/>
  <c r="N25"/>
  <c r="M25"/>
  <c r="T31"/>
  <c r="S31"/>
  <c r="R31"/>
  <c r="P31"/>
  <c r="N31"/>
  <c r="M31"/>
  <c r="Q31"/>
  <c r="O31"/>
  <c r="L31"/>
  <c r="J31"/>
  <c r="K31"/>
  <c r="H45"/>
  <c r="Q45"/>
  <c r="U45" s="1"/>
  <c r="H48"/>
  <c r="S48"/>
  <c r="L48"/>
  <c r="S54"/>
  <c r="T54"/>
  <c r="L54"/>
  <c r="K54"/>
  <c r="J54"/>
  <c r="H63"/>
  <c r="M63"/>
  <c r="U63" s="1"/>
  <c r="H65"/>
  <c r="M65"/>
  <c r="U65" s="1"/>
  <c r="I31"/>
  <c r="H54"/>
  <c r="H76" s="1"/>
  <c r="I54"/>
  <c r="H37"/>
  <c r="I37"/>
  <c r="H39"/>
  <c r="H78"/>
  <c r="H79" s="1"/>
  <c r="H47"/>
  <c r="H52" s="1"/>
  <c r="H11"/>
  <c r="H12"/>
  <c r="H16"/>
  <c r="H13"/>
  <c r="H15"/>
  <c r="F80"/>
  <c r="M80" s="1"/>
  <c r="H19"/>
  <c r="H32" l="1"/>
  <c r="U24"/>
  <c r="U12"/>
  <c r="U39"/>
  <c r="U41" s="1"/>
  <c r="U37"/>
  <c r="U54"/>
  <c r="U76" s="1"/>
  <c r="U31"/>
  <c r="U48"/>
  <c r="U25"/>
  <c r="U11"/>
  <c r="U78"/>
  <c r="U47"/>
  <c r="U28"/>
  <c r="U13"/>
  <c r="U79"/>
  <c r="H41"/>
  <c r="I80"/>
  <c r="S80"/>
  <c r="T80"/>
  <c r="T102" s="1"/>
  <c r="R80"/>
  <c r="R102" s="1"/>
  <c r="P80"/>
  <c r="P102" s="1"/>
  <c r="N80"/>
  <c r="N102" s="1"/>
  <c r="Q80"/>
  <c r="O80"/>
  <c r="L80"/>
  <c r="L102" s="1"/>
  <c r="K80"/>
  <c r="K102" s="1"/>
  <c r="J80"/>
  <c r="M102"/>
  <c r="J102"/>
  <c r="O102"/>
  <c r="S102"/>
  <c r="U52"/>
  <c r="H80"/>
  <c r="H81" s="1"/>
  <c r="H22"/>
  <c r="U22" l="1"/>
  <c r="U82"/>
  <c r="U80"/>
  <c r="U81" s="1"/>
  <c r="Q102"/>
  <c r="U32"/>
  <c r="I102"/>
  <c r="H82"/>
  <c r="H84" s="1"/>
  <c r="G102" s="1"/>
  <c r="H102" s="1"/>
  <c r="U102" l="1"/>
  <c r="C107" l="1"/>
  <c r="C111" s="1"/>
</calcChain>
</file>

<file path=xl/sharedStrings.xml><?xml version="1.0" encoding="utf-8"?>
<sst xmlns="http://schemas.openxmlformats.org/spreadsheetml/2006/main" count="305" uniqueCount="227">
  <si>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</si>
  <si>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</si>
  <si>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</si>
  <si>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</si>
  <si>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</si>
  <si>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</si>
  <si>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</si>
  <si>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</si>
  <si>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</si>
  <si>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</si>
  <si>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</si>
  <si>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</si>
  <si>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</si>
  <si>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</si>
  <si>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</si>
  <si>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</si>
  <si>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</si>
  <si>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</si>
  <si>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</si>
  <si>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</si>
  <si>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</si>
  <si>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</si>
  <si>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</si>
  <si>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</si>
  <si>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</si>
  <si>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</si>
  <si>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</si>
  <si>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</si>
  <si>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</si>
  <si>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</si>
  <si>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</si>
  <si>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</si>
  <si>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</si>
  <si>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</si>
  <si>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</si>
  <si>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</si>
  <si>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</si>
  <si>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</si>
  <si>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</si>
  <si>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</si>
  <si>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</si>
  <si>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</si>
  <si>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</si>
  <si>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</si>
  <si>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</si>
  <si>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</si>
  <si>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</si>
  <si>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</si>
  <si>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</si>
  <si>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</si>
  <si>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</si>
  <si>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</si>
  <si>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</si>
  <si>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</si>
  <si>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</si>
  <si>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</si>
  <si>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</si>
  <si>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</si>
  <si>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</si>
  <si>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</si>
  <si>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</si>
  <si>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</si>
  <si>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</si>
  <si>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</si>
  <si>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</si>
  <si>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</si>
  <si>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</si>
  <si>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</si>
  <si>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</si>
  <si>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</si>
  <si>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</si>
  <si>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</si>
  <si>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</si>
  <si>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</si>
  <si>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</si>
  <si>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</si>
  <si>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</si>
  <si>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</si>
  <si>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</si>
  <si>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</si>
  <si>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</si>
  <si>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</si>
  <si>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</si>
  <si>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</si>
  <si>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</si>
  <si>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</si>
  <si>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</si>
  <si>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</si>
  <si>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</si>
  <si>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</si>
  <si>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</si>
  <si>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</si>
  <si>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</si>
  <si>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</si>
  <si>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</si>
  <si>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</si>
  <si>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</si>
  <si>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</si>
  <si>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</si>
  <si>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</si>
  <si>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30 раз за сезон</t>
  </si>
  <si>
    <t>Вывоз снега с придомовой территории</t>
  </si>
  <si>
    <t>Вода для промывки СО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</si>
  <si>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</si>
  <si>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</si>
  <si>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</si>
  <si>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</si>
  <si>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калькуляция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</si>
  <si>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</si>
  <si>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</si>
  <si>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</si>
  <si>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</si>
  <si>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</si>
  <si>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</si>
  <si>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</si>
  <si>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</si>
  <si>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</si>
  <si>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</si>
  <si>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</si>
  <si>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</si>
  <si>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смета</t>
  </si>
  <si>
    <t>1 шт</t>
  </si>
  <si>
    <t>Стоимость (руб.)</t>
  </si>
  <si>
    <t>договор</t>
  </si>
  <si>
    <t>ТО внутридомового газ.оборудования</t>
  </si>
  <si>
    <t>Работа автовышки</t>
  </si>
  <si>
    <t>Ремонт групповых щитков на лестничной клетке без ремонта автоматов</t>
  </si>
  <si>
    <t>4 этажа, 3 подъезда</t>
  </si>
  <si>
    <t>м2</t>
  </si>
  <si>
    <t xml:space="preserve">Погрузка травы, ветвей 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</si>
  <si>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</si>
  <si>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</si>
  <si>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</si>
  <si>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</si>
  <si>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</si>
  <si>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</si>
  <si>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</si>
  <si>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</si>
  <si>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</si>
  <si>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</si>
  <si>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</si>
  <si>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</si>
  <si>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</si>
  <si>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</si>
  <si>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</si>
  <si>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</si>
  <si>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51-022</t>
  </si>
  <si>
    <t>Влажное подметание лестничных клеток 2-4 этажа</t>
  </si>
  <si>
    <t>Мытье лестничных  площадок и маршей 1-4 этаж.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</si>
  <si>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</si>
  <si>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</si>
  <si>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</si>
  <si>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</si>
  <si>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</si>
  <si>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</si>
  <si>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</si>
  <si>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</si>
  <si>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</si>
  <si>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</si>
  <si>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</si>
  <si>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</si>
  <si>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</si>
  <si>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</si>
  <si>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</si>
  <si>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</si>
  <si>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</si>
  <si>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</si>
  <si>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Осмотр шиферной кровли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</si>
  <si>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</si>
  <si>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</si>
  <si>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</si>
  <si>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</si>
  <si>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</si>
  <si>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</si>
  <si>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</si>
  <si>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</si>
  <si>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</si>
  <si>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</si>
  <si>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33-030</t>
  </si>
  <si>
    <t>ТЕР 32-027</t>
  </si>
  <si>
    <t xml:space="preserve">2 раза в месяц 24 раза в год </t>
  </si>
  <si>
    <t>Сдвигание снега в дни снегопада</t>
  </si>
  <si>
    <t>35 раза за сезон</t>
  </si>
  <si>
    <t>20 раз за сезон</t>
  </si>
  <si>
    <t>маш-час</t>
  </si>
  <si>
    <t>Дератизация</t>
  </si>
  <si>
    <t>12 раз в год</t>
  </si>
  <si>
    <t>Спуск воды после промывки СО в канализацию</t>
  </si>
  <si>
    <t>ТО внутренних сетей водопровода и канализации</t>
  </si>
  <si>
    <t>руб/м2 в мес.</t>
  </si>
  <si>
    <t>пр.ТЕР 33-024</t>
  </si>
  <si>
    <t>1 шт.</t>
  </si>
  <si>
    <t>Смена светодиодных светильников</t>
  </si>
  <si>
    <t>счёт</t>
  </si>
  <si>
    <t>Стоимость светодиодного светильника</t>
  </si>
  <si>
    <t>руб.</t>
  </si>
  <si>
    <t>Внеплановый осмотр электросетей, армазуры и электрооборудования на лестничных клетках</t>
  </si>
  <si>
    <t>Баланс выполненных работ на 01.01.2017 г. ( -долг за предприятием, +долг за населением)</t>
  </si>
  <si>
    <t>ТЕР 32-101</t>
  </si>
  <si>
    <t>3м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</si>
  <si>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43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</si>
  <si>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</si>
  <si>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</si>
  <si>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</si>
  <si>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</si>
  <si>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Ремонт и регулировка доводчика (со стоимостью доводчика)</t>
  </si>
  <si>
    <t>1шт.</t>
  </si>
  <si>
    <t>пр.ТЕР 33-023</t>
  </si>
  <si>
    <t>Прочистка засоров канализации</t>
  </si>
  <si>
    <t>пр.ТЕР 32-098</t>
  </si>
  <si>
    <t>Устройство хомута диаметром до 50 мм</t>
  </si>
  <si>
    <t>место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</si>
  <si>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</si>
  <si>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</si>
  <si>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</si>
  <si>
    <t>Смена арматуры - вентилей и клапанов обратных муфтовых диаметром до 20 мм</t>
  </si>
  <si>
    <t>Смена трубопроводов на полипропиленовые трубы PN25 диаметром 25мм</t>
  </si>
  <si>
    <t>1 м</t>
  </si>
  <si>
    <t>Смена светодиодных светильников в.о.</t>
  </si>
  <si>
    <t>м</t>
  </si>
  <si>
    <t>ТЕР 33-034</t>
  </si>
  <si>
    <r>
      <t>Смена отдельных участков наружной проводки (кабель АВВГ 2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2,5 мм</t>
    </r>
    <r>
      <rPr>
        <sz val="10"/>
        <rFont val="Calibri"/>
        <family val="2"/>
        <charset val="204"/>
      </rPr>
      <t>²</t>
    </r>
    <r>
      <rPr>
        <sz val="10"/>
        <rFont val="Arial"/>
        <family val="2"/>
        <charset val="204"/>
      </rPr>
      <t>)</t>
    </r>
  </si>
  <si>
    <t>ТЕР 33-060</t>
  </si>
  <si>
    <t>Подключение и отключение сварочного аппарата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</si>
  <si>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</si>
  <si>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</si>
  <si>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Сверхнормативы по ОДП за 2 полугодие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</si>
</sst>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" fontId="1" fillId="4" borderId="7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/>
    </xf>
    <xf numFmtId="4" fontId="14" fillId="2" borderId="22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4" fontId="1" fillId="4" borderId="25" xfId="0" applyNumberFormat="1" applyFont="1" applyFill="1" applyBorder="1" applyAlignment="1">
      <alignment horizontal="center" vertical="center"/>
    </xf>
    <xf numFmtId="4" fontId="1" fillId="4" borderId="26" xfId="0" applyNumberFormat="1" applyFont="1" applyFill="1" applyBorder="1" applyAlignment="1">
      <alignment horizontal="center" vertical="center"/>
    </xf>
    <xf numFmtId="4" fontId="1" fillId="8" borderId="25" xfId="0" applyNumberFormat="1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/>
    </xf>
    <xf numFmtId="4" fontId="1" fillId="4" borderId="27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left" vertical="center" wrapText="1"/>
    </xf>
    <xf numFmtId="0" fontId="1" fillId="4" borderId="29" xfId="0" applyFont="1" applyFill="1" applyBorder="1" applyAlignment="1">
      <alignment horizontal="center" vertical="center"/>
    </xf>
    <xf numFmtId="4" fontId="1" fillId="4" borderId="29" xfId="0" applyNumberFormat="1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left" vertical="center" wrapText="1"/>
    </xf>
    <xf numFmtId="4" fontId="1" fillId="4" borderId="25" xfId="0" applyNumberFormat="1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4" borderId="2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/>
    </xf>
    <xf numFmtId="4" fontId="1" fillId="0" borderId="3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2" fontId="0" fillId="8" borderId="33" xfId="0" applyNumberFormat="1" applyFill="1" applyBorder="1" applyAlignment="1">
      <alignment horizontal="center" vertical="center"/>
    </xf>
    <xf numFmtId="4" fontId="1" fillId="4" borderId="33" xfId="0" applyNumberFormat="1" applyFont="1" applyFill="1" applyBorder="1" applyAlignment="1">
      <alignment horizontal="center" vertical="center"/>
    </xf>
    <xf numFmtId="4" fontId="1" fillId="4" borderId="35" xfId="0" applyNumberFormat="1" applyFont="1" applyFill="1" applyBorder="1" applyAlignment="1">
      <alignment horizontal="center" vertical="center"/>
    </xf>
    <xf numFmtId="4" fontId="1" fillId="8" borderId="33" xfId="0" applyNumberFormat="1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/>
    </xf>
    <xf numFmtId="0" fontId="1" fillId="0" borderId="34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>
      <alignment horizontal="left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" fontId="1" fillId="8" borderId="36" xfId="0" applyNumberFormat="1" applyFont="1" applyFill="1" applyBorder="1" applyAlignment="1">
      <alignment horizontal="center" vertical="center"/>
    </xf>
    <xf numFmtId="4" fontId="1" fillId="8" borderId="37" xfId="0" applyNumberFormat="1" applyFont="1" applyFill="1" applyBorder="1" applyAlignment="1">
      <alignment horizontal="center" vertical="center"/>
    </xf>
    <xf numFmtId="0" fontId="1" fillId="0" borderId="37" xfId="0" applyNumberFormat="1" applyFont="1" applyFill="1" applyBorder="1" applyAlignment="1" applyProtection="1">
      <alignment horizontal="center" vertical="center"/>
    </xf>
    <xf numFmtId="0" fontId="1" fillId="0" borderId="37" xfId="0" applyNumberFormat="1" applyFont="1" applyFill="1" applyBorder="1" applyAlignment="1" applyProtection="1">
      <alignment horizontal="left" vertical="center" wrapText="1"/>
    </xf>
    <xf numFmtId="0" fontId="1" fillId="0" borderId="37" xfId="0" applyNumberFormat="1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>
      <alignment horizontal="left" vertical="center"/>
    </xf>
    <xf numFmtId="4" fontId="1" fillId="0" borderId="37" xfId="0" applyNumberFormat="1" applyFont="1" applyFill="1" applyBorder="1" applyAlignment="1">
      <alignment horizontal="center" vertical="center"/>
    </xf>
    <xf numFmtId="4" fontId="1" fillId="0" borderId="38" xfId="0" applyNumberFormat="1" applyFont="1" applyFill="1" applyBorder="1" applyAlignment="1">
      <alignment horizontal="center" vertical="center"/>
    </xf>
    <xf numFmtId="0" fontId="0" fillId="12" borderId="0" xfId="0" applyFill="1"/>
    <xf numFmtId="0" fontId="1" fillId="0" borderId="39" xfId="0" applyNumberFormat="1" applyFont="1" applyFill="1" applyBorder="1" applyAlignment="1" applyProtection="1">
      <alignment horizontal="center" vertical="center"/>
    </xf>
    <xf numFmtId="0" fontId="1" fillId="0" borderId="39" xfId="0" applyNumberFormat="1" applyFont="1" applyFill="1" applyBorder="1" applyAlignment="1" applyProtection="1">
      <alignment horizontal="left" vertical="center" wrapText="1"/>
    </xf>
    <xf numFmtId="0" fontId="1" fillId="0" borderId="39" xfId="0" applyNumberFormat="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>
      <alignment horizontal="left" vertical="center"/>
    </xf>
    <xf numFmtId="4" fontId="1" fillId="8" borderId="39" xfId="0" applyNumberFormat="1" applyFont="1" applyFill="1" applyBorder="1" applyAlignment="1">
      <alignment horizontal="center" vertical="center"/>
    </xf>
    <xf numFmtId="4" fontId="1" fillId="4" borderId="39" xfId="0" applyNumberFormat="1" applyFont="1" applyFill="1" applyBorder="1" applyAlignment="1">
      <alignment horizontal="center" vertical="center"/>
    </xf>
    <xf numFmtId="4" fontId="1" fillId="4" borderId="40" xfId="0" applyNumberFormat="1" applyFont="1" applyFill="1" applyBorder="1" applyAlignment="1">
      <alignment horizontal="center" vertical="center"/>
    </xf>
    <xf numFmtId="0" fontId="1" fillId="4" borderId="39" xfId="0" applyNumberFormat="1" applyFont="1" applyFill="1" applyBorder="1" applyAlignment="1" applyProtection="1">
      <alignment horizontal="center" vertical="center"/>
    </xf>
    <xf numFmtId="0" fontId="1" fillId="4" borderId="39" xfId="0" applyNumberFormat="1" applyFont="1" applyFill="1" applyBorder="1" applyAlignment="1" applyProtection="1">
      <alignment horizontal="left" vertical="center" wrapText="1"/>
    </xf>
    <xf numFmtId="0" fontId="1" fillId="4" borderId="39" xfId="0" applyNumberFormat="1" applyFont="1" applyFill="1" applyBorder="1" applyAlignment="1" applyProtection="1">
      <alignment horizontal="center" vertical="center" wrapText="1"/>
    </xf>
    <xf numFmtId="0" fontId="1" fillId="4" borderId="39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1" fillId="0" borderId="41" xfId="0" applyNumberFormat="1" applyFont="1" applyFill="1" applyBorder="1" applyAlignment="1" applyProtection="1">
      <alignment horizontal="center" vertical="center" wrapText="1"/>
    </xf>
    <xf numFmtId="0" fontId="1" fillId="0" borderId="41" xfId="0" applyNumberFormat="1" applyFont="1" applyFill="1" applyBorder="1" applyAlignment="1" applyProtection="1">
      <alignment horizontal="left" vertical="center" wrapText="1"/>
    </xf>
    <xf numFmtId="4" fontId="1" fillId="4" borderId="41" xfId="0" applyNumberFormat="1" applyFont="1" applyFill="1" applyBorder="1" applyAlignment="1">
      <alignment horizontal="center" vertical="center"/>
    </xf>
    <xf numFmtId="4" fontId="1" fillId="8" borderId="41" xfId="0" applyNumberFormat="1" applyFont="1" applyFill="1" applyBorder="1" applyAlignment="1">
      <alignment horizontal="center" vertical="center"/>
    </xf>
    <xf numFmtId="4" fontId="1" fillId="4" borderId="41" xfId="0" applyNumberFormat="1" applyFont="1" applyFill="1" applyBorder="1" applyAlignment="1">
      <alignment horizontal="center" vertical="center" wrapText="1"/>
    </xf>
    <xf numFmtId="4" fontId="1" fillId="8" borderId="42" xfId="0" applyNumberFormat="1" applyFont="1" applyFill="1" applyBorder="1" applyAlignment="1">
      <alignment horizontal="center" vertical="center"/>
    </xf>
    <xf numFmtId="2" fontId="1" fillId="4" borderId="4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15"/>
  <sheetViews>
    <sheetView tabSelected="1" view="pageBreakPreview" zoomScaleNormal="75" zoomScaleSheetLayoutView="100" workbookViewId="0">
      <pane ySplit="7" topLeftCell="A107" activePane="bottomLeft" state="frozen"/>
      <selection activeCell="B1" sqref="B1"/>
      <selection pane="bottomLeft" activeCell="B112" sqref="B112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1.85546875" customWidth="1"/>
    <col min="5" max="7" width="10.140625" customWidth="1"/>
    <col min="8" max="8" width="11.5703125" customWidth="1"/>
    <col min="9" max="20" width="9.85546875" customWidth="1"/>
    <col min="21" max="21" width="12.28515625" customWidth="1"/>
    <col min="22" max="23" width="9.140625" style="115"/>
  </cols>
  <sheetData>
    <row r="1" spans="1:21" ht="14.25" customHeight="1">
      <c r="A1" s="136"/>
    </row>
    <row r="3" spans="1:21" ht="18">
      <c r="A3" s="108"/>
      <c r="B3" s="196" t="s">
        <v>0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63"/>
      <c r="N3" s="63"/>
      <c r="O3" s="63"/>
      <c r="P3" s="63"/>
      <c r="Q3" s="63"/>
      <c r="R3" s="63"/>
      <c r="S3" s="63"/>
      <c r="T3" s="63"/>
      <c r="U3" s="63"/>
    </row>
    <row r="4" spans="1:21" ht="35.25" customHeight="1">
      <c r="A4" s="63"/>
      <c r="B4" s="197" t="s">
        <v>1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63"/>
      <c r="N4" s="63"/>
      <c r="O4" s="63"/>
      <c r="P4" s="63"/>
      <c r="Q4" s="63"/>
      <c r="R4" s="63"/>
      <c r="S4" s="63"/>
      <c r="T4" s="63"/>
      <c r="U4" s="63"/>
    </row>
    <row r="5" spans="1:21" ht="18">
      <c r="A5" s="63"/>
      <c r="B5" s="197" t="s">
        <v>200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63"/>
      <c r="N5" s="63"/>
      <c r="O5" s="63"/>
      <c r="P5" s="63"/>
      <c r="Q5" s="63"/>
      <c r="R5" s="63"/>
      <c r="S5" s="63"/>
      <c r="T5" s="63"/>
      <c r="U5" s="63"/>
    </row>
    <row r="6" spans="1:21" ht="15">
      <c r="A6" s="63"/>
      <c r="B6" s="198" t="s">
        <v>127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63"/>
      <c r="N6" s="63"/>
      <c r="O6" s="63"/>
      <c r="P6" s="63"/>
      <c r="Q6" s="63"/>
      <c r="R6" s="63"/>
      <c r="S6" s="63"/>
      <c r="T6" s="63"/>
      <c r="U6" s="63"/>
    </row>
    <row r="7" spans="1:21" ht="46.5" customHeight="1">
      <c r="A7" s="117" t="s">
        <v>2</v>
      </c>
      <c r="B7" s="118" t="s">
        <v>3</v>
      </c>
      <c r="C7" s="118" t="s">
        <v>4</v>
      </c>
      <c r="D7" s="118" t="s">
        <v>5</v>
      </c>
      <c r="E7" s="118" t="s">
        <v>6</v>
      </c>
      <c r="F7" s="118" t="s">
        <v>7</v>
      </c>
      <c r="G7" s="118" t="s">
        <v>8</v>
      </c>
      <c r="H7" s="119" t="s">
        <v>9</v>
      </c>
      <c r="I7" s="120" t="s">
        <v>108</v>
      </c>
      <c r="J7" s="120" t="s">
        <v>109</v>
      </c>
      <c r="K7" s="120" t="s">
        <v>110</v>
      </c>
      <c r="L7" s="120" t="s">
        <v>111</v>
      </c>
      <c r="M7" s="120" t="s">
        <v>112</v>
      </c>
      <c r="N7" s="120" t="s">
        <v>113</v>
      </c>
      <c r="O7" s="120" t="s">
        <v>114</v>
      </c>
      <c r="P7" s="120" t="s">
        <v>115</v>
      </c>
      <c r="Q7" s="120" t="s">
        <v>116</v>
      </c>
      <c r="R7" s="120" t="s">
        <v>117</v>
      </c>
      <c r="S7" s="120" t="s">
        <v>118</v>
      </c>
      <c r="T7" s="120" t="s">
        <v>119</v>
      </c>
      <c r="U7" s="120" t="s">
        <v>122</v>
      </c>
    </row>
    <row r="8" spans="1:21">
      <c r="A8" s="121">
        <v>1</v>
      </c>
      <c r="B8" s="8">
        <v>2</v>
      </c>
      <c r="C8" s="23">
        <v>3</v>
      </c>
      <c r="D8" s="8">
        <v>4</v>
      </c>
      <c r="E8" s="8">
        <v>5</v>
      </c>
      <c r="F8" s="23">
        <v>6</v>
      </c>
      <c r="G8" s="23">
        <v>7</v>
      </c>
      <c r="H8" s="109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  <c r="T8" s="110">
        <v>20</v>
      </c>
      <c r="U8" s="110">
        <v>21</v>
      </c>
    </row>
    <row r="9" spans="1:21" ht="38.25">
      <c r="A9" s="121"/>
      <c r="B9" s="10" t="s">
        <v>10</v>
      </c>
      <c r="C9" s="23"/>
      <c r="D9" s="11"/>
      <c r="E9" s="11"/>
      <c r="F9" s="23"/>
      <c r="G9" s="23"/>
      <c r="H9" s="24"/>
      <c r="I9" s="25"/>
      <c r="J9" s="25"/>
      <c r="K9" s="25"/>
      <c r="L9" s="25"/>
      <c r="M9" s="26"/>
      <c r="N9" s="27"/>
      <c r="O9" s="27"/>
      <c r="P9" s="27"/>
      <c r="Q9" s="27"/>
      <c r="R9" s="27"/>
      <c r="S9" s="27"/>
      <c r="T9" s="27"/>
      <c r="U9" s="27"/>
    </row>
    <row r="10" spans="1:21">
      <c r="A10" s="121"/>
      <c r="B10" s="10" t="s">
        <v>11</v>
      </c>
      <c r="C10" s="23"/>
      <c r="D10" s="11"/>
      <c r="E10" s="11"/>
      <c r="F10" s="23"/>
      <c r="G10" s="23"/>
      <c r="H10" s="24"/>
      <c r="I10" s="25"/>
      <c r="J10" s="25"/>
      <c r="K10" s="25"/>
      <c r="L10" s="25"/>
      <c r="M10" s="26"/>
      <c r="N10" s="27"/>
      <c r="O10" s="27"/>
      <c r="P10" s="27"/>
      <c r="Q10" s="27"/>
      <c r="R10" s="27"/>
      <c r="S10" s="27"/>
      <c r="T10" s="27"/>
      <c r="U10" s="27"/>
    </row>
    <row r="11" spans="1:21" ht="25.5">
      <c r="A11" s="121" t="s">
        <v>137</v>
      </c>
      <c r="B11" s="11" t="s">
        <v>12</v>
      </c>
      <c r="C11" s="23" t="s">
        <v>13</v>
      </c>
      <c r="D11" s="11" t="s">
        <v>14</v>
      </c>
      <c r="E11" s="28">
        <v>38.1</v>
      </c>
      <c r="F11" s="29">
        <f>SUM(E11*156/100)</f>
        <v>59.436000000000007</v>
      </c>
      <c r="G11" s="29">
        <v>218.21</v>
      </c>
      <c r="H11" s="30">
        <f t="shared" ref="H11:H21" si="0">SUM(F11*G11/1000)</f>
        <v>12.969529560000003</v>
      </c>
      <c r="I11" s="31">
        <f>F11/12*G11</f>
        <v>1080.79413</v>
      </c>
      <c r="J11" s="31">
        <f>F11/12*G11</f>
        <v>1080.79413</v>
      </c>
      <c r="K11" s="31">
        <f>F11/12*G11</f>
        <v>1080.79413</v>
      </c>
      <c r="L11" s="31">
        <f>F11/12*G11</f>
        <v>1080.79413</v>
      </c>
      <c r="M11" s="31">
        <f>F11/12*G11</f>
        <v>1080.79413</v>
      </c>
      <c r="N11" s="31">
        <f>F11/12*G11</f>
        <v>1080.79413</v>
      </c>
      <c r="O11" s="31">
        <f>F11/12*G11</f>
        <v>1080.79413</v>
      </c>
      <c r="P11" s="31">
        <f>F11/12*G11</f>
        <v>1080.79413</v>
      </c>
      <c r="Q11" s="31">
        <f>F11/12*G11</f>
        <v>1080.79413</v>
      </c>
      <c r="R11" s="31">
        <f>F11/12*G11</f>
        <v>1080.79413</v>
      </c>
      <c r="S11" s="31">
        <f>F11/12*G11</f>
        <v>1080.79413</v>
      </c>
      <c r="T11" s="31">
        <f>F11/12*G11</f>
        <v>1080.79413</v>
      </c>
      <c r="U11" s="31">
        <f>SUM(I11:T11)</f>
        <v>12969.529560000001</v>
      </c>
    </row>
    <row r="12" spans="1:21" ht="25.5">
      <c r="A12" s="121" t="s">
        <v>137</v>
      </c>
      <c r="B12" s="11" t="s">
        <v>147</v>
      </c>
      <c r="C12" s="23" t="s">
        <v>13</v>
      </c>
      <c r="D12" s="11" t="s">
        <v>15</v>
      </c>
      <c r="E12" s="28">
        <v>114.4</v>
      </c>
      <c r="F12" s="29">
        <f>SUM(E12*104/100)</f>
        <v>118.976</v>
      </c>
      <c r="G12" s="29">
        <v>218.21</v>
      </c>
      <c r="H12" s="30">
        <f t="shared" si="0"/>
        <v>25.961752960000002</v>
      </c>
      <c r="I12" s="31">
        <f>F12/12*G12</f>
        <v>2163.4794133333335</v>
      </c>
      <c r="J12" s="31">
        <f>F12/12*G12</f>
        <v>2163.4794133333335</v>
      </c>
      <c r="K12" s="31">
        <f>F12/12*G12</f>
        <v>2163.4794133333335</v>
      </c>
      <c r="L12" s="31">
        <f>F12/12*G12</f>
        <v>2163.4794133333335</v>
      </c>
      <c r="M12" s="31">
        <f>F12/12*G12</f>
        <v>2163.4794133333335</v>
      </c>
      <c r="N12" s="31">
        <f>F12/12*G12</f>
        <v>2163.4794133333335</v>
      </c>
      <c r="O12" s="31">
        <f>F12/12*G12</f>
        <v>2163.4794133333335</v>
      </c>
      <c r="P12" s="31">
        <f>F12/12*G12</f>
        <v>2163.4794133333335</v>
      </c>
      <c r="Q12" s="31">
        <f>F12/12*G12</f>
        <v>2163.4794133333335</v>
      </c>
      <c r="R12" s="31">
        <f>F12/12*G12</f>
        <v>2163.4794133333335</v>
      </c>
      <c r="S12" s="31">
        <f>F12/12*G12</f>
        <v>2163.4794133333335</v>
      </c>
      <c r="T12" s="31">
        <f>F12/12*G12</f>
        <v>2163.4794133333335</v>
      </c>
      <c r="U12" s="31">
        <f t="shared" ref="U12:U21" si="1">SUM(I12:T12)</f>
        <v>25961.752960000009</v>
      </c>
    </row>
    <row r="13" spans="1:21" ht="25.5">
      <c r="A13" s="121" t="s">
        <v>138</v>
      </c>
      <c r="B13" s="11" t="s">
        <v>148</v>
      </c>
      <c r="C13" s="23" t="s">
        <v>13</v>
      </c>
      <c r="D13" s="11" t="s">
        <v>180</v>
      </c>
      <c r="E13" s="28">
        <f>SUM(E11+E12)</f>
        <v>152.5</v>
      </c>
      <c r="F13" s="29">
        <f>SUM(E13*24/100)</f>
        <v>36.6</v>
      </c>
      <c r="G13" s="29">
        <v>627.77</v>
      </c>
      <c r="H13" s="30">
        <f t="shared" si="0"/>
        <v>22.976382000000001</v>
      </c>
      <c r="I13" s="31">
        <f>F13/12*G13</f>
        <v>1914.6985000000002</v>
      </c>
      <c r="J13" s="31">
        <f>F13/12*G13</f>
        <v>1914.6985000000002</v>
      </c>
      <c r="K13" s="31">
        <f>F13/12*G13</f>
        <v>1914.6985000000002</v>
      </c>
      <c r="L13" s="31">
        <f>F13/12*G13</f>
        <v>1914.6985000000002</v>
      </c>
      <c r="M13" s="31">
        <f>F13/12*G13</f>
        <v>1914.6985000000002</v>
      </c>
      <c r="N13" s="31">
        <f>F13/12*G13</f>
        <v>1914.6985000000002</v>
      </c>
      <c r="O13" s="31">
        <f>F13/12*G13</f>
        <v>1914.6985000000002</v>
      </c>
      <c r="P13" s="31">
        <f>F13/12*G13</f>
        <v>1914.6985000000002</v>
      </c>
      <c r="Q13" s="31">
        <f>F13/12*G13</f>
        <v>1914.6985000000002</v>
      </c>
      <c r="R13" s="31">
        <f>F13/12*G13</f>
        <v>1914.6985000000002</v>
      </c>
      <c r="S13" s="31">
        <f>F13/12*G13</f>
        <v>1914.6985000000002</v>
      </c>
      <c r="T13" s="31">
        <f>F13/12*G13</f>
        <v>1914.6985000000002</v>
      </c>
      <c r="U13" s="31">
        <f t="shared" si="1"/>
        <v>22976.381999999998</v>
      </c>
    </row>
    <row r="14" spans="1:21">
      <c r="A14" s="121" t="s">
        <v>139</v>
      </c>
      <c r="B14" s="11" t="s">
        <v>16</v>
      </c>
      <c r="C14" s="23" t="s">
        <v>17</v>
      </c>
      <c r="D14" s="11" t="s">
        <v>95</v>
      </c>
      <c r="E14" s="28">
        <v>32.4</v>
      </c>
      <c r="F14" s="29">
        <f>SUM(E14/10)</f>
        <v>3.2399999999999998</v>
      </c>
      <c r="G14" s="29">
        <v>211.74</v>
      </c>
      <c r="H14" s="30">
        <f t="shared" si="0"/>
        <v>0.68603760000000003</v>
      </c>
      <c r="I14" s="31">
        <v>0</v>
      </c>
      <c r="J14" s="31">
        <v>0</v>
      </c>
      <c r="K14" s="31">
        <v>0</v>
      </c>
      <c r="L14" s="31">
        <v>0</v>
      </c>
      <c r="M14" s="31">
        <f>F14/2*G14</f>
        <v>343.0188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f t="shared" si="1"/>
        <v>343.0188</v>
      </c>
    </row>
    <row r="15" spans="1:21">
      <c r="A15" s="121" t="s">
        <v>140</v>
      </c>
      <c r="B15" s="11" t="s">
        <v>18</v>
      </c>
      <c r="C15" s="23" t="s">
        <v>13</v>
      </c>
      <c r="D15" s="11" t="s">
        <v>49</v>
      </c>
      <c r="E15" s="28">
        <v>10.5</v>
      </c>
      <c r="F15" s="29">
        <f>SUM(E15*2/100)</f>
        <v>0.21</v>
      </c>
      <c r="G15" s="29">
        <v>271.12</v>
      </c>
      <c r="H15" s="30">
        <f t="shared" si="0"/>
        <v>5.6935200000000005E-2</v>
      </c>
      <c r="I15" s="31">
        <v>0</v>
      </c>
      <c r="J15" s="31">
        <v>0</v>
      </c>
      <c r="K15" s="31">
        <v>0</v>
      </c>
      <c r="L15" s="31">
        <v>0</v>
      </c>
      <c r="M15" s="31">
        <f>F15/2*G15</f>
        <v>28.467600000000001</v>
      </c>
      <c r="N15" s="31">
        <v>0</v>
      </c>
      <c r="O15" s="31">
        <v>0</v>
      </c>
      <c r="P15" s="31">
        <v>0</v>
      </c>
      <c r="Q15" s="31">
        <f>F15/2*G15</f>
        <v>28.467600000000001</v>
      </c>
      <c r="R15" s="31">
        <v>0</v>
      </c>
      <c r="S15" s="31">
        <v>0</v>
      </c>
      <c r="T15" s="31">
        <v>0</v>
      </c>
      <c r="U15" s="31">
        <f t="shared" si="1"/>
        <v>56.935200000000002</v>
      </c>
    </row>
    <row r="16" spans="1:21">
      <c r="A16" s="121" t="s">
        <v>141</v>
      </c>
      <c r="B16" s="11" t="s">
        <v>19</v>
      </c>
      <c r="C16" s="23" t="s">
        <v>13</v>
      </c>
      <c r="D16" s="11" t="s">
        <v>49</v>
      </c>
      <c r="E16" s="28">
        <v>10.08</v>
      </c>
      <c r="F16" s="29">
        <f>SUM(E16*2/100)</f>
        <v>0.2016</v>
      </c>
      <c r="G16" s="29">
        <v>268.92</v>
      </c>
      <c r="H16" s="30">
        <f t="shared" si="0"/>
        <v>5.4214272000000001E-2</v>
      </c>
      <c r="I16" s="31">
        <v>0</v>
      </c>
      <c r="J16" s="31">
        <v>0</v>
      </c>
      <c r="K16" s="31">
        <v>0</v>
      </c>
      <c r="L16" s="31">
        <v>0</v>
      </c>
      <c r="M16" s="31">
        <f>F16/2*G16</f>
        <v>27.107136000000001</v>
      </c>
      <c r="N16" s="31">
        <v>0</v>
      </c>
      <c r="O16" s="31">
        <v>0</v>
      </c>
      <c r="P16" s="31">
        <v>0</v>
      </c>
      <c r="Q16" s="31">
        <f>F16/2*G16</f>
        <v>27.107136000000001</v>
      </c>
      <c r="R16" s="31">
        <v>0</v>
      </c>
      <c r="S16" s="31">
        <v>0</v>
      </c>
      <c r="T16" s="31">
        <v>0</v>
      </c>
      <c r="U16" s="31">
        <f t="shared" si="1"/>
        <v>54.214272000000001</v>
      </c>
    </row>
    <row r="17" spans="1:23">
      <c r="A17" s="121" t="s">
        <v>142</v>
      </c>
      <c r="B17" s="11" t="s">
        <v>20</v>
      </c>
      <c r="C17" s="23" t="s">
        <v>21</v>
      </c>
      <c r="D17" s="11" t="s">
        <v>95</v>
      </c>
      <c r="E17" s="28">
        <v>293.76</v>
      </c>
      <c r="F17" s="29">
        <f>SUM(E17/100)</f>
        <v>2.9375999999999998</v>
      </c>
      <c r="G17" s="29">
        <v>335.05</v>
      </c>
      <c r="H17" s="30">
        <f t="shared" si="0"/>
        <v>0.98424287999999993</v>
      </c>
      <c r="I17" s="31">
        <v>0</v>
      </c>
      <c r="J17" s="31">
        <v>0</v>
      </c>
      <c r="K17" s="31">
        <v>0</v>
      </c>
      <c r="L17" s="31">
        <v>0</v>
      </c>
      <c r="M17" s="31">
        <f>F17*G17</f>
        <v>984.2428799999999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f t="shared" si="1"/>
        <v>984.2428799999999</v>
      </c>
    </row>
    <row r="18" spans="1:23">
      <c r="A18" s="121" t="s">
        <v>143</v>
      </c>
      <c r="B18" s="11" t="s">
        <v>22</v>
      </c>
      <c r="C18" s="23" t="s">
        <v>21</v>
      </c>
      <c r="D18" s="11" t="s">
        <v>95</v>
      </c>
      <c r="E18" s="33">
        <v>17.64</v>
      </c>
      <c r="F18" s="29">
        <f>SUM(E18/100)</f>
        <v>0.1764</v>
      </c>
      <c r="G18" s="29">
        <v>55.1</v>
      </c>
      <c r="H18" s="30">
        <f t="shared" si="0"/>
        <v>9.7196399999999999E-3</v>
      </c>
      <c r="I18" s="31">
        <v>0</v>
      </c>
      <c r="J18" s="31">
        <v>0</v>
      </c>
      <c r="K18" s="31">
        <v>0</v>
      </c>
      <c r="L18" s="31">
        <v>0</v>
      </c>
      <c r="M18" s="31">
        <f t="shared" ref="M18:M21" si="2">F18*G18</f>
        <v>9.7196400000000001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f t="shared" si="1"/>
        <v>9.7196400000000001</v>
      </c>
    </row>
    <row r="19" spans="1:23">
      <c r="A19" s="121" t="s">
        <v>144</v>
      </c>
      <c r="B19" s="11" t="s">
        <v>23</v>
      </c>
      <c r="C19" s="23" t="s">
        <v>21</v>
      </c>
      <c r="D19" s="11" t="s">
        <v>96</v>
      </c>
      <c r="E19" s="28">
        <v>10.8</v>
      </c>
      <c r="F19" s="29">
        <f>E19/100</f>
        <v>0.10800000000000001</v>
      </c>
      <c r="G19" s="29">
        <v>484.94</v>
      </c>
      <c r="H19" s="30">
        <f t="shared" si="0"/>
        <v>5.2373520000000007E-2</v>
      </c>
      <c r="I19" s="31">
        <v>0</v>
      </c>
      <c r="J19" s="31">
        <v>0</v>
      </c>
      <c r="K19" s="31">
        <v>0</v>
      </c>
      <c r="L19" s="31">
        <v>0</v>
      </c>
      <c r="M19" s="31">
        <f t="shared" si="2"/>
        <v>52.373520000000006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f t="shared" si="1"/>
        <v>52.373520000000006</v>
      </c>
    </row>
    <row r="20" spans="1:23" ht="25.5">
      <c r="A20" s="121" t="s">
        <v>146</v>
      </c>
      <c r="B20" s="11" t="s">
        <v>97</v>
      </c>
      <c r="C20" s="23" t="s">
        <v>21</v>
      </c>
      <c r="D20" s="11" t="s">
        <v>31</v>
      </c>
      <c r="E20" s="28">
        <v>12.6</v>
      </c>
      <c r="F20" s="29">
        <v>0.13</v>
      </c>
      <c r="G20" s="29">
        <v>268.92</v>
      </c>
      <c r="H20" s="30">
        <f t="shared" si="0"/>
        <v>3.49596E-2</v>
      </c>
      <c r="I20" s="31">
        <v>0</v>
      </c>
      <c r="J20" s="31">
        <v>0</v>
      </c>
      <c r="K20" s="31">
        <v>0</v>
      </c>
      <c r="L20" s="31">
        <v>0</v>
      </c>
      <c r="M20" s="31">
        <f t="shared" si="2"/>
        <v>34.959600000000002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f t="shared" si="1"/>
        <v>34.959600000000002</v>
      </c>
    </row>
    <row r="21" spans="1:23">
      <c r="A21" s="121" t="s">
        <v>145</v>
      </c>
      <c r="B21" s="11" t="s">
        <v>24</v>
      </c>
      <c r="C21" s="23" t="s">
        <v>21</v>
      </c>
      <c r="D21" s="11" t="s">
        <v>95</v>
      </c>
      <c r="E21" s="28">
        <v>14.4</v>
      </c>
      <c r="F21" s="29">
        <f>SUM(E21/100)</f>
        <v>0.14400000000000002</v>
      </c>
      <c r="G21" s="29">
        <v>648.04999999999995</v>
      </c>
      <c r="H21" s="30">
        <f t="shared" si="0"/>
        <v>9.3319200000000005E-2</v>
      </c>
      <c r="I21" s="31">
        <v>0</v>
      </c>
      <c r="J21" s="31">
        <v>0</v>
      </c>
      <c r="K21" s="31">
        <v>0</v>
      </c>
      <c r="L21" s="31">
        <v>0</v>
      </c>
      <c r="M21" s="31">
        <f t="shared" si="2"/>
        <v>93.319200000000009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f t="shared" si="1"/>
        <v>93.319200000000009</v>
      </c>
    </row>
    <row r="22" spans="1:23" s="20" customFormat="1">
      <c r="A22" s="122"/>
      <c r="B22" s="21" t="s">
        <v>25</v>
      </c>
      <c r="C22" s="34"/>
      <c r="D22" s="21"/>
      <c r="E22" s="35"/>
      <c r="F22" s="36"/>
      <c r="G22" s="36"/>
      <c r="H22" s="37">
        <f>SUM(H11:H21)</f>
        <v>63.879466432000008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>
        <f>SUM(U11:U21)</f>
        <v>63536.447632000003</v>
      </c>
      <c r="V22" s="115"/>
      <c r="W22" s="115"/>
    </row>
    <row r="23" spans="1:23">
      <c r="A23" s="121"/>
      <c r="B23" s="13" t="s">
        <v>26</v>
      </c>
      <c r="C23" s="23"/>
      <c r="D23" s="11"/>
      <c r="E23" s="28"/>
      <c r="F23" s="29"/>
      <c r="G23" s="29"/>
      <c r="H23" s="3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3" ht="25.5" customHeight="1">
      <c r="A24" s="121" t="s">
        <v>149</v>
      </c>
      <c r="B24" s="11" t="s">
        <v>135</v>
      </c>
      <c r="C24" s="23" t="s">
        <v>28</v>
      </c>
      <c r="D24" s="11" t="s">
        <v>27</v>
      </c>
      <c r="E24" s="29">
        <v>52.9</v>
      </c>
      <c r="F24" s="29">
        <f>SUM(E24*52/1000)</f>
        <v>2.7507999999999999</v>
      </c>
      <c r="G24" s="29">
        <v>193.97</v>
      </c>
      <c r="H24" s="30">
        <f t="shared" ref="H24:H31" si="3">SUM(F24*G24/1000)</f>
        <v>0.53357267600000002</v>
      </c>
      <c r="I24" s="31">
        <v>0</v>
      </c>
      <c r="J24" s="31">
        <v>0</v>
      </c>
      <c r="K24" s="31">
        <v>0</v>
      </c>
      <c r="L24" s="31">
        <v>0</v>
      </c>
      <c r="M24" s="31">
        <f>F24/6*G24</f>
        <v>88.928779333333324</v>
      </c>
      <c r="N24" s="31">
        <f>F24/6*G24</f>
        <v>88.928779333333324</v>
      </c>
      <c r="O24" s="31">
        <f>F24/6*G24</f>
        <v>88.928779333333324</v>
      </c>
      <c r="P24" s="31">
        <f>F24/6*G24</f>
        <v>88.928779333333324</v>
      </c>
      <c r="Q24" s="31">
        <f>F24/6*G24</f>
        <v>88.928779333333324</v>
      </c>
      <c r="R24" s="31">
        <f>F24/6*G24</f>
        <v>88.928779333333324</v>
      </c>
      <c r="S24" s="31">
        <v>0</v>
      </c>
      <c r="T24" s="31">
        <v>0</v>
      </c>
      <c r="U24" s="31">
        <f t="shared" ref="U24:U31" si="4">SUM(I24:T24)</f>
        <v>533.57267599999989</v>
      </c>
    </row>
    <row r="25" spans="1:23" ht="38.25" customHeight="1">
      <c r="A25" s="121" t="s">
        <v>150</v>
      </c>
      <c r="B25" s="11" t="s">
        <v>136</v>
      </c>
      <c r="C25" s="23" t="s">
        <v>28</v>
      </c>
      <c r="D25" s="11" t="s">
        <v>29</v>
      </c>
      <c r="E25" s="29">
        <v>58.2</v>
      </c>
      <c r="F25" s="29">
        <f>SUM(E25*78/1000)</f>
        <v>4.5396000000000001</v>
      </c>
      <c r="G25" s="29">
        <v>321.82</v>
      </c>
      <c r="H25" s="30">
        <f t="shared" si="3"/>
        <v>1.4609340719999999</v>
      </c>
      <c r="I25" s="31">
        <v>0</v>
      </c>
      <c r="J25" s="31">
        <v>0</v>
      </c>
      <c r="K25" s="31">
        <v>0</v>
      </c>
      <c r="L25" s="31">
        <v>0</v>
      </c>
      <c r="M25" s="31">
        <f>F25/6*G25</f>
        <v>243.489012</v>
      </c>
      <c r="N25" s="31">
        <f>F25/6*G25</f>
        <v>243.489012</v>
      </c>
      <c r="O25" s="31">
        <f>F25/6*G25</f>
        <v>243.489012</v>
      </c>
      <c r="P25" s="31">
        <f>F25/6*G25</f>
        <v>243.489012</v>
      </c>
      <c r="Q25" s="31">
        <f>F25/6*G25</f>
        <v>243.489012</v>
      </c>
      <c r="R25" s="31">
        <f>F25/6*G25</f>
        <v>243.489012</v>
      </c>
      <c r="S25" s="31">
        <v>0</v>
      </c>
      <c r="T25" s="31">
        <v>0</v>
      </c>
      <c r="U25" s="31">
        <f t="shared" si="4"/>
        <v>1460.934072</v>
      </c>
    </row>
    <row r="26" spans="1:23">
      <c r="A26" s="121" t="s">
        <v>151</v>
      </c>
      <c r="B26" s="11" t="s">
        <v>30</v>
      </c>
      <c r="C26" s="23" t="s">
        <v>28</v>
      </c>
      <c r="D26" s="11" t="s">
        <v>31</v>
      </c>
      <c r="E26" s="29">
        <v>52.9</v>
      </c>
      <c r="F26" s="29">
        <f>SUM(E26/1000)</f>
        <v>5.2899999999999996E-2</v>
      </c>
      <c r="G26" s="29">
        <v>3758.28</v>
      </c>
      <c r="H26" s="30">
        <f t="shared" si="3"/>
        <v>0.19881301199999998</v>
      </c>
      <c r="I26" s="31">
        <v>0</v>
      </c>
      <c r="J26" s="31">
        <v>0</v>
      </c>
      <c r="K26" s="31">
        <v>0</v>
      </c>
      <c r="L26" s="31">
        <v>0</v>
      </c>
      <c r="M26" s="31">
        <f>F26*G26</f>
        <v>198.81301199999999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f t="shared" si="4"/>
        <v>198.81301199999999</v>
      </c>
    </row>
    <row r="27" spans="1:23">
      <c r="A27" s="121" t="s">
        <v>152</v>
      </c>
      <c r="B27" s="11" t="s">
        <v>32</v>
      </c>
      <c r="C27" s="23" t="s">
        <v>33</v>
      </c>
      <c r="D27" s="11" t="s">
        <v>34</v>
      </c>
      <c r="E27" s="40">
        <f>1/3</f>
        <v>0.33333333333333331</v>
      </c>
      <c r="F27" s="29">
        <f>155/3</f>
        <v>51.666666666666664</v>
      </c>
      <c r="G27" s="29">
        <v>70.540000000000006</v>
      </c>
      <c r="H27" s="30">
        <f t="shared" si="3"/>
        <v>3.6445666666666665</v>
      </c>
      <c r="I27" s="31">
        <v>0</v>
      </c>
      <c r="J27" s="31">
        <v>0</v>
      </c>
      <c r="K27" s="31">
        <v>0</v>
      </c>
      <c r="L27" s="31">
        <v>0</v>
      </c>
      <c r="M27" s="31">
        <f>F27/6*G27</f>
        <v>607.42777777777781</v>
      </c>
      <c r="N27" s="31">
        <f>F27/6*G27</f>
        <v>607.42777777777781</v>
      </c>
      <c r="O27" s="31">
        <f>F27/6*G27</f>
        <v>607.42777777777781</v>
      </c>
      <c r="P27" s="31">
        <f>F27/6*G27</f>
        <v>607.42777777777781</v>
      </c>
      <c r="Q27" s="31">
        <f>F27/6*G27</f>
        <v>607.42777777777781</v>
      </c>
      <c r="R27" s="31">
        <f>F27/6*G27</f>
        <v>607.42777777777781</v>
      </c>
      <c r="S27" s="31">
        <v>0</v>
      </c>
      <c r="T27" s="31">
        <v>0</v>
      </c>
      <c r="U27" s="31">
        <f t="shared" si="4"/>
        <v>3644.5666666666671</v>
      </c>
    </row>
    <row r="28" spans="1:23" ht="12.75" customHeight="1">
      <c r="A28" s="121" t="s">
        <v>153</v>
      </c>
      <c r="B28" s="11" t="s">
        <v>35</v>
      </c>
      <c r="C28" s="23" t="s">
        <v>36</v>
      </c>
      <c r="D28" s="11" t="s">
        <v>37</v>
      </c>
      <c r="E28" s="41">
        <v>0.1</v>
      </c>
      <c r="F28" s="29">
        <f>SUM(E28*365)</f>
        <v>36.5</v>
      </c>
      <c r="G28" s="29">
        <v>182.96</v>
      </c>
      <c r="H28" s="30">
        <f t="shared" si="3"/>
        <v>6.6780400000000002</v>
      </c>
      <c r="I28" s="31">
        <f>F28/12*G28</f>
        <v>556.50333333333333</v>
      </c>
      <c r="J28" s="31">
        <f>F28/12*G28</f>
        <v>556.50333333333333</v>
      </c>
      <c r="K28" s="31">
        <f>F28/12*G28</f>
        <v>556.50333333333333</v>
      </c>
      <c r="L28" s="31">
        <f>F28/12*G28</f>
        <v>556.50333333333333</v>
      </c>
      <c r="M28" s="31">
        <f>F28/12*G28</f>
        <v>556.50333333333333</v>
      </c>
      <c r="N28" s="31">
        <f>F28/12*G28</f>
        <v>556.50333333333333</v>
      </c>
      <c r="O28" s="31">
        <f>F28/12*G28</f>
        <v>556.50333333333333</v>
      </c>
      <c r="P28" s="31">
        <f>F28/12*G28</f>
        <v>556.50333333333333</v>
      </c>
      <c r="Q28" s="31">
        <f>F28/12*G28</f>
        <v>556.50333333333333</v>
      </c>
      <c r="R28" s="31">
        <f>F28/12*G28</f>
        <v>556.50333333333333</v>
      </c>
      <c r="S28" s="31">
        <f>F28/12*G28</f>
        <v>556.50333333333333</v>
      </c>
      <c r="T28" s="31">
        <f>F28/12*G28</f>
        <v>556.50333333333333</v>
      </c>
      <c r="U28" s="31">
        <f t="shared" si="4"/>
        <v>6678.0399999999981</v>
      </c>
    </row>
    <row r="29" spans="1:23" ht="12.75" customHeight="1">
      <c r="A29" s="121" t="s">
        <v>154</v>
      </c>
      <c r="B29" s="11" t="s">
        <v>129</v>
      </c>
      <c r="C29" s="23" t="s">
        <v>36</v>
      </c>
      <c r="D29" s="11" t="s">
        <v>38</v>
      </c>
      <c r="E29" s="28"/>
      <c r="F29" s="29">
        <v>1</v>
      </c>
      <c r="G29" s="29">
        <v>238.07</v>
      </c>
      <c r="H29" s="30">
        <f t="shared" si="3"/>
        <v>0.23807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f t="shared" si="4"/>
        <v>0</v>
      </c>
    </row>
    <row r="30" spans="1:23" ht="12.75" customHeight="1">
      <c r="A30" s="121" t="s">
        <v>107</v>
      </c>
      <c r="B30" s="11" t="s">
        <v>39</v>
      </c>
      <c r="C30" s="23" t="s">
        <v>40</v>
      </c>
      <c r="D30" s="11" t="s">
        <v>38</v>
      </c>
      <c r="E30" s="28"/>
      <c r="F30" s="29">
        <v>1</v>
      </c>
      <c r="G30" s="29">
        <v>1413.96</v>
      </c>
      <c r="H30" s="30">
        <f t="shared" si="3"/>
        <v>1.4139600000000001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f t="shared" si="4"/>
        <v>0</v>
      </c>
    </row>
    <row r="31" spans="1:23">
      <c r="A31" s="121"/>
      <c r="B31" s="42" t="s">
        <v>41</v>
      </c>
      <c r="C31" s="23" t="s">
        <v>42</v>
      </c>
      <c r="D31" s="42" t="s">
        <v>43</v>
      </c>
      <c r="E31" s="28">
        <v>2062.5</v>
      </c>
      <c r="F31" s="29">
        <f>SUM(E31*12)</f>
        <v>24750</v>
      </c>
      <c r="G31" s="29">
        <v>3.43</v>
      </c>
      <c r="H31" s="30">
        <f t="shared" si="3"/>
        <v>84.892499999999998</v>
      </c>
      <c r="I31" s="31">
        <f>F31/12*G31</f>
        <v>7074.375</v>
      </c>
      <c r="J31" s="31">
        <f>F31/12*G31</f>
        <v>7074.375</v>
      </c>
      <c r="K31" s="31">
        <f>F31/12*G31</f>
        <v>7074.375</v>
      </c>
      <c r="L31" s="31">
        <f>F31/12*G31</f>
        <v>7074.375</v>
      </c>
      <c r="M31" s="31">
        <f>F31/12*G31</f>
        <v>7074.375</v>
      </c>
      <c r="N31" s="31">
        <f>F31/12*G31</f>
        <v>7074.375</v>
      </c>
      <c r="O31" s="31">
        <f>F31/12*G31</f>
        <v>7074.375</v>
      </c>
      <c r="P31" s="31">
        <f>F31/12*G31</f>
        <v>7074.375</v>
      </c>
      <c r="Q31" s="31">
        <f>F31/12*G31</f>
        <v>7074.375</v>
      </c>
      <c r="R31" s="31">
        <f>F31/12*G31</f>
        <v>7074.375</v>
      </c>
      <c r="S31" s="31">
        <f>F31/12*G31</f>
        <v>7074.375</v>
      </c>
      <c r="T31" s="31">
        <f>F31/12*G31</f>
        <v>7074.375</v>
      </c>
      <c r="U31" s="31">
        <f t="shared" si="4"/>
        <v>84892.5</v>
      </c>
    </row>
    <row r="32" spans="1:23" s="20" customFormat="1">
      <c r="A32" s="122"/>
      <c r="B32" s="21" t="s">
        <v>25</v>
      </c>
      <c r="C32" s="34"/>
      <c r="D32" s="21"/>
      <c r="E32" s="35"/>
      <c r="F32" s="36"/>
      <c r="G32" s="36"/>
      <c r="H32" s="43">
        <f>SUM(H24:H31)</f>
        <v>99.060456426666661</v>
      </c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>
        <f>SUM(U24:U31)</f>
        <v>97408.426426666672</v>
      </c>
      <c r="V32" s="115"/>
      <c r="W32" s="115"/>
    </row>
    <row r="33" spans="1:23">
      <c r="A33" s="121"/>
      <c r="B33" s="13" t="s">
        <v>44</v>
      </c>
      <c r="C33" s="23"/>
      <c r="D33" s="11"/>
      <c r="E33" s="28"/>
      <c r="F33" s="29"/>
      <c r="G33" s="29"/>
      <c r="H33" s="30" t="s">
        <v>43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3" ht="12.75" customHeight="1">
      <c r="A34" s="121" t="s">
        <v>107</v>
      </c>
      <c r="B34" s="14" t="s">
        <v>45</v>
      </c>
      <c r="C34" s="23" t="s">
        <v>40</v>
      </c>
      <c r="D34" s="11"/>
      <c r="E34" s="28"/>
      <c r="F34" s="29">
        <v>5</v>
      </c>
      <c r="G34" s="29">
        <v>1900.37</v>
      </c>
      <c r="H34" s="30">
        <f t="shared" ref="H34:H40" si="5">SUM(F34*G34/1000)</f>
        <v>9.5018499999999992</v>
      </c>
      <c r="I34" s="31">
        <f>F34/6*G34</f>
        <v>1583.6416666666667</v>
      </c>
      <c r="J34" s="31">
        <f>F34/6*G34</f>
        <v>1583.6416666666667</v>
      </c>
      <c r="K34" s="31">
        <f>F34/6*G34</f>
        <v>1583.6416666666667</v>
      </c>
      <c r="L34" s="31">
        <f>F34/6*G34</f>
        <v>1583.6416666666667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f>F34/6*G34</f>
        <v>1583.6416666666667</v>
      </c>
      <c r="T34" s="31">
        <f>F34/6*G34</f>
        <v>1583.6416666666667</v>
      </c>
      <c r="U34" s="31">
        <f t="shared" ref="U34:U40" si="6">SUM(I34:T34)</f>
        <v>9501.85</v>
      </c>
    </row>
    <row r="35" spans="1:23" s="1" customFormat="1">
      <c r="A35" s="123" t="s">
        <v>155</v>
      </c>
      <c r="B35" s="14" t="s">
        <v>181</v>
      </c>
      <c r="C35" s="44" t="s">
        <v>46</v>
      </c>
      <c r="D35" s="14" t="s">
        <v>100</v>
      </c>
      <c r="E35" s="45">
        <v>58.2</v>
      </c>
      <c r="F35" s="45">
        <f>SUM(E35*30/1000)</f>
        <v>1.746</v>
      </c>
      <c r="G35" s="45">
        <v>2616.4899999999998</v>
      </c>
      <c r="H35" s="30">
        <f t="shared" si="5"/>
        <v>4.5683915399999995</v>
      </c>
      <c r="I35" s="46">
        <f>F35/6*G35</f>
        <v>761.3985899999999</v>
      </c>
      <c r="J35" s="46">
        <f>F35/6*G35</f>
        <v>761.3985899999999</v>
      </c>
      <c r="K35" s="46">
        <f>F35/6*G35</f>
        <v>761.3985899999999</v>
      </c>
      <c r="L35" s="46">
        <f>F35/6*G35</f>
        <v>761.3985899999999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f>F35/6*G35</f>
        <v>761.3985899999999</v>
      </c>
      <c r="T35" s="46">
        <f>F35/6*G35</f>
        <v>761.3985899999999</v>
      </c>
      <c r="U35" s="31">
        <f t="shared" si="6"/>
        <v>4568.3915399999996</v>
      </c>
      <c r="V35" s="157"/>
      <c r="W35" s="157"/>
    </row>
    <row r="36" spans="1:23" ht="12.75" customHeight="1">
      <c r="A36" s="121" t="s">
        <v>107</v>
      </c>
      <c r="B36" s="11" t="s">
        <v>101</v>
      </c>
      <c r="C36" s="23" t="s">
        <v>65</v>
      </c>
      <c r="D36" s="11" t="s">
        <v>38</v>
      </c>
      <c r="E36" s="28"/>
      <c r="F36" s="45">
        <v>39</v>
      </c>
      <c r="G36" s="29">
        <v>226.84</v>
      </c>
      <c r="H36" s="30">
        <f t="shared" si="5"/>
        <v>8.8467599999999997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f t="shared" si="6"/>
        <v>0</v>
      </c>
    </row>
    <row r="37" spans="1:23" ht="25.5" customHeight="1">
      <c r="A37" s="121" t="s">
        <v>156</v>
      </c>
      <c r="B37" s="11" t="s">
        <v>130</v>
      </c>
      <c r="C37" s="23" t="s">
        <v>46</v>
      </c>
      <c r="D37" s="11" t="s">
        <v>47</v>
      </c>
      <c r="E37" s="29">
        <v>58.2</v>
      </c>
      <c r="F37" s="45">
        <f>SUM(E37*155/1000)</f>
        <v>9.0210000000000008</v>
      </c>
      <c r="G37" s="29">
        <v>436.45</v>
      </c>
      <c r="H37" s="30">
        <f t="shared" si="5"/>
        <v>3.9372154500000001</v>
      </c>
      <c r="I37" s="31">
        <f>F37/6*G37</f>
        <v>656.20257500000002</v>
      </c>
      <c r="J37" s="31">
        <f>F37/6*G37</f>
        <v>656.20257500000002</v>
      </c>
      <c r="K37" s="31">
        <f>F37/6*G37</f>
        <v>656.20257500000002</v>
      </c>
      <c r="L37" s="31">
        <f>F37/6*G37</f>
        <v>656.20257500000002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f>F37/6*G37</f>
        <v>656.20257500000002</v>
      </c>
      <c r="T37" s="31">
        <f>F37/6*G37</f>
        <v>656.20257500000002</v>
      </c>
      <c r="U37" s="31">
        <f t="shared" si="6"/>
        <v>3937.2154500000006</v>
      </c>
    </row>
    <row r="38" spans="1:23" ht="51" customHeight="1">
      <c r="A38" s="121" t="s">
        <v>157</v>
      </c>
      <c r="B38" s="11" t="s">
        <v>131</v>
      </c>
      <c r="C38" s="23" t="s">
        <v>28</v>
      </c>
      <c r="D38" s="11" t="s">
        <v>182</v>
      </c>
      <c r="E38" s="29">
        <v>25.2</v>
      </c>
      <c r="F38" s="45">
        <f>SUM(E38*35/1000)</f>
        <v>0.88200000000000001</v>
      </c>
      <c r="G38" s="29">
        <v>7221.21</v>
      </c>
      <c r="H38" s="30">
        <f t="shared" si="5"/>
        <v>6.3691072200000001</v>
      </c>
      <c r="I38" s="31">
        <f>F38/6*G38</f>
        <v>1061.5178699999999</v>
      </c>
      <c r="J38" s="31">
        <f>F38/6*G38</f>
        <v>1061.5178699999999</v>
      </c>
      <c r="K38" s="31">
        <f>F38/6*G38</f>
        <v>1061.5178699999999</v>
      </c>
      <c r="L38" s="31">
        <f>F38/6*G38</f>
        <v>1061.5178699999999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f>F38/6*G38</f>
        <v>1061.5178699999999</v>
      </c>
      <c r="T38" s="31">
        <f>F38/6*G38</f>
        <v>1061.5178699999999</v>
      </c>
      <c r="U38" s="31">
        <f t="shared" si="6"/>
        <v>6369.107219999999</v>
      </c>
    </row>
    <row r="39" spans="1:23" ht="12.75" customHeight="1">
      <c r="A39" s="121" t="s">
        <v>158</v>
      </c>
      <c r="B39" s="11" t="s">
        <v>132</v>
      </c>
      <c r="C39" s="23" t="s">
        <v>28</v>
      </c>
      <c r="D39" s="11" t="s">
        <v>183</v>
      </c>
      <c r="E39" s="29">
        <v>58.2</v>
      </c>
      <c r="F39" s="45">
        <f>SUM(E39*20/1000)</f>
        <v>1.1639999999999999</v>
      </c>
      <c r="G39" s="29">
        <v>533.45000000000005</v>
      </c>
      <c r="H39" s="30">
        <f t="shared" si="5"/>
        <v>0.62093579999999993</v>
      </c>
      <c r="I39" s="31">
        <v>0</v>
      </c>
      <c r="J39" s="31">
        <v>0</v>
      </c>
      <c r="K39" s="31">
        <f>F39/2*G39</f>
        <v>310.46789999999999</v>
      </c>
      <c r="L39" s="31">
        <f>F39/2*G39</f>
        <v>310.46789999999999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f t="shared" si="6"/>
        <v>620.93579999999997</v>
      </c>
    </row>
    <row r="40" spans="1:23" s="2" customFormat="1">
      <c r="A40" s="123"/>
      <c r="B40" s="14" t="s">
        <v>133</v>
      </c>
      <c r="C40" s="44" t="s">
        <v>36</v>
      </c>
      <c r="D40" s="14"/>
      <c r="E40" s="41"/>
      <c r="F40" s="45">
        <v>0.9</v>
      </c>
      <c r="G40" s="45">
        <v>992.97</v>
      </c>
      <c r="H40" s="30">
        <f t="shared" si="5"/>
        <v>0.89367300000000005</v>
      </c>
      <c r="I40" s="46">
        <f>F40/6*G40</f>
        <v>148.94550000000001</v>
      </c>
      <c r="J40" s="46">
        <f>F40/6*G40</f>
        <v>148.94550000000001</v>
      </c>
      <c r="K40" s="46">
        <f>F40/6*G40</f>
        <v>148.94550000000001</v>
      </c>
      <c r="L40" s="46">
        <f>F40/6*G40</f>
        <v>148.94550000000001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f>F40/6*G40</f>
        <v>148.94550000000001</v>
      </c>
      <c r="T40" s="46">
        <f>F40/6*G40</f>
        <v>148.94550000000001</v>
      </c>
      <c r="U40" s="31">
        <f t="shared" si="6"/>
        <v>893.67300000000012</v>
      </c>
      <c r="V40" s="115"/>
      <c r="W40" s="115"/>
    </row>
    <row r="41" spans="1:23" s="20" customFormat="1">
      <c r="A41" s="122"/>
      <c r="B41" s="21" t="s">
        <v>25</v>
      </c>
      <c r="C41" s="34"/>
      <c r="D41" s="21"/>
      <c r="E41" s="35"/>
      <c r="F41" s="36" t="s">
        <v>43</v>
      </c>
      <c r="G41" s="36"/>
      <c r="H41" s="43">
        <f>SUM(H34:H40)</f>
        <v>34.737933009999999</v>
      </c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>
        <f>SUM(U34:U40)</f>
        <v>25891.173009999995</v>
      </c>
      <c r="V41" s="115"/>
      <c r="W41" s="115"/>
    </row>
    <row r="42" spans="1:23">
      <c r="A42" s="121"/>
      <c r="B42" s="15" t="s">
        <v>48</v>
      </c>
      <c r="C42" s="23"/>
      <c r="D42" s="11"/>
      <c r="E42" s="28"/>
      <c r="F42" s="29"/>
      <c r="G42" s="29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1:23">
      <c r="A43" s="121" t="s">
        <v>159</v>
      </c>
      <c r="B43" s="11" t="s">
        <v>167</v>
      </c>
      <c r="C43" s="23" t="s">
        <v>28</v>
      </c>
      <c r="D43" s="11" t="s">
        <v>49</v>
      </c>
      <c r="E43" s="28">
        <v>881.3</v>
      </c>
      <c r="F43" s="29">
        <f>SUM(E43*2/1000)</f>
        <v>1.7625999999999999</v>
      </c>
      <c r="G43" s="47">
        <v>1283.46</v>
      </c>
      <c r="H43" s="30">
        <f t="shared" ref="H43:H51" si="7">SUM(F43*G43/1000)</f>
        <v>2.2622265960000001</v>
      </c>
      <c r="I43" s="31">
        <v>0</v>
      </c>
      <c r="J43" s="31">
        <v>0</v>
      </c>
      <c r="K43" s="31">
        <v>0</v>
      </c>
      <c r="L43" s="31">
        <v>0</v>
      </c>
      <c r="M43" s="31">
        <f>F43/2*G43</f>
        <v>1131.113298</v>
      </c>
      <c r="N43" s="31">
        <v>0</v>
      </c>
      <c r="O43" s="31">
        <v>0</v>
      </c>
      <c r="P43" s="31">
        <v>0</v>
      </c>
      <c r="Q43" s="31">
        <f>F43/2*G43</f>
        <v>1131.113298</v>
      </c>
      <c r="R43" s="31">
        <v>0</v>
      </c>
      <c r="S43" s="31">
        <v>0</v>
      </c>
      <c r="T43" s="31">
        <v>0</v>
      </c>
      <c r="U43" s="31">
        <f t="shared" ref="U43:U51" si="8">SUM(I43:T43)</f>
        <v>2262.226596</v>
      </c>
    </row>
    <row r="44" spans="1:23" ht="12.75" customHeight="1">
      <c r="A44" s="121" t="s">
        <v>160</v>
      </c>
      <c r="B44" s="11" t="s">
        <v>50</v>
      </c>
      <c r="C44" s="23" t="s">
        <v>28</v>
      </c>
      <c r="D44" s="11" t="s">
        <v>49</v>
      </c>
      <c r="E44" s="28">
        <v>939.64</v>
      </c>
      <c r="F44" s="29">
        <f>SUM(E44*2/1000)</f>
        <v>1.8792800000000001</v>
      </c>
      <c r="G44" s="47">
        <v>1711.28</v>
      </c>
      <c r="H44" s="30">
        <f t="shared" si="7"/>
        <v>3.2159742784000001</v>
      </c>
      <c r="I44" s="31">
        <v>0</v>
      </c>
      <c r="J44" s="31">
        <v>0</v>
      </c>
      <c r="K44" s="31">
        <v>0</v>
      </c>
      <c r="L44" s="31">
        <v>0</v>
      </c>
      <c r="M44" s="31">
        <f t="shared" ref="M44:M46" si="9">F44/2*G44</f>
        <v>1607.9871392</v>
      </c>
      <c r="N44" s="31">
        <v>0</v>
      </c>
      <c r="O44" s="31">
        <v>0</v>
      </c>
      <c r="P44" s="31">
        <v>0</v>
      </c>
      <c r="Q44" s="31">
        <f>F44/2*G44</f>
        <v>1607.9871392</v>
      </c>
      <c r="R44" s="31">
        <v>0</v>
      </c>
      <c r="S44" s="31">
        <v>0</v>
      </c>
      <c r="T44" s="31">
        <v>0</v>
      </c>
      <c r="U44" s="31">
        <f t="shared" si="8"/>
        <v>3215.9742784</v>
      </c>
    </row>
    <row r="45" spans="1:23">
      <c r="A45" s="121" t="s">
        <v>161</v>
      </c>
      <c r="B45" s="11" t="s">
        <v>51</v>
      </c>
      <c r="C45" s="23" t="s">
        <v>28</v>
      </c>
      <c r="D45" s="11" t="s">
        <v>49</v>
      </c>
      <c r="E45" s="28">
        <v>1247.3699999999999</v>
      </c>
      <c r="F45" s="29">
        <f>SUM(E45*2/1000)</f>
        <v>2.4947399999999997</v>
      </c>
      <c r="G45" s="47">
        <v>1179.73</v>
      </c>
      <c r="H45" s="30">
        <f t="shared" si="7"/>
        <v>2.9431196201999996</v>
      </c>
      <c r="I45" s="31">
        <v>0</v>
      </c>
      <c r="J45" s="31">
        <v>0</v>
      </c>
      <c r="K45" s="31">
        <v>0</v>
      </c>
      <c r="L45" s="31">
        <v>0</v>
      </c>
      <c r="M45" s="31">
        <f t="shared" si="9"/>
        <v>1471.5598100999998</v>
      </c>
      <c r="N45" s="31">
        <v>0</v>
      </c>
      <c r="O45" s="31">
        <v>0</v>
      </c>
      <c r="P45" s="31">
        <v>0</v>
      </c>
      <c r="Q45" s="31">
        <f>F45/2*G45</f>
        <v>1471.5598100999998</v>
      </c>
      <c r="R45" s="31">
        <v>0</v>
      </c>
      <c r="S45" s="31">
        <v>0</v>
      </c>
      <c r="T45" s="31">
        <v>0</v>
      </c>
      <c r="U45" s="31">
        <f t="shared" si="8"/>
        <v>2943.1196201999996</v>
      </c>
    </row>
    <row r="46" spans="1:23">
      <c r="A46" s="121" t="s">
        <v>162</v>
      </c>
      <c r="B46" s="11" t="s">
        <v>105</v>
      </c>
      <c r="C46" s="23" t="s">
        <v>106</v>
      </c>
      <c r="D46" s="11" t="s">
        <v>49</v>
      </c>
      <c r="E46" s="28">
        <v>65.03</v>
      </c>
      <c r="F46" s="29">
        <f>SUM(E46*2/100)</f>
        <v>1.3006</v>
      </c>
      <c r="G46" s="47">
        <v>90.61</v>
      </c>
      <c r="H46" s="30">
        <f t="shared" si="7"/>
        <v>0.117847366</v>
      </c>
      <c r="I46" s="31">
        <v>0</v>
      </c>
      <c r="J46" s="31">
        <v>0</v>
      </c>
      <c r="K46" s="31">
        <v>0</v>
      </c>
      <c r="L46" s="31">
        <v>0</v>
      </c>
      <c r="M46" s="31">
        <f t="shared" si="9"/>
        <v>58.923682999999997</v>
      </c>
      <c r="N46" s="31">
        <v>0</v>
      </c>
      <c r="O46" s="31">
        <v>0</v>
      </c>
      <c r="P46" s="31">
        <v>0</v>
      </c>
      <c r="Q46" s="31">
        <f>F46/2*G46</f>
        <v>58.923682999999997</v>
      </c>
      <c r="R46" s="31">
        <v>0</v>
      </c>
      <c r="S46" s="31">
        <v>0</v>
      </c>
      <c r="T46" s="31">
        <v>0</v>
      </c>
      <c r="U46" s="31">
        <f t="shared" si="8"/>
        <v>117.84736599999999</v>
      </c>
    </row>
    <row r="47" spans="1:23" ht="25.5">
      <c r="A47" s="121" t="s">
        <v>163</v>
      </c>
      <c r="B47" s="11" t="s">
        <v>52</v>
      </c>
      <c r="C47" s="23" t="s">
        <v>28</v>
      </c>
      <c r="D47" s="11" t="s">
        <v>53</v>
      </c>
      <c r="E47" s="28">
        <v>2062.5</v>
      </c>
      <c r="F47" s="29">
        <f>SUM(E47*5/1000)</f>
        <v>10.3125</v>
      </c>
      <c r="G47" s="47">
        <v>1711.28</v>
      </c>
      <c r="H47" s="30">
        <f t="shared" si="7"/>
        <v>17.647575</v>
      </c>
      <c r="I47" s="31">
        <f>F47/5*G47</f>
        <v>3529.5149999999999</v>
      </c>
      <c r="J47" s="31">
        <f>F47/5*G47</f>
        <v>3529.5149999999999</v>
      </c>
      <c r="K47" s="31">
        <v>0</v>
      </c>
      <c r="L47" s="31">
        <v>0</v>
      </c>
      <c r="M47" s="31">
        <f>F47/5*G47</f>
        <v>3529.5149999999999</v>
      </c>
      <c r="N47" s="31">
        <v>0</v>
      </c>
      <c r="O47" s="31">
        <v>0</v>
      </c>
      <c r="P47" s="31">
        <v>0</v>
      </c>
      <c r="Q47" s="31">
        <f>F47/5*G47</f>
        <v>3529.5149999999999</v>
      </c>
      <c r="R47" s="31">
        <f>0</f>
        <v>0</v>
      </c>
      <c r="S47" s="31">
        <v>0</v>
      </c>
      <c r="T47" s="31">
        <f>F47/5*G47</f>
        <v>3529.5149999999999</v>
      </c>
      <c r="U47" s="31">
        <f t="shared" si="8"/>
        <v>17647.575000000001</v>
      </c>
    </row>
    <row r="48" spans="1:23" ht="38.25" customHeight="1">
      <c r="A48" s="121" t="s">
        <v>164</v>
      </c>
      <c r="B48" s="11" t="s">
        <v>54</v>
      </c>
      <c r="C48" s="23" t="s">
        <v>28</v>
      </c>
      <c r="D48" s="11" t="s">
        <v>49</v>
      </c>
      <c r="E48" s="28">
        <v>2062.5</v>
      </c>
      <c r="F48" s="29">
        <f>SUM(E48*2/1000)</f>
        <v>4.125</v>
      </c>
      <c r="G48" s="47">
        <v>1510.06</v>
      </c>
      <c r="H48" s="30">
        <f t="shared" si="7"/>
        <v>6.2289974999999993</v>
      </c>
      <c r="I48" s="31">
        <v>0</v>
      </c>
      <c r="J48" s="31">
        <v>0</v>
      </c>
      <c r="K48" s="31">
        <v>0</v>
      </c>
      <c r="L48" s="31">
        <f>F48/2*G48</f>
        <v>3114.4987499999997</v>
      </c>
      <c r="M48" s="16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f>F48/2*G48</f>
        <v>3114.4987499999997</v>
      </c>
      <c r="T48" s="31">
        <v>0</v>
      </c>
      <c r="U48" s="31">
        <f t="shared" si="8"/>
        <v>6228.9974999999995</v>
      </c>
    </row>
    <row r="49" spans="1:23" ht="25.5" customHeight="1">
      <c r="A49" s="121" t="s">
        <v>165</v>
      </c>
      <c r="B49" s="11" t="s">
        <v>55</v>
      </c>
      <c r="C49" s="23" t="s">
        <v>56</v>
      </c>
      <c r="D49" s="11" t="s">
        <v>49</v>
      </c>
      <c r="E49" s="28">
        <v>12</v>
      </c>
      <c r="F49" s="29">
        <f>SUM(E49*2/100)</f>
        <v>0.24</v>
      </c>
      <c r="G49" s="47">
        <v>3850.4</v>
      </c>
      <c r="H49" s="30">
        <f t="shared" si="7"/>
        <v>0.92409600000000003</v>
      </c>
      <c r="I49" s="31">
        <v>0</v>
      </c>
      <c r="J49" s="31">
        <v>0</v>
      </c>
      <c r="K49" s="31">
        <v>0</v>
      </c>
      <c r="L49" s="31">
        <f>F49/2*G49</f>
        <v>462.048</v>
      </c>
      <c r="M49" s="16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f>F49/2*G49</f>
        <v>462.048</v>
      </c>
      <c r="T49" s="31">
        <v>0</v>
      </c>
      <c r="U49" s="31">
        <f t="shared" si="8"/>
        <v>924.096</v>
      </c>
    </row>
    <row r="50" spans="1:23">
      <c r="A50" s="121" t="s">
        <v>166</v>
      </c>
      <c r="B50" s="11" t="s">
        <v>57</v>
      </c>
      <c r="C50" s="23" t="s">
        <v>58</v>
      </c>
      <c r="D50" s="11" t="s">
        <v>49</v>
      </c>
      <c r="E50" s="28">
        <v>1</v>
      </c>
      <c r="F50" s="29">
        <v>0.02</v>
      </c>
      <c r="G50" s="47">
        <v>7033.13</v>
      </c>
      <c r="H50" s="30">
        <f t="shared" si="7"/>
        <v>0.1406626</v>
      </c>
      <c r="I50" s="31">
        <v>0</v>
      </c>
      <c r="J50" s="31">
        <v>0</v>
      </c>
      <c r="K50" s="31">
        <f>F50/2*G50</f>
        <v>70.331299999999999</v>
      </c>
      <c r="L50" s="31">
        <v>0</v>
      </c>
      <c r="M50" s="16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f>F50/2*G50</f>
        <v>70.331299999999999</v>
      </c>
      <c r="T50" s="31">
        <v>0</v>
      </c>
      <c r="U50" s="31">
        <f t="shared" si="8"/>
        <v>140.6626</v>
      </c>
    </row>
    <row r="51" spans="1:23" ht="13.5" customHeight="1">
      <c r="A51" s="121" t="s">
        <v>60</v>
      </c>
      <c r="B51" s="11" t="s">
        <v>61</v>
      </c>
      <c r="C51" s="23" t="s">
        <v>59</v>
      </c>
      <c r="D51" s="11" t="s">
        <v>98</v>
      </c>
      <c r="E51" s="28">
        <v>72</v>
      </c>
      <c r="F51" s="29">
        <f>SUM(E51)*3</f>
        <v>216</v>
      </c>
      <c r="G51" s="48">
        <v>81.73</v>
      </c>
      <c r="H51" s="30">
        <f t="shared" si="7"/>
        <v>17.653680000000001</v>
      </c>
      <c r="I51" s="177">
        <f>E51*G51</f>
        <v>5884.56</v>
      </c>
      <c r="J51" s="177">
        <v>0</v>
      </c>
      <c r="K51" s="177">
        <v>0</v>
      </c>
      <c r="L51" s="177">
        <v>0</v>
      </c>
      <c r="M51" s="177">
        <f>E51*G51</f>
        <v>5884.56</v>
      </c>
      <c r="N51" s="177">
        <v>0</v>
      </c>
      <c r="O51" s="177">
        <f>0</f>
        <v>0</v>
      </c>
      <c r="P51" s="177">
        <v>0</v>
      </c>
      <c r="Q51" s="177">
        <f>E51*G51</f>
        <v>5884.56</v>
      </c>
      <c r="R51" s="177">
        <v>0</v>
      </c>
      <c r="S51" s="177">
        <v>0</v>
      </c>
      <c r="T51" s="177">
        <v>0</v>
      </c>
      <c r="U51" s="31">
        <f t="shared" si="8"/>
        <v>17653.68</v>
      </c>
    </row>
    <row r="52" spans="1:23" s="22" customFormat="1">
      <c r="A52" s="122"/>
      <c r="B52" s="21" t="s">
        <v>25</v>
      </c>
      <c r="C52" s="49"/>
      <c r="D52" s="21"/>
      <c r="E52" s="50"/>
      <c r="F52" s="51"/>
      <c r="G52" s="51"/>
      <c r="H52" s="43">
        <f>SUM(H43:H51)</f>
        <v>51.134178960599996</v>
      </c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>
        <f>SUM(U43:U51)</f>
        <v>51134.178960600002</v>
      </c>
      <c r="V52" s="115"/>
      <c r="W52" s="115"/>
    </row>
    <row r="53" spans="1:23">
      <c r="A53" s="121"/>
      <c r="B53" s="13" t="s">
        <v>62</v>
      </c>
      <c r="C53" s="23"/>
      <c r="D53" s="11"/>
      <c r="E53" s="28"/>
      <c r="F53" s="29"/>
      <c r="G53" s="29"/>
      <c r="H53" s="30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3" ht="38.25" customHeight="1">
      <c r="A54" s="121" t="s">
        <v>168</v>
      </c>
      <c r="B54" s="11" t="s">
        <v>134</v>
      </c>
      <c r="C54" s="23" t="s">
        <v>13</v>
      </c>
      <c r="D54" s="11" t="s">
        <v>63</v>
      </c>
      <c r="E54" s="28">
        <v>55.3</v>
      </c>
      <c r="F54" s="29">
        <f>SUM(E54*6/100)</f>
        <v>3.3179999999999996</v>
      </c>
      <c r="G54" s="47">
        <v>2306.62</v>
      </c>
      <c r="H54" s="30">
        <f>SUM(F54*G54/1000)</f>
        <v>7.6533651599999981</v>
      </c>
      <c r="I54" s="31">
        <f>F54/6*G54</f>
        <v>1275.5608599999998</v>
      </c>
      <c r="J54" s="31">
        <f>F54/6*G54</f>
        <v>1275.5608599999998</v>
      </c>
      <c r="K54" s="31">
        <f>F54/6*G54</f>
        <v>1275.5608599999998</v>
      </c>
      <c r="L54" s="31">
        <f>F54/6*G54</f>
        <v>1275.5608599999998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f>F54/6*G54</f>
        <v>1275.5608599999998</v>
      </c>
      <c r="T54" s="31">
        <f>F54/6*G54</f>
        <v>1275.5608599999998</v>
      </c>
      <c r="U54" s="31">
        <f t="shared" ref="U54:U80" si="10">SUM(I54:T54)</f>
        <v>7653.3651599999985</v>
      </c>
    </row>
    <row r="55" spans="1:23" ht="12.75" customHeight="1">
      <c r="A55" s="121" t="s">
        <v>107</v>
      </c>
      <c r="B55" s="143" t="s">
        <v>125</v>
      </c>
      <c r="C55" s="144" t="s">
        <v>184</v>
      </c>
      <c r="D55" s="143" t="s">
        <v>38</v>
      </c>
      <c r="E55" s="145"/>
      <c r="F55" s="146">
        <v>1.5</v>
      </c>
      <c r="G55" s="47">
        <v>1501</v>
      </c>
      <c r="H55" s="30">
        <f>SUM(F55*G55/1000)</f>
        <v>2.2515000000000001</v>
      </c>
      <c r="I55" s="176">
        <v>0</v>
      </c>
      <c r="J55" s="176">
        <v>0</v>
      </c>
      <c r="K55" s="176">
        <f>G55</f>
        <v>1501</v>
      </c>
      <c r="L55" s="176">
        <f>G55</f>
        <v>1501</v>
      </c>
      <c r="M55" s="176">
        <v>0</v>
      </c>
      <c r="N55" s="164">
        <v>0</v>
      </c>
      <c r="O55" s="164">
        <v>0</v>
      </c>
      <c r="P55" s="164">
        <v>0</v>
      </c>
      <c r="Q55" s="31">
        <v>0</v>
      </c>
      <c r="R55" s="31">
        <v>0</v>
      </c>
      <c r="S55" s="31">
        <f>G55*1.5</f>
        <v>2251.5</v>
      </c>
      <c r="T55" s="31">
        <v>0</v>
      </c>
      <c r="U55" s="31">
        <f t="shared" si="10"/>
        <v>5253.5</v>
      </c>
    </row>
    <row r="56" spans="1:23">
      <c r="A56" s="121"/>
      <c r="B56" s="12" t="s">
        <v>64</v>
      </c>
      <c r="C56" s="23"/>
      <c r="D56" s="11"/>
      <c r="E56" s="28"/>
      <c r="F56" s="29"/>
      <c r="G56" s="47"/>
      <c r="H56" s="3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3">
      <c r="A57" s="121" t="s">
        <v>169</v>
      </c>
      <c r="B57" s="11" t="s">
        <v>99</v>
      </c>
      <c r="C57" s="23" t="s">
        <v>13</v>
      </c>
      <c r="D57" s="11" t="s">
        <v>31</v>
      </c>
      <c r="E57" s="28">
        <v>130</v>
      </c>
      <c r="F57" s="30">
        <f>E57/100</f>
        <v>1.3</v>
      </c>
      <c r="G57" s="47">
        <v>987.51</v>
      </c>
      <c r="H57" s="54">
        <f>F57*G57/1000</f>
        <v>1.283763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f t="shared" si="10"/>
        <v>0</v>
      </c>
    </row>
    <row r="58" spans="1:23">
      <c r="A58" s="147"/>
      <c r="B58" s="148" t="s">
        <v>185</v>
      </c>
      <c r="C58" s="149" t="s">
        <v>128</v>
      </c>
      <c r="D58" s="148" t="s">
        <v>186</v>
      </c>
      <c r="E58" s="150">
        <v>140.4</v>
      </c>
      <c r="F58" s="30">
        <f>E58*12</f>
        <v>1684.8000000000002</v>
      </c>
      <c r="G58" s="47">
        <v>2.59</v>
      </c>
      <c r="H58" s="54">
        <f>F58*G58/1000</f>
        <v>4.3636320000000008</v>
      </c>
      <c r="I58" s="142">
        <f>F58/12*G58</f>
        <v>363.63599999999997</v>
      </c>
      <c r="J58" s="142">
        <f>F58/12*G58</f>
        <v>363.63599999999997</v>
      </c>
      <c r="K58" s="142">
        <f>F58/12*G58</f>
        <v>363.63599999999997</v>
      </c>
      <c r="L58" s="142">
        <f>F58/12*G58</f>
        <v>363.63599999999997</v>
      </c>
      <c r="M58" s="142">
        <f>F58/12*G58</f>
        <v>363.63599999999997</v>
      </c>
      <c r="N58" s="142">
        <f>F58/12*G58</f>
        <v>363.63599999999997</v>
      </c>
      <c r="O58" s="142">
        <f>F58/12*G58</f>
        <v>363.63599999999997</v>
      </c>
      <c r="P58" s="142">
        <f>F58/12*G58</f>
        <v>363.63599999999997</v>
      </c>
      <c r="Q58" s="142">
        <f>F58/12*G58</f>
        <v>363.63599999999997</v>
      </c>
      <c r="R58" s="142">
        <f>F58/12*G58</f>
        <v>363.63599999999997</v>
      </c>
      <c r="S58" s="142">
        <f>F58/12*G58</f>
        <v>363.63599999999997</v>
      </c>
      <c r="T58" s="142">
        <f>F58/12*G58</f>
        <v>363.63599999999997</v>
      </c>
      <c r="U58" s="31">
        <f t="shared" si="10"/>
        <v>4363.6319999999996</v>
      </c>
    </row>
    <row r="59" spans="1:23">
      <c r="A59" s="124"/>
      <c r="B59" s="16" t="s">
        <v>66</v>
      </c>
      <c r="C59" s="55"/>
      <c r="D59" s="56"/>
      <c r="E59" s="57"/>
      <c r="F59" s="58"/>
      <c r="G59" s="58"/>
      <c r="H59" s="59" t="s">
        <v>43</v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3" ht="12.75" customHeight="1">
      <c r="A60" s="137" t="s">
        <v>170</v>
      </c>
      <c r="B60" s="17" t="s">
        <v>67</v>
      </c>
      <c r="C60" s="60" t="s">
        <v>59</v>
      </c>
      <c r="D60" s="9" t="s">
        <v>38</v>
      </c>
      <c r="E60" s="61">
        <v>2</v>
      </c>
      <c r="F60" s="29">
        <f>E60</f>
        <v>2</v>
      </c>
      <c r="G60" s="47">
        <v>276.74</v>
      </c>
      <c r="H60" s="107">
        <f t="shared" ref="H60:H75" si="11">SUM(F60*G60/1000)</f>
        <v>0.55347999999999997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f>G60*3</f>
        <v>830.22</v>
      </c>
      <c r="T60" s="31">
        <v>0</v>
      </c>
      <c r="U60" s="31">
        <f t="shared" si="10"/>
        <v>830.22</v>
      </c>
    </row>
    <row r="61" spans="1:23" ht="12.75" customHeight="1">
      <c r="A61" s="137" t="s">
        <v>171</v>
      </c>
      <c r="B61" s="17" t="s">
        <v>68</v>
      </c>
      <c r="C61" s="60" t="s">
        <v>59</v>
      </c>
      <c r="D61" s="9" t="s">
        <v>38</v>
      </c>
      <c r="E61" s="61">
        <v>2</v>
      </c>
      <c r="F61" s="29">
        <f>E61</f>
        <v>2</v>
      </c>
      <c r="G61" s="47">
        <v>94.89</v>
      </c>
      <c r="H61" s="107">
        <f t="shared" si="11"/>
        <v>0.18978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f t="shared" si="10"/>
        <v>0</v>
      </c>
    </row>
    <row r="62" spans="1:23" s="2" customFormat="1">
      <c r="A62" s="138" t="s">
        <v>172</v>
      </c>
      <c r="B62" s="17" t="s">
        <v>69</v>
      </c>
      <c r="C62" s="62" t="s">
        <v>70</v>
      </c>
      <c r="D62" s="9" t="s">
        <v>31</v>
      </c>
      <c r="E62" s="28">
        <v>8607</v>
      </c>
      <c r="F62" s="48">
        <f>SUM(E62/100)</f>
        <v>86.07</v>
      </c>
      <c r="G62" s="47">
        <v>263.99</v>
      </c>
      <c r="H62" s="107">
        <f t="shared" si="11"/>
        <v>22.721619299999997</v>
      </c>
      <c r="I62" s="46">
        <v>0</v>
      </c>
      <c r="J62" s="46">
        <v>0</v>
      </c>
      <c r="K62" s="46">
        <v>0</v>
      </c>
      <c r="L62" s="46">
        <v>0</v>
      </c>
      <c r="M62" s="46">
        <f>F62*G62</f>
        <v>22721.619299999998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31">
        <f t="shared" si="10"/>
        <v>22721.619299999998</v>
      </c>
      <c r="V62" s="115"/>
      <c r="W62" s="115"/>
    </row>
    <row r="63" spans="1:23" ht="12.75" customHeight="1">
      <c r="A63" s="137" t="s">
        <v>173</v>
      </c>
      <c r="B63" s="17" t="s">
        <v>71</v>
      </c>
      <c r="C63" s="60" t="s">
        <v>72</v>
      </c>
      <c r="D63" s="9"/>
      <c r="E63" s="28">
        <v>8607</v>
      </c>
      <c r="F63" s="47">
        <f>SUM(E63/1000)</f>
        <v>8.6069999999999993</v>
      </c>
      <c r="G63" s="47">
        <v>205.57</v>
      </c>
      <c r="H63" s="107">
        <f t="shared" si="11"/>
        <v>1.7693409899999997</v>
      </c>
      <c r="I63" s="31">
        <v>0</v>
      </c>
      <c r="J63" s="31">
        <v>0</v>
      </c>
      <c r="K63" s="31">
        <v>0</v>
      </c>
      <c r="L63" s="31">
        <v>0</v>
      </c>
      <c r="M63" s="31">
        <f>F63*G63</f>
        <v>1769.3409899999997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f t="shared" si="10"/>
        <v>1769.3409899999997</v>
      </c>
    </row>
    <row r="64" spans="1:23">
      <c r="A64" s="137" t="s">
        <v>174</v>
      </c>
      <c r="B64" s="17" t="s">
        <v>73</v>
      </c>
      <c r="C64" s="60" t="s">
        <v>74</v>
      </c>
      <c r="D64" s="9" t="s">
        <v>31</v>
      </c>
      <c r="E64" s="28">
        <v>1370</v>
      </c>
      <c r="F64" s="47">
        <f>SUM(E64/100)</f>
        <v>13.7</v>
      </c>
      <c r="G64" s="47">
        <v>2581.5300000000002</v>
      </c>
      <c r="H64" s="107">
        <f t="shared" si="11"/>
        <v>35.366961000000003</v>
      </c>
      <c r="I64" s="31">
        <v>0</v>
      </c>
      <c r="J64" s="31">
        <v>0</v>
      </c>
      <c r="K64" s="31">
        <v>0</v>
      </c>
      <c r="L64" s="31">
        <v>0</v>
      </c>
      <c r="M64" s="31">
        <f>F64*G64</f>
        <v>35366.961000000003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f t="shared" si="10"/>
        <v>35366.961000000003</v>
      </c>
    </row>
    <row r="65" spans="1:23">
      <c r="A65" s="137"/>
      <c r="B65" s="18" t="s">
        <v>102</v>
      </c>
      <c r="C65" s="60" t="s">
        <v>36</v>
      </c>
      <c r="D65" s="9"/>
      <c r="E65" s="28">
        <v>8.6</v>
      </c>
      <c r="F65" s="47">
        <f>SUM(E65)</f>
        <v>8.6</v>
      </c>
      <c r="G65" s="47">
        <v>47.45</v>
      </c>
      <c r="H65" s="107">
        <f t="shared" si="11"/>
        <v>0.40806999999999999</v>
      </c>
      <c r="I65" s="31">
        <v>0</v>
      </c>
      <c r="J65" s="31">
        <v>0</v>
      </c>
      <c r="K65" s="31">
        <v>0</v>
      </c>
      <c r="L65" s="31">
        <v>0</v>
      </c>
      <c r="M65" s="31">
        <f>F65*G65</f>
        <v>408.07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f t="shared" si="10"/>
        <v>408.07</v>
      </c>
    </row>
    <row r="66" spans="1:23" ht="12.75" customHeight="1">
      <c r="A66" s="125"/>
      <c r="B66" s="18" t="s">
        <v>187</v>
      </c>
      <c r="C66" s="60" t="s">
        <v>36</v>
      </c>
      <c r="D66" s="9"/>
      <c r="E66" s="28">
        <v>8.6</v>
      </c>
      <c r="F66" s="47">
        <f>SUM(E66)</f>
        <v>8.6</v>
      </c>
      <c r="G66" s="47">
        <v>44.27</v>
      </c>
      <c r="H66" s="107">
        <f t="shared" si="11"/>
        <v>0.38072200000000006</v>
      </c>
      <c r="I66" s="31">
        <v>0</v>
      </c>
      <c r="J66" s="31">
        <v>0</v>
      </c>
      <c r="K66" s="31">
        <v>0</v>
      </c>
      <c r="L66" s="31">
        <v>0</v>
      </c>
      <c r="M66" s="31">
        <f>F66*G66</f>
        <v>380.72200000000004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f t="shared" si="10"/>
        <v>380.72200000000004</v>
      </c>
    </row>
    <row r="67" spans="1:23">
      <c r="A67" s="137" t="s">
        <v>175</v>
      </c>
      <c r="B67" s="9" t="s">
        <v>75</v>
      </c>
      <c r="C67" s="60" t="s">
        <v>76</v>
      </c>
      <c r="D67" s="9" t="s">
        <v>31</v>
      </c>
      <c r="E67" s="61">
        <v>3</v>
      </c>
      <c r="F67" s="29">
        <v>3</v>
      </c>
      <c r="G67" s="47">
        <v>62.07</v>
      </c>
      <c r="H67" s="107">
        <f t="shared" si="11"/>
        <v>0.18621000000000001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f>F67*G67</f>
        <v>186.21</v>
      </c>
      <c r="R67" s="31">
        <v>0</v>
      </c>
      <c r="S67" s="31">
        <v>0</v>
      </c>
      <c r="T67" s="31">
        <v>0</v>
      </c>
      <c r="U67" s="31">
        <f t="shared" si="10"/>
        <v>186.21</v>
      </c>
    </row>
    <row r="68" spans="1:23" ht="25.5">
      <c r="A68" s="139"/>
      <c r="B68" s="151" t="s">
        <v>188</v>
      </c>
      <c r="C68" s="154" t="s">
        <v>189</v>
      </c>
      <c r="D68" s="151" t="s">
        <v>186</v>
      </c>
      <c r="E68" s="152">
        <v>2062.5</v>
      </c>
      <c r="F68" s="53">
        <f>E68*12</f>
        <v>24750</v>
      </c>
      <c r="G68" s="140">
        <v>2.16</v>
      </c>
      <c r="H68" s="107">
        <f t="shared" si="11"/>
        <v>53.46</v>
      </c>
      <c r="I68" s="142">
        <f>F68/12*G68</f>
        <v>4455</v>
      </c>
      <c r="J68" s="142">
        <f>F68/12*G68</f>
        <v>4455</v>
      </c>
      <c r="K68" s="142">
        <f>F68/12*G68</f>
        <v>4455</v>
      </c>
      <c r="L68" s="142">
        <f>F68/12*G68</f>
        <v>4455</v>
      </c>
      <c r="M68" s="142">
        <f>F68/12*G68</f>
        <v>4455</v>
      </c>
      <c r="N68" s="142">
        <f>F68/12*G68</f>
        <v>4455</v>
      </c>
      <c r="O68" s="142">
        <f>F68/12*G68</f>
        <v>4455</v>
      </c>
      <c r="P68" s="142">
        <f>F68/12*G68</f>
        <v>4455</v>
      </c>
      <c r="Q68" s="142">
        <f>F68/12*G68</f>
        <v>4455</v>
      </c>
      <c r="R68" s="142">
        <f>F68/12*G68</f>
        <v>4455</v>
      </c>
      <c r="S68" s="142">
        <f>F68/12*G68</f>
        <v>4455</v>
      </c>
      <c r="T68" s="142">
        <f>F68/12*G68</f>
        <v>4455</v>
      </c>
      <c r="U68" s="31">
        <f t="shared" si="10"/>
        <v>53460</v>
      </c>
    </row>
    <row r="69" spans="1:23">
      <c r="A69" s="153"/>
      <c r="B69" s="19" t="s">
        <v>77</v>
      </c>
      <c r="C69" s="60"/>
      <c r="D69" s="9"/>
      <c r="E69" s="61"/>
      <c r="F69" s="47"/>
      <c r="G69" s="47"/>
      <c r="H69" s="107" t="s">
        <v>43</v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3" ht="12.75" customHeight="1">
      <c r="A70" s="139" t="s">
        <v>190</v>
      </c>
      <c r="B70" s="151" t="s">
        <v>192</v>
      </c>
      <c r="C70" s="139" t="s">
        <v>191</v>
      </c>
      <c r="D70" s="151" t="s">
        <v>38</v>
      </c>
      <c r="E70" s="152">
        <v>2</v>
      </c>
      <c r="F70" s="140">
        <f>E70</f>
        <v>2</v>
      </c>
      <c r="G70" s="140">
        <v>976.4</v>
      </c>
      <c r="H70" s="141">
        <f t="shared" ref="H70:H71" si="12">SUM(F70*G70/1000)</f>
        <v>1.9527999999999999</v>
      </c>
      <c r="I70" s="142">
        <v>0</v>
      </c>
      <c r="J70" s="142">
        <v>0</v>
      </c>
      <c r="K70" s="142">
        <v>0</v>
      </c>
      <c r="L70" s="142">
        <v>0</v>
      </c>
      <c r="M70" s="142">
        <v>0</v>
      </c>
      <c r="N70" s="31">
        <v>0</v>
      </c>
      <c r="O70" s="31">
        <v>0</v>
      </c>
      <c r="P70" s="31">
        <v>0</v>
      </c>
      <c r="Q70" s="142">
        <v>0</v>
      </c>
      <c r="R70" s="142">
        <v>0</v>
      </c>
      <c r="S70" s="142">
        <v>0</v>
      </c>
      <c r="T70" s="142">
        <v>0</v>
      </c>
      <c r="U70" s="31">
        <f t="shared" si="10"/>
        <v>0</v>
      </c>
    </row>
    <row r="71" spans="1:23" ht="12.75" customHeight="1">
      <c r="A71" s="139" t="s">
        <v>193</v>
      </c>
      <c r="B71" s="151" t="s">
        <v>194</v>
      </c>
      <c r="C71" s="139" t="s">
        <v>195</v>
      </c>
      <c r="D71" s="151" t="s">
        <v>38</v>
      </c>
      <c r="E71" s="152">
        <v>1</v>
      </c>
      <c r="F71" s="140">
        <v>1</v>
      </c>
      <c r="G71" s="140">
        <v>650</v>
      </c>
      <c r="H71" s="141">
        <f t="shared" si="12"/>
        <v>0.65</v>
      </c>
      <c r="I71" s="142">
        <v>0</v>
      </c>
      <c r="J71" s="142">
        <v>0</v>
      </c>
      <c r="K71" s="142">
        <v>0</v>
      </c>
      <c r="L71" s="142">
        <v>0</v>
      </c>
      <c r="M71" s="142">
        <v>0</v>
      </c>
      <c r="N71" s="31">
        <v>0</v>
      </c>
      <c r="O71" s="31">
        <v>0</v>
      </c>
      <c r="P71" s="31">
        <v>0</v>
      </c>
      <c r="Q71" s="142">
        <v>0</v>
      </c>
      <c r="R71" s="142">
        <v>0</v>
      </c>
      <c r="S71" s="142">
        <v>0</v>
      </c>
      <c r="T71" s="142">
        <v>0</v>
      </c>
      <c r="U71" s="31">
        <f t="shared" si="10"/>
        <v>0</v>
      </c>
    </row>
    <row r="72" spans="1:23" ht="12.75" customHeight="1">
      <c r="A72" s="137" t="s">
        <v>176</v>
      </c>
      <c r="B72" s="9" t="s">
        <v>78</v>
      </c>
      <c r="C72" s="60" t="s">
        <v>79</v>
      </c>
      <c r="D72" s="151" t="s">
        <v>38</v>
      </c>
      <c r="E72" s="61">
        <v>2</v>
      </c>
      <c r="F72" s="47">
        <v>0.2</v>
      </c>
      <c r="G72" s="47">
        <v>624.16999999999996</v>
      </c>
      <c r="H72" s="107">
        <f t="shared" si="11"/>
        <v>0.124834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f t="shared" si="10"/>
        <v>0</v>
      </c>
    </row>
    <row r="73" spans="1:23" ht="12.75" customHeight="1">
      <c r="A73" s="137" t="s">
        <v>177</v>
      </c>
      <c r="B73" s="9" t="s">
        <v>103</v>
      </c>
      <c r="C73" s="60" t="s">
        <v>33</v>
      </c>
      <c r="D73" s="151" t="s">
        <v>38</v>
      </c>
      <c r="E73" s="61">
        <v>1</v>
      </c>
      <c r="F73" s="53">
        <v>1</v>
      </c>
      <c r="G73" s="47">
        <v>1061.4100000000001</v>
      </c>
      <c r="H73" s="107">
        <f>F73*G73/1000</f>
        <v>1.0614100000000002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f t="shared" si="10"/>
        <v>0</v>
      </c>
    </row>
    <row r="74" spans="1:23">
      <c r="A74" s="125"/>
      <c r="B74" s="64" t="s">
        <v>80</v>
      </c>
      <c r="C74" s="60"/>
      <c r="D74" s="9"/>
      <c r="E74" s="61"/>
      <c r="F74" s="47"/>
      <c r="G74" s="47" t="s">
        <v>43</v>
      </c>
      <c r="H74" s="107" t="s">
        <v>43</v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3" s="2" customFormat="1">
      <c r="A75" s="62" t="s">
        <v>81</v>
      </c>
      <c r="B75" s="65" t="s">
        <v>82</v>
      </c>
      <c r="C75" s="62" t="s">
        <v>74</v>
      </c>
      <c r="D75" s="17"/>
      <c r="E75" s="66"/>
      <c r="F75" s="48">
        <v>1</v>
      </c>
      <c r="G75" s="48">
        <v>3433.68</v>
      </c>
      <c r="H75" s="107">
        <f t="shared" si="11"/>
        <v>3.4336799999999998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31">
        <f t="shared" si="10"/>
        <v>0</v>
      </c>
      <c r="V75" s="115"/>
      <c r="W75" s="115"/>
    </row>
    <row r="76" spans="1:23" s="22" customFormat="1">
      <c r="A76" s="126"/>
      <c r="B76" s="21" t="s">
        <v>25</v>
      </c>
      <c r="C76" s="67"/>
      <c r="D76" s="68"/>
      <c r="E76" s="69"/>
      <c r="F76" s="52"/>
      <c r="G76" s="52"/>
      <c r="H76" s="70">
        <f>SUM(H54:H75)</f>
        <v>137.81116745</v>
      </c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>
        <f>SUM(U54:U75)</f>
        <v>132393.64045000001</v>
      </c>
      <c r="V76" s="115"/>
      <c r="W76" s="115"/>
    </row>
    <row r="77" spans="1:23">
      <c r="A77" s="127" t="s">
        <v>123</v>
      </c>
      <c r="B77" s="11" t="s">
        <v>124</v>
      </c>
      <c r="C77" s="71"/>
      <c r="D77" s="72"/>
      <c r="E77" s="111"/>
      <c r="F77" s="73">
        <v>1</v>
      </c>
      <c r="G77" s="74">
        <v>8177.4</v>
      </c>
      <c r="H77" s="107">
        <f>G77*F77/1000</f>
        <v>8.1774000000000004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f>G77</f>
        <v>8177.4</v>
      </c>
      <c r="T77" s="31">
        <v>0</v>
      </c>
      <c r="U77" s="31">
        <f t="shared" si="10"/>
        <v>8177.4</v>
      </c>
    </row>
    <row r="78" spans="1:23" ht="12.75" customHeight="1">
      <c r="A78" s="60"/>
      <c r="B78" s="12" t="s">
        <v>83</v>
      </c>
      <c r="C78" s="60" t="s">
        <v>84</v>
      </c>
      <c r="D78" s="75"/>
      <c r="E78" s="47">
        <v>2062.5</v>
      </c>
      <c r="F78" s="47">
        <f>SUM(E78*12)</f>
        <v>24750</v>
      </c>
      <c r="G78" s="76">
        <v>2.95</v>
      </c>
      <c r="H78" s="107">
        <f>SUM(F78*G78/1000)</f>
        <v>73.012500000000003</v>
      </c>
      <c r="I78" s="31">
        <f>F78/12*G78</f>
        <v>6084.375</v>
      </c>
      <c r="J78" s="31">
        <f>F78/12*G78</f>
        <v>6084.375</v>
      </c>
      <c r="K78" s="31">
        <f>F78/12*G78</f>
        <v>6084.375</v>
      </c>
      <c r="L78" s="31">
        <f>F78/12*G78</f>
        <v>6084.375</v>
      </c>
      <c r="M78" s="31">
        <f>F78/12*G78</f>
        <v>6084.375</v>
      </c>
      <c r="N78" s="31">
        <f>F78/12*G78</f>
        <v>6084.375</v>
      </c>
      <c r="O78" s="31">
        <f>F78/12*G78</f>
        <v>6084.375</v>
      </c>
      <c r="P78" s="31">
        <f>F78/12*G78</f>
        <v>6084.375</v>
      </c>
      <c r="Q78" s="31">
        <f>F78/12*G78</f>
        <v>6084.375</v>
      </c>
      <c r="R78" s="31">
        <f>F78/12*G78</f>
        <v>6084.375</v>
      </c>
      <c r="S78" s="31">
        <f>F78/12*G78</f>
        <v>6084.375</v>
      </c>
      <c r="T78" s="31">
        <f>F78/12*G78</f>
        <v>6084.375</v>
      </c>
      <c r="U78" s="31">
        <f t="shared" si="10"/>
        <v>73012.5</v>
      </c>
    </row>
    <row r="79" spans="1:23" s="20" customFormat="1">
      <c r="A79" s="77"/>
      <c r="B79" s="21" t="s">
        <v>25</v>
      </c>
      <c r="C79" s="78"/>
      <c r="D79" s="79"/>
      <c r="E79" s="80"/>
      <c r="F79" s="38"/>
      <c r="G79" s="81"/>
      <c r="H79" s="39">
        <f>SUM(H77:H78)</f>
        <v>81.189900000000009</v>
      </c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>
        <f>SUM(U77:U78)</f>
        <v>81189.899999999994</v>
      </c>
      <c r="V79" s="115"/>
      <c r="W79" s="115"/>
    </row>
    <row r="80" spans="1:23" ht="25.5" customHeight="1">
      <c r="A80" s="125"/>
      <c r="B80" s="9" t="s">
        <v>85</v>
      </c>
      <c r="C80" s="60"/>
      <c r="D80" s="82"/>
      <c r="E80" s="28">
        <f>E78</f>
        <v>2062.5</v>
      </c>
      <c r="F80" s="47">
        <f>E80*12</f>
        <v>24750</v>
      </c>
      <c r="G80" s="47">
        <v>3.05</v>
      </c>
      <c r="H80" s="107">
        <f>F80*G80/1000</f>
        <v>75.487499999999997</v>
      </c>
      <c r="I80" s="31">
        <f>F80/12*G80</f>
        <v>6290.625</v>
      </c>
      <c r="J80" s="31">
        <f>F80/12*G80</f>
        <v>6290.625</v>
      </c>
      <c r="K80" s="31">
        <f>F80/12*G80</f>
        <v>6290.625</v>
      </c>
      <c r="L80" s="31">
        <f>F80/12*G80</f>
        <v>6290.625</v>
      </c>
      <c r="M80" s="31">
        <f>F80/12*G80</f>
        <v>6290.625</v>
      </c>
      <c r="N80" s="31">
        <f>F80/12*G80</f>
        <v>6290.625</v>
      </c>
      <c r="O80" s="31">
        <f>F80/12*G80</f>
        <v>6290.625</v>
      </c>
      <c r="P80" s="31">
        <f>F80/12*G80</f>
        <v>6290.625</v>
      </c>
      <c r="Q80" s="31">
        <f>F80/12*G80</f>
        <v>6290.625</v>
      </c>
      <c r="R80" s="31">
        <f>F80/12*G80</f>
        <v>6290.625</v>
      </c>
      <c r="S80" s="31">
        <f>F80/12*G80</f>
        <v>6290.625</v>
      </c>
      <c r="T80" s="31">
        <f>F80/12*G80</f>
        <v>6290.625</v>
      </c>
      <c r="U80" s="31">
        <f t="shared" si="10"/>
        <v>75487.5</v>
      </c>
    </row>
    <row r="81" spans="1:27" s="20" customFormat="1">
      <c r="A81" s="77"/>
      <c r="B81" s="83" t="s">
        <v>86</v>
      </c>
      <c r="C81" s="84"/>
      <c r="D81" s="83"/>
      <c r="E81" s="38"/>
      <c r="F81" s="38"/>
      <c r="G81" s="38"/>
      <c r="H81" s="70">
        <f>H80</f>
        <v>75.487499999999997</v>
      </c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128">
        <f>U80</f>
        <v>75487.5</v>
      </c>
      <c r="V81" s="115"/>
      <c r="W81" s="115"/>
    </row>
    <row r="82" spans="1:27" s="20" customFormat="1">
      <c r="A82" s="77"/>
      <c r="B82" s="83" t="s">
        <v>87</v>
      </c>
      <c r="C82" s="85"/>
      <c r="D82" s="86"/>
      <c r="E82" s="87"/>
      <c r="F82" s="87"/>
      <c r="G82" s="87"/>
      <c r="H82" s="70">
        <f>SUM(H81+H79+H76+H52+H41+H32+H22)</f>
        <v>543.30060227926663</v>
      </c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128">
        <f>SUM(U81+U79+U76+U52+U41+U32+U22)</f>
        <v>527041.26647926657</v>
      </c>
      <c r="V82" s="115"/>
      <c r="W82" s="115"/>
    </row>
    <row r="83" spans="1:27">
      <c r="A83" s="125"/>
      <c r="B83" s="82" t="s">
        <v>88</v>
      </c>
      <c r="C83" s="60"/>
      <c r="D83" s="82"/>
      <c r="E83" s="47"/>
      <c r="F83" s="47"/>
      <c r="G83" s="47" t="s">
        <v>89</v>
      </c>
      <c r="H83" s="88">
        <f>E80</f>
        <v>2062.5</v>
      </c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W83" s="203"/>
      <c r="X83" s="203"/>
      <c r="Y83" s="203"/>
      <c r="Z83" s="203"/>
    </row>
    <row r="84" spans="1:27" s="20" customFormat="1">
      <c r="A84" s="77"/>
      <c r="B84" s="86" t="s">
        <v>90</v>
      </c>
      <c r="C84" s="85"/>
      <c r="D84" s="86"/>
      <c r="E84" s="87"/>
      <c r="F84" s="87"/>
      <c r="G84" s="87"/>
      <c r="H84" s="89">
        <f>SUM(H82/H83/12*1000)</f>
        <v>21.951539486030974</v>
      </c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129"/>
      <c r="V84" s="115"/>
      <c r="W84" s="115"/>
    </row>
    <row r="85" spans="1:27">
      <c r="A85" s="90"/>
      <c r="B85" s="82"/>
      <c r="C85" s="60"/>
      <c r="D85" s="82"/>
      <c r="E85" s="47"/>
      <c r="F85" s="47"/>
      <c r="G85" s="47"/>
      <c r="H85" s="9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130"/>
    </row>
    <row r="86" spans="1:27">
      <c r="A86" s="125"/>
      <c r="B86" s="116" t="s">
        <v>91</v>
      </c>
      <c r="C86" s="60"/>
      <c r="D86" s="82"/>
      <c r="E86" s="47"/>
      <c r="F86" s="47"/>
      <c r="G86" s="47"/>
      <c r="H86" s="47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7" ht="25.5">
      <c r="A87" s="165" t="s">
        <v>107</v>
      </c>
      <c r="B87" s="166" t="s">
        <v>205</v>
      </c>
      <c r="C87" s="167" t="s">
        <v>206</v>
      </c>
      <c r="D87" s="168"/>
      <c r="E87" s="162"/>
      <c r="F87" s="162">
        <v>1</v>
      </c>
      <c r="G87" s="162">
        <v>1934.94</v>
      </c>
      <c r="H87" s="163">
        <f>G87*F87/1000</f>
        <v>1.9349400000000001</v>
      </c>
      <c r="I87" s="164">
        <v>0</v>
      </c>
      <c r="J87" s="164">
        <f>G87</f>
        <v>1934.94</v>
      </c>
      <c r="K87" s="164">
        <v>0</v>
      </c>
      <c r="L87" s="164">
        <v>0</v>
      </c>
      <c r="M87" s="164">
        <v>0</v>
      </c>
      <c r="N87" s="164">
        <v>0</v>
      </c>
      <c r="O87" s="164">
        <v>0</v>
      </c>
      <c r="P87" s="164">
        <v>0</v>
      </c>
      <c r="Q87" s="31">
        <v>0</v>
      </c>
      <c r="R87" s="31">
        <v>0</v>
      </c>
      <c r="S87" s="31">
        <v>0</v>
      </c>
      <c r="T87" s="31">
        <v>0</v>
      </c>
      <c r="U87" s="31">
        <f t="shared" ref="U87:U98" si="13">SUM(I87:T87)</f>
        <v>1934.94</v>
      </c>
      <c r="X87" s="115"/>
    </row>
    <row r="88" spans="1:27" s="20" customFormat="1" ht="12.75" customHeight="1">
      <c r="A88" s="169" t="s">
        <v>198</v>
      </c>
      <c r="B88" s="170" t="s">
        <v>208</v>
      </c>
      <c r="C88" s="169" t="s">
        <v>199</v>
      </c>
      <c r="D88" s="168"/>
      <c r="E88" s="162"/>
      <c r="F88" s="162">
        <f>(3+3+3+3+3+3+7)/3</f>
        <v>8.3333333333333339</v>
      </c>
      <c r="G88" s="162">
        <v>1120.8900000000001</v>
      </c>
      <c r="H88" s="163">
        <f t="shared" ref="H88" si="14">G88*F88/1000</f>
        <v>9.3407500000000017</v>
      </c>
      <c r="I88" s="164">
        <v>0</v>
      </c>
      <c r="J88" s="164">
        <f>G88*4</f>
        <v>4483.5600000000004</v>
      </c>
      <c r="K88" s="164">
        <f>G88</f>
        <v>1120.8900000000001</v>
      </c>
      <c r="L88" s="164">
        <v>0</v>
      </c>
      <c r="M88" s="164">
        <f>G88*((3+7)/3)</f>
        <v>3736.3000000000006</v>
      </c>
      <c r="N88" s="164">
        <v>0</v>
      </c>
      <c r="O88" s="164">
        <v>0</v>
      </c>
      <c r="P88" s="164">
        <v>0</v>
      </c>
      <c r="Q88" s="31">
        <v>0</v>
      </c>
      <c r="R88" s="31">
        <v>0</v>
      </c>
      <c r="S88" s="31">
        <v>0</v>
      </c>
      <c r="T88" s="31">
        <v>0</v>
      </c>
      <c r="U88" s="31">
        <f t="shared" si="13"/>
        <v>9340.7500000000018</v>
      </c>
      <c r="V88" s="115"/>
      <c r="W88" s="115"/>
      <c r="X88" s="115"/>
    </row>
    <row r="89" spans="1:27" ht="25.5">
      <c r="A89" s="171" t="s">
        <v>165</v>
      </c>
      <c r="B89" s="172" t="s">
        <v>196</v>
      </c>
      <c r="C89" s="171" t="s">
        <v>56</v>
      </c>
      <c r="D89" s="155"/>
      <c r="E89" s="156"/>
      <c r="F89" s="156">
        <v>0.04</v>
      </c>
      <c r="G89" s="156">
        <v>3581.13</v>
      </c>
      <c r="H89" s="114">
        <f t="shared" ref="H89:H96" si="15">G89*F89/1000</f>
        <v>0.14324520000000002</v>
      </c>
      <c r="I89" s="31">
        <v>0</v>
      </c>
      <c r="J89" s="31">
        <f>G89*0.01</f>
        <v>35.811300000000003</v>
      </c>
      <c r="K89" s="31">
        <v>0</v>
      </c>
      <c r="L89" s="31">
        <f>G89*0.01</f>
        <v>35.811300000000003</v>
      </c>
      <c r="M89" s="31">
        <v>0</v>
      </c>
      <c r="N89" s="164">
        <v>0</v>
      </c>
      <c r="O89" s="164">
        <f>G89*0.01</f>
        <v>35.811300000000003</v>
      </c>
      <c r="P89" s="164">
        <v>0</v>
      </c>
      <c r="Q89" s="31">
        <v>0</v>
      </c>
      <c r="R89" s="31">
        <f>G89*0.01</f>
        <v>35.811300000000003</v>
      </c>
      <c r="S89" s="31">
        <v>0</v>
      </c>
      <c r="T89" s="31">
        <v>0</v>
      </c>
      <c r="U89" s="31">
        <f t="shared" si="13"/>
        <v>143.24520000000001</v>
      </c>
    </row>
    <row r="90" spans="1:27">
      <c r="A90" s="192" t="s">
        <v>207</v>
      </c>
      <c r="B90" s="193" t="s">
        <v>218</v>
      </c>
      <c r="C90" s="194" t="s">
        <v>59</v>
      </c>
      <c r="D90" s="195"/>
      <c r="E90" s="190"/>
      <c r="F90" s="190">
        <v>3</v>
      </c>
      <c r="G90" s="190">
        <v>1202.53</v>
      </c>
      <c r="H90" s="114">
        <f t="shared" si="15"/>
        <v>3.6075900000000001</v>
      </c>
      <c r="I90" s="164">
        <v>0</v>
      </c>
      <c r="J90" s="164">
        <f>G90</f>
        <v>1202.53</v>
      </c>
      <c r="K90" s="164">
        <v>0</v>
      </c>
      <c r="L90" s="164">
        <v>0</v>
      </c>
      <c r="M90" s="164">
        <v>0</v>
      </c>
      <c r="N90" s="164">
        <v>0</v>
      </c>
      <c r="O90" s="164">
        <v>0</v>
      </c>
      <c r="P90" s="164">
        <v>0</v>
      </c>
      <c r="Q90" s="31">
        <v>0</v>
      </c>
      <c r="R90" s="31">
        <f>G90*2</f>
        <v>2405.06</v>
      </c>
      <c r="S90" s="31">
        <v>0</v>
      </c>
      <c r="T90" s="31">
        <v>0</v>
      </c>
      <c r="U90" s="31">
        <f t="shared" si="13"/>
        <v>3607.59</v>
      </c>
    </row>
    <row r="91" spans="1:27" s="115" customFormat="1" ht="25.5">
      <c r="A91" s="173" t="s">
        <v>178</v>
      </c>
      <c r="B91" s="174" t="s">
        <v>126</v>
      </c>
      <c r="C91" s="175" t="s">
        <v>59</v>
      </c>
      <c r="D91" s="112"/>
      <c r="E91" s="113"/>
      <c r="F91" s="113">
        <v>2</v>
      </c>
      <c r="G91" s="113">
        <v>83.36</v>
      </c>
      <c r="H91" s="114">
        <f t="shared" si="15"/>
        <v>0.16672000000000001</v>
      </c>
      <c r="I91" s="31">
        <v>0</v>
      </c>
      <c r="J91" s="31">
        <v>0</v>
      </c>
      <c r="K91" s="31">
        <f>G91</f>
        <v>83.36</v>
      </c>
      <c r="L91" s="31">
        <v>0</v>
      </c>
      <c r="M91" s="31">
        <v>0</v>
      </c>
      <c r="N91" s="164">
        <v>0</v>
      </c>
      <c r="O91" s="164">
        <f>G91</f>
        <v>83.36</v>
      </c>
      <c r="P91" s="164">
        <v>0</v>
      </c>
      <c r="Q91" s="31">
        <v>0</v>
      </c>
      <c r="R91" s="31">
        <v>0</v>
      </c>
      <c r="S91" s="31">
        <v>0</v>
      </c>
      <c r="T91" s="31">
        <v>0</v>
      </c>
      <c r="U91" s="31">
        <f t="shared" si="13"/>
        <v>166.72</v>
      </c>
    </row>
    <row r="92" spans="1:27" s="184" customFormat="1">
      <c r="A92" s="180" t="s">
        <v>209</v>
      </c>
      <c r="B92" s="179" t="s">
        <v>210</v>
      </c>
      <c r="C92" s="180" t="s">
        <v>211</v>
      </c>
      <c r="D92" s="181"/>
      <c r="E92" s="182"/>
      <c r="F92" s="182">
        <v>3</v>
      </c>
      <c r="G92" s="182">
        <v>195.85</v>
      </c>
      <c r="H92" s="183">
        <f t="shared" si="15"/>
        <v>0.58754999999999991</v>
      </c>
      <c r="I92" s="177">
        <v>0</v>
      </c>
      <c r="J92" s="177">
        <v>0</v>
      </c>
      <c r="K92" s="177">
        <v>0</v>
      </c>
      <c r="L92" s="177">
        <v>0</v>
      </c>
      <c r="M92" s="177">
        <v>0</v>
      </c>
      <c r="N92" s="177">
        <f>G92</f>
        <v>195.85</v>
      </c>
      <c r="O92" s="177">
        <v>0</v>
      </c>
      <c r="P92" s="177">
        <v>0</v>
      </c>
      <c r="Q92" s="31">
        <f>G92</f>
        <v>195.85</v>
      </c>
      <c r="R92" s="31">
        <v>0</v>
      </c>
      <c r="S92" s="31">
        <v>0</v>
      </c>
      <c r="T92" s="31">
        <f>G92</f>
        <v>195.85</v>
      </c>
      <c r="U92" s="31">
        <f t="shared" si="13"/>
        <v>587.54999999999995</v>
      </c>
    </row>
    <row r="93" spans="1:27" s="184" customFormat="1" ht="38.25">
      <c r="A93" s="180" t="s">
        <v>214</v>
      </c>
      <c r="B93" s="179" t="s">
        <v>212</v>
      </c>
      <c r="C93" s="180" t="s">
        <v>213</v>
      </c>
      <c r="D93" s="181"/>
      <c r="E93" s="182"/>
      <c r="F93" s="182">
        <v>3</v>
      </c>
      <c r="G93" s="182">
        <v>54.17</v>
      </c>
      <c r="H93" s="183">
        <f t="shared" si="15"/>
        <v>0.16250999999999999</v>
      </c>
      <c r="I93" s="177">
        <v>0</v>
      </c>
      <c r="J93" s="177">
        <v>0</v>
      </c>
      <c r="K93" s="177">
        <v>0</v>
      </c>
      <c r="L93" s="177">
        <v>0</v>
      </c>
      <c r="M93" s="177">
        <v>0</v>
      </c>
      <c r="N93" s="177">
        <f>G93*3</f>
        <v>162.51</v>
      </c>
      <c r="O93" s="177">
        <v>0</v>
      </c>
      <c r="P93" s="177">
        <v>0</v>
      </c>
      <c r="Q93" s="31">
        <v>0</v>
      </c>
      <c r="R93" s="31">
        <v>0</v>
      </c>
      <c r="S93" s="31">
        <v>0</v>
      </c>
      <c r="T93" s="31">
        <v>0</v>
      </c>
      <c r="U93" s="31">
        <f t="shared" si="13"/>
        <v>162.51</v>
      </c>
    </row>
    <row r="94" spans="1:27" s="184" customFormat="1" ht="25.5">
      <c r="A94" s="178" t="s">
        <v>179</v>
      </c>
      <c r="B94" s="179" t="s">
        <v>215</v>
      </c>
      <c r="C94" s="180" t="s">
        <v>121</v>
      </c>
      <c r="D94" s="181"/>
      <c r="E94" s="182"/>
      <c r="F94" s="182">
        <v>5</v>
      </c>
      <c r="G94" s="182">
        <v>589.84</v>
      </c>
      <c r="H94" s="183">
        <f t="shared" si="15"/>
        <v>2.9492000000000003</v>
      </c>
      <c r="I94" s="177">
        <v>0</v>
      </c>
      <c r="J94" s="177">
        <v>0</v>
      </c>
      <c r="K94" s="177">
        <v>0</v>
      </c>
      <c r="L94" s="177">
        <v>0</v>
      </c>
      <c r="M94" s="177">
        <v>0</v>
      </c>
      <c r="N94" s="177">
        <v>0</v>
      </c>
      <c r="O94" s="177">
        <f>G94</f>
        <v>589.84</v>
      </c>
      <c r="P94" s="177">
        <v>0</v>
      </c>
      <c r="Q94" s="31">
        <v>0</v>
      </c>
      <c r="R94" s="31">
        <v>0</v>
      </c>
      <c r="S94" s="31">
        <f>G94*(1+3)</f>
        <v>2359.36</v>
      </c>
      <c r="T94" s="31">
        <v>0</v>
      </c>
      <c r="U94" s="31">
        <f t="shared" si="13"/>
        <v>2949.2000000000003</v>
      </c>
    </row>
    <row r="95" spans="1:27" ht="25.5">
      <c r="A95" s="185" t="s">
        <v>120</v>
      </c>
      <c r="B95" s="186" t="s">
        <v>216</v>
      </c>
      <c r="C95" s="187" t="s">
        <v>217</v>
      </c>
      <c r="D95" s="188"/>
      <c r="E95" s="190"/>
      <c r="F95" s="190">
        <v>10.5</v>
      </c>
      <c r="G95" s="190">
        <v>1272</v>
      </c>
      <c r="H95" s="191">
        <f t="shared" si="15"/>
        <v>13.356</v>
      </c>
      <c r="I95" s="189">
        <v>0</v>
      </c>
      <c r="J95" s="189">
        <v>0</v>
      </c>
      <c r="K95" s="189">
        <v>0</v>
      </c>
      <c r="L95" s="189">
        <v>0</v>
      </c>
      <c r="M95" s="189">
        <v>0</v>
      </c>
      <c r="N95" s="189">
        <v>0</v>
      </c>
      <c r="O95" s="189">
        <v>0</v>
      </c>
      <c r="P95" s="189">
        <v>0</v>
      </c>
      <c r="Q95" s="189">
        <v>0</v>
      </c>
      <c r="R95" s="189">
        <f>G95*1.5</f>
        <v>1908</v>
      </c>
      <c r="S95" s="189">
        <f>G95*(8+1)</f>
        <v>11448</v>
      </c>
      <c r="T95" s="189">
        <v>0</v>
      </c>
      <c r="U95" s="31">
        <f t="shared" si="13"/>
        <v>13356</v>
      </c>
      <c r="X95" s="115"/>
      <c r="Y95" s="115"/>
      <c r="Z95" s="115"/>
      <c r="AA95" s="115"/>
    </row>
    <row r="96" spans="1:27" ht="25.5" customHeight="1">
      <c r="A96" s="192" t="s">
        <v>220</v>
      </c>
      <c r="B96" s="193" t="s">
        <v>221</v>
      </c>
      <c r="C96" s="194" t="s">
        <v>219</v>
      </c>
      <c r="D96" s="188"/>
      <c r="E96" s="190"/>
      <c r="F96" s="190">
        <v>1</v>
      </c>
      <c r="G96" s="190">
        <v>143.97999999999999</v>
      </c>
      <c r="H96" s="191">
        <f t="shared" si="15"/>
        <v>0.14398</v>
      </c>
      <c r="I96" s="189">
        <v>0</v>
      </c>
      <c r="J96" s="189">
        <v>0</v>
      </c>
      <c r="K96" s="189">
        <v>0</v>
      </c>
      <c r="L96" s="189">
        <v>0</v>
      </c>
      <c r="M96" s="189">
        <v>0</v>
      </c>
      <c r="N96" s="189">
        <v>0</v>
      </c>
      <c r="O96" s="189">
        <v>0</v>
      </c>
      <c r="P96" s="189">
        <v>0</v>
      </c>
      <c r="Q96" s="189">
        <v>0</v>
      </c>
      <c r="R96" s="189">
        <f>G96</f>
        <v>143.97999999999999</v>
      </c>
      <c r="S96" s="189">
        <v>0</v>
      </c>
      <c r="T96" s="189">
        <v>0</v>
      </c>
      <c r="U96" s="31">
        <f t="shared" si="13"/>
        <v>143.97999999999999</v>
      </c>
      <c r="X96" s="115"/>
      <c r="Y96" s="115"/>
      <c r="Z96" s="115"/>
      <c r="AA96" s="115"/>
    </row>
    <row r="97" spans="1:24" s="20" customFormat="1" ht="25.5">
      <c r="A97" s="187" t="s">
        <v>222</v>
      </c>
      <c r="B97" s="186" t="s">
        <v>223</v>
      </c>
      <c r="C97" s="187" t="s">
        <v>59</v>
      </c>
      <c r="D97" s="188"/>
      <c r="E97" s="190"/>
      <c r="F97" s="190">
        <v>2</v>
      </c>
      <c r="G97" s="190">
        <v>189.88</v>
      </c>
      <c r="H97" s="191">
        <f>G97*F97/1000</f>
        <v>0.37975999999999999</v>
      </c>
      <c r="I97" s="189">
        <v>0</v>
      </c>
      <c r="J97" s="189">
        <v>0</v>
      </c>
      <c r="K97" s="189">
        <v>0</v>
      </c>
      <c r="L97" s="189">
        <v>0</v>
      </c>
      <c r="M97" s="189">
        <v>0</v>
      </c>
      <c r="N97" s="189">
        <v>0</v>
      </c>
      <c r="O97" s="189">
        <v>0</v>
      </c>
      <c r="P97" s="189">
        <v>0</v>
      </c>
      <c r="Q97" s="189">
        <v>0</v>
      </c>
      <c r="R97" s="189">
        <f>G97</f>
        <v>189.88</v>
      </c>
      <c r="S97" s="189">
        <f>G97</f>
        <v>189.88</v>
      </c>
      <c r="T97" s="189">
        <v>0</v>
      </c>
      <c r="U97" s="31">
        <f t="shared" si="13"/>
        <v>379.76</v>
      </c>
      <c r="V97" s="115"/>
      <c r="W97" s="115"/>
      <c r="X97" s="115"/>
    </row>
    <row r="98" spans="1:24">
      <c r="A98" s="211" t="s">
        <v>107</v>
      </c>
      <c r="B98" s="212" t="s">
        <v>226</v>
      </c>
      <c r="C98" s="211" t="s">
        <v>36</v>
      </c>
      <c r="D98" s="217"/>
      <c r="E98" s="215"/>
      <c r="F98" s="213">
        <f>(14.31+19.74)-(3.05*6)+(((6.6-(3.05*6))*42.61)/44.31)</f>
        <v>4.498882870683822</v>
      </c>
      <c r="G98" s="213">
        <v>44.31</v>
      </c>
      <c r="H98" s="213">
        <f t="shared" ref="H98" si="16">G98*F98/1000</f>
        <v>0.19934550000000015</v>
      </c>
      <c r="I98" s="216">
        <v>0</v>
      </c>
      <c r="J98" s="216">
        <v>0</v>
      </c>
      <c r="K98" s="216">
        <v>0</v>
      </c>
      <c r="L98" s="216">
        <v>0</v>
      </c>
      <c r="M98" s="216">
        <v>0</v>
      </c>
      <c r="N98" s="216">
        <v>0</v>
      </c>
      <c r="O98" s="214">
        <v>0</v>
      </c>
      <c r="P98" s="214">
        <v>0</v>
      </c>
      <c r="Q98" s="214">
        <v>0</v>
      </c>
      <c r="R98" s="214">
        <v>0</v>
      </c>
      <c r="S98" s="214">
        <v>0</v>
      </c>
      <c r="T98" s="214">
        <f>G98*F98</f>
        <v>199.34550000000016</v>
      </c>
      <c r="U98" s="214">
        <f t="shared" si="13"/>
        <v>199.34550000000016</v>
      </c>
      <c r="V98"/>
      <c r="W98"/>
    </row>
    <row r="99" spans="1:24" s="20" customFormat="1">
      <c r="A99" s="92"/>
      <c r="B99" s="93" t="s">
        <v>92</v>
      </c>
      <c r="C99" s="92"/>
      <c r="D99" s="92"/>
      <c r="E99" s="87"/>
      <c r="F99" s="87"/>
      <c r="G99" s="87"/>
      <c r="H99" s="39">
        <f>SUM(H86:H98)</f>
        <v>32.9715907</v>
      </c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38">
        <f>SUM(U86:U98)</f>
        <v>32971.590700000001</v>
      </c>
      <c r="V99" s="115"/>
      <c r="W99" s="115"/>
    </row>
    <row r="100" spans="1:24">
      <c r="A100" s="90"/>
      <c r="B100" s="94"/>
      <c r="C100" s="95"/>
      <c r="D100" s="95"/>
      <c r="E100" s="47"/>
      <c r="F100" s="47"/>
      <c r="G100" s="47"/>
      <c r="H100" s="96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131"/>
    </row>
    <row r="101" spans="1:24" ht="12" customHeight="1">
      <c r="A101" s="125"/>
      <c r="B101" s="19" t="s">
        <v>93</v>
      </c>
      <c r="C101" s="60"/>
      <c r="D101" s="82"/>
      <c r="E101" s="47"/>
      <c r="F101" s="47"/>
      <c r="G101" s="47"/>
      <c r="H101" s="97">
        <f>H99/E102/12*1000</f>
        <v>1.3321854828282829</v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131"/>
    </row>
    <row r="102" spans="1:24" s="20" customFormat="1">
      <c r="A102" s="77"/>
      <c r="B102" s="98" t="s">
        <v>94</v>
      </c>
      <c r="C102" s="99"/>
      <c r="D102" s="98"/>
      <c r="E102" s="132">
        <v>2062.5</v>
      </c>
      <c r="F102" s="133">
        <f>SUM(E102*12)</f>
        <v>24750</v>
      </c>
      <c r="G102" s="134">
        <f>H84+H101</f>
        <v>23.283724968859257</v>
      </c>
      <c r="H102" s="135">
        <f>SUM(F102*G102/1000)</f>
        <v>576.27219297926661</v>
      </c>
      <c r="I102" s="87">
        <f t="shared" ref="I102:R102" si="17">SUM(I11:I101)</f>
        <v>44884.828438333338</v>
      </c>
      <c r="J102" s="87">
        <f t="shared" si="17"/>
        <v>46657.10973833334</v>
      </c>
      <c r="K102" s="87">
        <f t="shared" si="17"/>
        <v>38556.802638333334</v>
      </c>
      <c r="L102" s="87">
        <f t="shared" si="17"/>
        <v>40894.579388333339</v>
      </c>
      <c r="M102" s="87">
        <f t="shared" si="17"/>
        <v>110762.02555407779</v>
      </c>
      <c r="N102" s="87">
        <f t="shared" si="17"/>
        <v>31281.691945777773</v>
      </c>
      <c r="O102" s="87">
        <f t="shared" si="17"/>
        <v>31632.343245777778</v>
      </c>
      <c r="P102" s="87">
        <f t="shared" si="17"/>
        <v>30923.331945777776</v>
      </c>
      <c r="Q102" s="87">
        <f t="shared" si="17"/>
        <v>45044.625612077776</v>
      </c>
      <c r="R102" s="87">
        <f t="shared" si="17"/>
        <v>35606.063245777776</v>
      </c>
      <c r="S102" s="87">
        <f>SUM(S11:S101)</f>
        <v>64373.991488333333</v>
      </c>
      <c r="T102" s="87">
        <f>SUM(T11:T101)</f>
        <v>39395.463938333342</v>
      </c>
      <c r="U102" s="38">
        <f>U82+U99</f>
        <v>560012.85717926663</v>
      </c>
      <c r="V102" s="115"/>
      <c r="W102" s="115"/>
    </row>
    <row r="103" spans="1:24">
      <c r="A103" s="63"/>
      <c r="B103" s="63"/>
      <c r="C103" s="63"/>
      <c r="D103" s="63"/>
      <c r="E103" s="100"/>
      <c r="F103" s="100"/>
      <c r="G103" s="100"/>
      <c r="H103" s="100"/>
      <c r="I103" s="100"/>
      <c r="J103" s="100"/>
      <c r="K103" s="100"/>
      <c r="L103" s="100"/>
      <c r="M103" s="63"/>
      <c r="N103" s="100"/>
      <c r="O103" s="63"/>
      <c r="P103" s="63"/>
      <c r="Q103" s="63"/>
      <c r="R103" s="63"/>
      <c r="S103" s="63"/>
      <c r="T103" s="63"/>
      <c r="U103" s="63"/>
    </row>
    <row r="104" spans="1:24">
      <c r="A104" s="63"/>
      <c r="B104" s="63"/>
      <c r="C104" s="63"/>
      <c r="D104" s="63"/>
      <c r="E104" s="100"/>
      <c r="F104" s="100"/>
      <c r="G104" s="100"/>
      <c r="H104" s="100"/>
      <c r="I104" s="100"/>
      <c r="J104" s="101"/>
      <c r="K104" s="102"/>
      <c r="L104" s="101"/>
      <c r="M104" s="100"/>
      <c r="N104" s="63"/>
      <c r="O104" s="63"/>
      <c r="P104" s="63"/>
      <c r="Q104" s="63"/>
      <c r="R104" s="63"/>
      <c r="S104" s="63"/>
      <c r="T104" s="63"/>
      <c r="U104" s="63"/>
    </row>
    <row r="105" spans="1:24" ht="45">
      <c r="A105" s="63"/>
      <c r="B105" s="158" t="s">
        <v>197</v>
      </c>
      <c r="C105" s="200">
        <v>247421.85</v>
      </c>
      <c r="D105" s="201"/>
      <c r="E105" s="201"/>
      <c r="F105" s="202"/>
      <c r="G105" s="100"/>
      <c r="H105" s="100"/>
      <c r="I105" s="100"/>
      <c r="J105" s="101"/>
      <c r="K105" s="102"/>
      <c r="L105" s="101"/>
      <c r="M105" s="100"/>
      <c r="N105" s="63"/>
      <c r="O105" s="63"/>
      <c r="P105" s="63"/>
      <c r="Q105" s="63"/>
      <c r="R105" s="63"/>
      <c r="S105" s="63"/>
      <c r="T105" s="63"/>
      <c r="U105" s="63"/>
    </row>
    <row r="106" spans="1:24" ht="30">
      <c r="A106" s="63"/>
      <c r="B106" s="158" t="s">
        <v>201</v>
      </c>
      <c r="C106" s="200">
        <f>(59729.99*8)+(59441.25*4)</f>
        <v>715604.91999999993</v>
      </c>
      <c r="D106" s="201"/>
      <c r="E106" s="201"/>
      <c r="F106" s="202"/>
      <c r="G106" s="100"/>
      <c r="H106" s="100"/>
      <c r="I106" s="100"/>
      <c r="J106" s="101"/>
      <c r="K106" s="102"/>
      <c r="L106" s="101"/>
      <c r="M106" s="100"/>
      <c r="N106" s="63"/>
      <c r="O106" s="63"/>
      <c r="P106" s="63"/>
      <c r="Q106" s="63"/>
      <c r="R106" s="63"/>
      <c r="S106" s="63"/>
      <c r="T106" s="63"/>
      <c r="U106" s="63"/>
    </row>
    <row r="107" spans="1:24" ht="30">
      <c r="A107" s="63"/>
      <c r="B107" s="158" t="s">
        <v>202</v>
      </c>
      <c r="C107" s="200">
        <f>SUM(U102-U99)</f>
        <v>527041.26647926657</v>
      </c>
      <c r="D107" s="201"/>
      <c r="E107" s="201"/>
      <c r="F107" s="202"/>
      <c r="G107" s="100"/>
      <c r="H107" s="100"/>
      <c r="I107" s="100"/>
      <c r="J107" s="101"/>
      <c r="K107" s="102"/>
      <c r="L107" s="101"/>
      <c r="M107" s="100"/>
      <c r="N107" s="63"/>
      <c r="O107" s="63"/>
      <c r="P107" s="63"/>
      <c r="Q107" s="63"/>
      <c r="R107" s="63"/>
      <c r="S107" s="63"/>
      <c r="T107" s="63"/>
      <c r="U107" s="63"/>
    </row>
    <row r="108" spans="1:24" ht="30">
      <c r="A108" s="63"/>
      <c r="B108" s="158" t="s">
        <v>203</v>
      </c>
      <c r="C108" s="200">
        <f>SUM(U99)</f>
        <v>32971.590700000001</v>
      </c>
      <c r="D108" s="201"/>
      <c r="E108" s="201"/>
      <c r="F108" s="202"/>
      <c r="G108" s="100"/>
      <c r="H108" s="100"/>
      <c r="I108" s="100"/>
      <c r="J108" s="101"/>
      <c r="K108" s="102"/>
      <c r="L108" s="101"/>
      <c r="M108" s="100"/>
      <c r="N108" s="63"/>
      <c r="O108" s="63"/>
      <c r="P108" s="63"/>
      <c r="Q108" s="63"/>
      <c r="R108" s="63"/>
      <c r="S108" s="63"/>
      <c r="T108" s="63"/>
      <c r="U108" s="63"/>
    </row>
    <row r="109" spans="1:24" ht="18">
      <c r="A109" s="63"/>
      <c r="B109" s="159" t="s">
        <v>204</v>
      </c>
      <c r="C109" s="207">
        <f>61496.72+37616.44+54230.61+54627.91+47305.28+41339.04+57159.37+70072.29+51085.06+47744.34+48384.03+59045.48</f>
        <v>630106.56999999995</v>
      </c>
      <c r="D109" s="205"/>
      <c r="E109" s="205"/>
      <c r="F109" s="206"/>
      <c r="G109" s="63"/>
      <c r="H109" s="103" t="s">
        <v>104</v>
      </c>
      <c r="J109" s="104"/>
      <c r="K109" s="105"/>
      <c r="L109" s="106"/>
      <c r="M109" s="103"/>
      <c r="N109" s="103"/>
      <c r="O109" s="63"/>
      <c r="P109" s="63"/>
      <c r="Q109" s="63"/>
      <c r="R109" s="63"/>
      <c r="S109" s="63"/>
      <c r="T109" s="63"/>
      <c r="U109" s="63"/>
    </row>
    <row r="110" spans="1:24" ht="78.75">
      <c r="A110" s="63"/>
      <c r="B110" s="160" t="s">
        <v>224</v>
      </c>
      <c r="C110" s="208">
        <v>204198.43</v>
      </c>
      <c r="D110" s="209"/>
      <c r="E110" s="209"/>
      <c r="F110" s="210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</row>
    <row r="111" spans="1:24" ht="45">
      <c r="A111" s="63"/>
      <c r="B111" s="158" t="s">
        <v>225</v>
      </c>
      <c r="C111" s="204">
        <f>(C107+C108)-C106+C105</f>
        <v>91829.787179266714</v>
      </c>
      <c r="D111" s="205"/>
      <c r="E111" s="205"/>
      <c r="F111" s="206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</row>
    <row r="113" spans="7:13">
      <c r="J113" s="4"/>
      <c r="K113" s="5"/>
      <c r="L113" s="5"/>
      <c r="M113" s="3"/>
    </row>
    <row r="114" spans="7:13">
      <c r="G114" s="6"/>
      <c r="H114" s="6"/>
    </row>
    <row r="115" spans="7:13">
      <c r="G115" s="7"/>
    </row>
  </sheetData>
  <mergeCells count="12">
    <mergeCell ref="W83:Z83"/>
    <mergeCell ref="C111:F111"/>
    <mergeCell ref="C106:F106"/>
    <mergeCell ref="C107:F107"/>
    <mergeCell ref="C108:F108"/>
    <mergeCell ref="C109:F109"/>
    <mergeCell ref="C110:F110"/>
    <mergeCell ref="B3:L3"/>
    <mergeCell ref="B4:L4"/>
    <mergeCell ref="B5:L5"/>
    <mergeCell ref="B6:L6"/>
    <mergeCell ref="C105:F105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Окт.,43</vt:lpstr>
      <vt:lpstr>'Окт.,43'!Область_печати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2018-03-21T05:22:25Z</cp:lastPrinted>
  <dcterms:created xsi:type="dcterms:W3CDTF">2014-02-05T12:20:20Z</dcterms:created>
  <dcterms:modified xsi:type="dcterms:W3CDTF">2018-03-27T08:54:58Z</dcterms:modified>
</cp:coreProperties>
</file>