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9" sheetId="27" r:id="rId11"/>
    <sheet name="12.19" sheetId="28" r:id="rId12"/>
  </sheets>
  <definedNames>
    <definedName name="_xlnm._FilterDatabase" localSheetId="0" hidden="1">'01.19'!$I$12:$I$60</definedName>
    <definedName name="_xlnm._FilterDatabase" localSheetId="1" hidden="1">'02.19'!$I$12:$I$59</definedName>
    <definedName name="_xlnm._FilterDatabase" localSheetId="2" hidden="1">'03.19'!$I$12:$I$60</definedName>
    <definedName name="_xlnm._FilterDatabase" localSheetId="3" hidden="1">'04.19'!$I$12:$I$60</definedName>
    <definedName name="_xlnm._FilterDatabase" localSheetId="4" hidden="1">'05.19'!$I$12:$I$59</definedName>
    <definedName name="_xlnm._FilterDatabase" localSheetId="5" hidden="1">'06.19'!$I$12:$I$59</definedName>
    <definedName name="_xlnm._FilterDatabase" localSheetId="6" hidden="1">'07.19'!$I$12:$I$59</definedName>
    <definedName name="_xlnm._FilterDatabase" localSheetId="7" hidden="1">'08.19'!$I$12:$I$59</definedName>
    <definedName name="_xlnm._FilterDatabase" localSheetId="8" hidden="1">'09.19'!$I$12:$I$59</definedName>
    <definedName name="_xlnm._FilterDatabase" localSheetId="9" hidden="1">'10.19'!$I$12:$I$57</definedName>
    <definedName name="_xlnm._FilterDatabase" localSheetId="10" hidden="1">'11.19'!$I$12:$I$61</definedName>
    <definedName name="_xlnm._FilterDatabase" localSheetId="11" hidden="1">'12.19'!$I$12:$I$60</definedName>
    <definedName name="_xlnm.Print_Area" localSheetId="0">'01.19'!$A$1:$I$123</definedName>
    <definedName name="_xlnm.Print_Area" localSheetId="1">'02.19'!$A$1:$I$125</definedName>
    <definedName name="_xlnm.Print_Area" localSheetId="2">'03.19'!$A$1:$I$120</definedName>
    <definedName name="_xlnm.Print_Area" localSheetId="3">'04.19'!$A$1:$I$120</definedName>
    <definedName name="_xlnm.Print_Area" localSheetId="4">'05.19'!$A$1:$I$130</definedName>
    <definedName name="_xlnm.Print_Area" localSheetId="5">'06.19'!$A$1:$I$129</definedName>
    <definedName name="_xlnm.Print_Area" localSheetId="6">'07.19'!$A$1:$I$126</definedName>
    <definedName name="_xlnm.Print_Area" localSheetId="7">'08.19'!$A$1:$I$127</definedName>
    <definedName name="_xlnm.Print_Area" localSheetId="8">'09.19'!$A$1:$I$133</definedName>
    <definedName name="_xlnm.Print_Area" localSheetId="9">'10.19'!$A$1:$I$135</definedName>
  </definedNames>
  <calcPr calcId="124519"/>
</workbook>
</file>

<file path=xl/calcChain.xml><?xml version="1.0" encoding="utf-8"?>
<calcChain xmlns="http://schemas.openxmlformats.org/spreadsheetml/2006/main">
  <c r="I91" i="28"/>
  <c r="I93" l="1"/>
  <c r="I43" l="1"/>
  <c r="I42"/>
  <c r="I96"/>
  <c r="I95"/>
  <c r="I94"/>
  <c r="I92"/>
  <c r="I90"/>
  <c r="I89"/>
  <c r="I38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6" i="27"/>
  <c r="H18" i="28" l="1"/>
  <c r="H21"/>
  <c r="H16"/>
  <c r="H25"/>
  <c r="I17"/>
  <c r="I20"/>
  <c r="I26"/>
  <c r="I24"/>
  <c r="I94" i="27"/>
  <c r="I88"/>
  <c r="I101"/>
  <c r="I100"/>
  <c r="I99"/>
  <c r="I98"/>
  <c r="I97"/>
  <c r="I95"/>
  <c r="I93"/>
  <c r="I92"/>
  <c r="I91"/>
  <c r="I90"/>
  <c r="I38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H18" s="1"/>
  <c r="F17"/>
  <c r="H17" s="1"/>
  <c r="F16"/>
  <c r="I16" s="1"/>
  <c r="I88" i="26"/>
  <c r="I42"/>
  <c r="I101"/>
  <c r="I94"/>
  <c r="I75"/>
  <c r="I111"/>
  <c r="I110"/>
  <c r="I109"/>
  <c r="I108"/>
  <c r="I107"/>
  <c r="I106"/>
  <c r="I105"/>
  <c r="I104"/>
  <c r="I103"/>
  <c r="I102"/>
  <c r="I100"/>
  <c r="I99"/>
  <c r="I98"/>
  <c r="I97"/>
  <c r="I96"/>
  <c r="I95"/>
  <c r="I93"/>
  <c r="I92"/>
  <c r="I91"/>
  <c r="I90"/>
  <c r="I112" s="1"/>
  <c r="I64"/>
  <c r="I5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10" i="25"/>
  <c r="I96"/>
  <c r="I109"/>
  <c r="I108"/>
  <c r="I104"/>
  <c r="I102"/>
  <c r="I107"/>
  <c r="I106"/>
  <c r="I99"/>
  <c r="I98"/>
  <c r="I97"/>
  <c r="I92"/>
  <c r="I86"/>
  <c r="H16" i="27" l="1"/>
  <c r="H25"/>
  <c r="I18"/>
  <c r="H21"/>
  <c r="I17"/>
  <c r="I20"/>
  <c r="I24"/>
  <c r="I26"/>
  <c r="H18" i="26"/>
  <c r="H21"/>
  <c r="H29"/>
  <c r="I30"/>
  <c r="H31"/>
  <c r="I32"/>
  <c r="H16"/>
  <c r="H25"/>
  <c r="I17"/>
  <c r="I20"/>
  <c r="I24"/>
  <c r="I26"/>
  <c r="I105" i="25"/>
  <c r="I103"/>
  <c r="I101"/>
  <c r="I100"/>
  <c r="I95" l="1"/>
  <c r="I89"/>
  <c r="I94" l="1"/>
  <c r="I103" i="24"/>
  <c r="I60"/>
  <c r="I93" i="25"/>
  <c r="I64"/>
  <c r="I91"/>
  <c r="I90"/>
  <c r="F21" l="1"/>
  <c r="H21" s="1"/>
  <c r="F20"/>
  <c r="I20" s="1"/>
  <c r="I25" i="21"/>
  <c r="I24"/>
  <c r="I19"/>
  <c r="I21"/>
  <c r="I20"/>
  <c r="F32" i="25"/>
  <c r="H32" s="1"/>
  <c r="F31"/>
  <c r="I31" s="1"/>
  <c r="F30"/>
  <c r="H30" s="1"/>
  <c r="F29"/>
  <c r="I29" s="1"/>
  <c r="I53"/>
  <c r="I88"/>
  <c r="E85"/>
  <c r="F85" s="1"/>
  <c r="F84"/>
  <c r="H84" s="1"/>
  <c r="I76"/>
  <c r="F82"/>
  <c r="I82" s="1"/>
  <c r="F53"/>
  <c r="F51"/>
  <c r="F50"/>
  <c r="F49"/>
  <c r="F48"/>
  <c r="F47"/>
  <c r="F46"/>
  <c r="F45"/>
  <c r="I54"/>
  <c r="F26"/>
  <c r="H26" s="1"/>
  <c r="F25"/>
  <c r="I25" s="1"/>
  <c r="F24"/>
  <c r="H24" s="1"/>
  <c r="F23"/>
  <c r="H23" s="1"/>
  <c r="F22"/>
  <c r="H22" s="1"/>
  <c r="F19"/>
  <c r="H19" s="1"/>
  <c r="F18"/>
  <c r="I18" s="1"/>
  <c r="F17"/>
  <c r="H17" s="1"/>
  <c r="F16"/>
  <c r="I16" s="1"/>
  <c r="I102" i="24"/>
  <c r="I101"/>
  <c r="I100"/>
  <c r="I99"/>
  <c r="I98"/>
  <c r="I97"/>
  <c r="I96"/>
  <c r="I95"/>
  <c r="I94"/>
  <c r="I93"/>
  <c r="I92"/>
  <c r="I91"/>
  <c r="I90"/>
  <c r="I104" s="1"/>
  <c r="E87"/>
  <c r="F87" s="1"/>
  <c r="F86"/>
  <c r="H86" s="1"/>
  <c r="I84"/>
  <c r="F82"/>
  <c r="I82" s="1"/>
  <c r="I65"/>
  <c r="H65"/>
  <c r="I54"/>
  <c r="F32"/>
  <c r="H32" s="1"/>
  <c r="F31"/>
  <c r="I31" s="1"/>
  <c r="F30"/>
  <c r="H30" s="1"/>
  <c r="F29"/>
  <c r="I29" s="1"/>
  <c r="I18" i="23"/>
  <c r="I18" i="22"/>
  <c r="I18" i="21"/>
  <c r="I18" i="20"/>
  <c r="I18" i="19"/>
  <c r="I18" i="18"/>
  <c r="I18" i="17"/>
  <c r="F26" i="24"/>
  <c r="H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H16" s="1"/>
  <c r="I103" i="23"/>
  <c r="I93"/>
  <c r="I94"/>
  <c r="I102"/>
  <c r="I90"/>
  <c r="I64"/>
  <c r="H20" i="25" l="1"/>
  <c r="I21"/>
  <c r="H29"/>
  <c r="I30"/>
  <c r="H31"/>
  <c r="I32"/>
  <c r="H85"/>
  <c r="I85"/>
  <c r="I84"/>
  <c r="H16"/>
  <c r="H18"/>
  <c r="I17"/>
  <c r="I24"/>
  <c r="H25"/>
  <c r="I26"/>
  <c r="H87" i="24"/>
  <c r="I87"/>
  <c r="I86"/>
  <c r="H17"/>
  <c r="H24"/>
  <c r="H20"/>
  <c r="H29"/>
  <c r="I30"/>
  <c r="H31"/>
  <c r="I32"/>
  <c r="I16"/>
  <c r="H18"/>
  <c r="H21"/>
  <c r="H25"/>
  <c r="I26"/>
  <c r="I87" i="23"/>
  <c r="I101"/>
  <c r="I100"/>
  <c r="I99"/>
  <c r="I98"/>
  <c r="I97"/>
  <c r="I96"/>
  <c r="I95"/>
  <c r="I92"/>
  <c r="I91"/>
  <c r="I89"/>
  <c r="E86"/>
  <c r="F86" s="1"/>
  <c r="F85"/>
  <c r="H85" s="1"/>
  <c r="I79"/>
  <c r="I76"/>
  <c r="I75"/>
  <c r="F75"/>
  <c r="F73"/>
  <c r="I73" s="1"/>
  <c r="F70"/>
  <c r="F69"/>
  <c r="F68"/>
  <c r="F67"/>
  <c r="F66"/>
  <c r="I54"/>
  <c r="F32"/>
  <c r="H32" s="1"/>
  <c r="F31"/>
  <c r="I31" s="1"/>
  <c r="F30"/>
  <c r="H30" s="1"/>
  <c r="F29"/>
  <c r="I29" s="1"/>
  <c r="F26"/>
  <c r="H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F17"/>
  <c r="I17" s="1"/>
  <c r="F16"/>
  <c r="I16" s="1"/>
  <c r="I87" i="22"/>
  <c r="F26"/>
  <c r="H26" s="1"/>
  <c r="F25"/>
  <c r="I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F17"/>
  <c r="H17" s="1"/>
  <c r="F16"/>
  <c r="I16" s="1"/>
  <c r="I86" i="21"/>
  <c r="F26"/>
  <c r="H26" s="1"/>
  <c r="F18"/>
  <c r="H18" s="1"/>
  <c r="H17"/>
  <c r="F17"/>
  <c r="I17" s="1"/>
  <c r="F16"/>
  <c r="H16" s="1"/>
  <c r="F26" i="20"/>
  <c r="H26" s="1"/>
  <c r="H25"/>
  <c r="F25"/>
  <c r="I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F17"/>
  <c r="H17" s="1"/>
  <c r="H16"/>
  <c r="F16"/>
  <c r="I16" s="1"/>
  <c r="F26" i="19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F17"/>
  <c r="H17" s="1"/>
  <c r="F16"/>
  <c r="I16" s="1"/>
  <c r="F26" i="18"/>
  <c r="H26" s="1"/>
  <c r="F25"/>
  <c r="I25" s="1"/>
  <c r="H24"/>
  <c r="F24"/>
  <c r="I24" s="1"/>
  <c r="H23"/>
  <c r="F23"/>
  <c r="H22"/>
  <c r="F22"/>
  <c r="F21"/>
  <c r="I21" s="1"/>
  <c r="H20"/>
  <c r="F20"/>
  <c r="I20" s="1"/>
  <c r="H19"/>
  <c r="F19"/>
  <c r="F18"/>
  <c r="H17"/>
  <c r="F17"/>
  <c r="I17" s="1"/>
  <c r="F16"/>
  <c r="I16" s="1"/>
  <c r="F26" i="17"/>
  <c r="I105" i="22"/>
  <c r="I104"/>
  <c r="I103"/>
  <c r="I102"/>
  <c r="I101"/>
  <c r="I100"/>
  <c r="I99"/>
  <c r="I98"/>
  <c r="I97"/>
  <c r="I96"/>
  <c r="I95"/>
  <c r="I94"/>
  <c r="I93"/>
  <c r="I92"/>
  <c r="I91"/>
  <c r="I90"/>
  <c r="I89"/>
  <c r="I106" s="1"/>
  <c r="E86"/>
  <c r="F86" s="1"/>
  <c r="F85"/>
  <c r="H85" s="1"/>
  <c r="I83"/>
  <c r="F81"/>
  <c r="I81" s="1"/>
  <c r="I64"/>
  <c r="F70"/>
  <c r="F69"/>
  <c r="F68"/>
  <c r="F67"/>
  <c r="F66"/>
  <c r="I54"/>
  <c r="F32"/>
  <c r="I32" s="1"/>
  <c r="F31"/>
  <c r="I31" s="1"/>
  <c r="F30"/>
  <c r="I30" s="1"/>
  <c r="F29"/>
  <c r="I29" s="1"/>
  <c r="I106" i="21"/>
  <c r="I94"/>
  <c r="I97"/>
  <c r="I105"/>
  <c r="I104"/>
  <c r="I90"/>
  <c r="I98"/>
  <c r="I103"/>
  <c r="I96"/>
  <c r="I94" i="20"/>
  <c r="I96"/>
  <c r="I92"/>
  <c r="I95" i="21"/>
  <c r="I92"/>
  <c r="H86" i="23" l="1"/>
  <c r="I86"/>
  <c r="I85"/>
  <c r="H29"/>
  <c r="I30"/>
  <c r="H31"/>
  <c r="I32"/>
  <c r="H24"/>
  <c r="H17"/>
  <c r="H20"/>
  <c r="H16"/>
  <c r="H18"/>
  <c r="H21"/>
  <c r="H25"/>
  <c r="I26"/>
  <c r="H16" i="22"/>
  <c r="H25"/>
  <c r="I17"/>
  <c r="I20"/>
  <c r="I24"/>
  <c r="I26"/>
  <c r="I26" i="21"/>
  <c r="I16"/>
  <c r="I17" i="20"/>
  <c r="I20"/>
  <c r="I24"/>
  <c r="I26"/>
  <c r="H16" i="19"/>
  <c r="I17"/>
  <c r="H18"/>
  <c r="I20"/>
  <c r="H21"/>
  <c r="I24"/>
  <c r="H25"/>
  <c r="I26"/>
  <c r="H16" i="18"/>
  <c r="H18"/>
  <c r="H21"/>
  <c r="H25"/>
  <c r="I26"/>
  <c r="H29" i="22"/>
  <c r="H31"/>
  <c r="H86"/>
  <c r="I86"/>
  <c r="I85"/>
  <c r="H30"/>
  <c r="H32"/>
  <c r="I53" i="21"/>
  <c r="I102"/>
  <c r="I101"/>
  <c r="I100"/>
  <c r="I99"/>
  <c r="I93"/>
  <c r="I91"/>
  <c r="I89"/>
  <c r="I88"/>
  <c r="I76"/>
  <c r="E85"/>
  <c r="F85" s="1"/>
  <c r="F84"/>
  <c r="H84" s="1"/>
  <c r="I78"/>
  <c r="F73"/>
  <c r="I73" s="1"/>
  <c r="F70"/>
  <c r="F69"/>
  <c r="F68"/>
  <c r="F67"/>
  <c r="F66"/>
  <c r="F53"/>
  <c r="F51"/>
  <c r="F50"/>
  <c r="F49"/>
  <c r="F48"/>
  <c r="F47"/>
  <c r="F46"/>
  <c r="F45"/>
  <c r="I54"/>
  <c r="F32"/>
  <c r="F31"/>
  <c r="F30"/>
  <c r="F29"/>
  <c r="F25"/>
  <c r="F24"/>
  <c r="F23"/>
  <c r="F22"/>
  <c r="F21"/>
  <c r="F20"/>
  <c r="F19"/>
  <c r="I53" i="18"/>
  <c r="I107" i="21" l="1"/>
  <c r="H85"/>
  <c r="I85"/>
  <c r="I84"/>
  <c r="I95" i="20"/>
  <c r="I100" i="17"/>
  <c r="I90"/>
  <c r="I99"/>
  <c r="H94" i="20"/>
  <c r="I93"/>
  <c r="I91"/>
  <c r="I90"/>
  <c r="I97" s="1"/>
  <c r="E87"/>
  <c r="F87" s="1"/>
  <c r="F86"/>
  <c r="H86" s="1"/>
  <c r="I80"/>
  <c r="I75"/>
  <c r="F75"/>
  <c r="F64"/>
  <c r="H64" s="1"/>
  <c r="F61"/>
  <c r="H61" s="1"/>
  <c r="I55"/>
  <c r="F44"/>
  <c r="I44" s="1"/>
  <c r="I37"/>
  <c r="I43"/>
  <c r="H43"/>
  <c r="F42"/>
  <c r="H42" s="1"/>
  <c r="F41"/>
  <c r="I41" s="1"/>
  <c r="F40"/>
  <c r="H40" s="1"/>
  <c r="H39"/>
  <c r="F38"/>
  <c r="H38" s="1"/>
  <c r="H37"/>
  <c r="H87" l="1"/>
  <c r="I87"/>
  <c r="I86"/>
  <c r="I64"/>
  <c r="I61"/>
  <c r="I38"/>
  <c r="I40"/>
  <c r="H41"/>
  <c r="I42"/>
  <c r="I88" l="1"/>
  <c r="I102" i="18" l="1"/>
  <c r="I101"/>
  <c r="F76" i="19" l="1"/>
  <c r="I37"/>
  <c r="I87"/>
  <c r="I97"/>
  <c r="I76"/>
  <c r="I96" l="1"/>
  <c r="I95"/>
  <c r="I94"/>
  <c r="I93"/>
  <c r="I92"/>
  <c r="I91"/>
  <c r="I90"/>
  <c r="I89"/>
  <c r="E86"/>
  <c r="F86" s="1"/>
  <c r="F85"/>
  <c r="H85" s="1"/>
  <c r="I79"/>
  <c r="F74"/>
  <c r="I74" s="1"/>
  <c r="F63"/>
  <c r="F60"/>
  <c r="I55"/>
  <c r="I44"/>
  <c r="F44"/>
  <c r="F42"/>
  <c r="F41"/>
  <c r="F40"/>
  <c r="F38"/>
  <c r="H86" l="1"/>
  <c r="I86"/>
  <c r="I85"/>
  <c r="I86" i="18"/>
  <c r="F53"/>
  <c r="I37"/>
  <c r="I100"/>
  <c r="I99"/>
  <c r="I98"/>
  <c r="I97"/>
  <c r="I96"/>
  <c r="I95"/>
  <c r="I94"/>
  <c r="I93"/>
  <c r="I92"/>
  <c r="I91"/>
  <c r="I90"/>
  <c r="I89"/>
  <c r="I88"/>
  <c r="E85"/>
  <c r="F85" s="1"/>
  <c r="F84"/>
  <c r="I78"/>
  <c r="F73"/>
  <c r="I73" s="1"/>
  <c r="F59"/>
  <c r="I54"/>
  <c r="F49"/>
  <c r="F43"/>
  <c r="I43" s="1"/>
  <c r="F41"/>
  <c r="F40"/>
  <c r="F39"/>
  <c r="F38"/>
  <c r="I37" i="17" l="1"/>
  <c r="I96"/>
  <c r="I98"/>
  <c r="I97"/>
  <c r="I95"/>
  <c r="I94"/>
  <c r="I93"/>
  <c r="I92"/>
  <c r="I91"/>
  <c r="I89"/>
  <c r="E86"/>
  <c r="F86" s="1"/>
  <c r="F85"/>
  <c r="I79"/>
  <c r="F74"/>
  <c r="I74" s="1"/>
  <c r="F60"/>
  <c r="I55"/>
  <c r="F50"/>
  <c r="F44"/>
  <c r="I44" s="1"/>
  <c r="F42"/>
  <c r="I42" s="1"/>
  <c r="F41"/>
  <c r="F39"/>
  <c r="F38"/>
  <c r="F18"/>
  <c r="F17"/>
  <c r="F16"/>
  <c r="I83" i="28" l="1"/>
  <c r="I54"/>
  <c r="E86"/>
  <c r="F86" s="1"/>
  <c r="F85"/>
  <c r="I79"/>
  <c r="F74"/>
  <c r="I74" s="1"/>
  <c r="I55"/>
  <c r="F54"/>
  <c r="F50"/>
  <c r="F44"/>
  <c r="I44" s="1"/>
  <c r="F42"/>
  <c r="F41"/>
  <c r="I41" s="1"/>
  <c r="F40"/>
  <c r="F39"/>
  <c r="E87" i="27" l="1"/>
  <c r="F87" s="1"/>
  <c r="H87" s="1"/>
  <c r="F86"/>
  <c r="H86" s="1"/>
  <c r="I44"/>
  <c r="I80"/>
  <c r="H80"/>
  <c r="F75"/>
  <c r="I75" s="1"/>
  <c r="F64"/>
  <c r="I56"/>
  <c r="F45"/>
  <c r="I45" s="1"/>
  <c r="F43"/>
  <c r="I43" s="1"/>
  <c r="F42"/>
  <c r="F41"/>
  <c r="F40"/>
  <c r="F39"/>
  <c r="F27"/>
  <c r="I86" l="1"/>
  <c r="I87"/>
  <c r="I51" i="26"/>
  <c r="I80"/>
  <c r="E87"/>
  <c r="F87" s="1"/>
  <c r="F86"/>
  <c r="F77"/>
  <c r="F73"/>
  <c r="I73" s="1"/>
  <c r="F70"/>
  <c r="F69"/>
  <c r="F68"/>
  <c r="F67"/>
  <c r="F66"/>
  <c r="F62"/>
  <c r="F57"/>
  <c r="F52"/>
  <c r="F50"/>
  <c r="I50" s="1"/>
  <c r="F49"/>
  <c r="I49" s="1"/>
  <c r="F48"/>
  <c r="F47"/>
  <c r="F46"/>
  <c r="F45"/>
  <c r="F44"/>
  <c r="F42"/>
  <c r="F40"/>
  <c r="F39"/>
  <c r="F38"/>
  <c r="F37"/>
  <c r="I57" i="18" l="1"/>
  <c r="I64" i="21"/>
  <c r="I75"/>
  <c r="I62"/>
  <c r="I52"/>
  <c r="I51"/>
  <c r="I50"/>
  <c r="I64" i="18" l="1"/>
  <c r="I43" i="19" l="1"/>
  <c r="H96"/>
  <c r="H95"/>
  <c r="H94"/>
  <c r="H93"/>
  <c r="H92"/>
  <c r="H91"/>
  <c r="H90"/>
  <c r="H89"/>
  <c r="I65"/>
  <c r="H96" i="18"/>
  <c r="I42"/>
  <c r="H95" l="1"/>
  <c r="H94"/>
  <c r="H93"/>
  <c r="H92"/>
  <c r="H91"/>
  <c r="H90"/>
  <c r="H89"/>
  <c r="H88"/>
  <c r="F62"/>
  <c r="H98" i="17"/>
  <c r="H97"/>
  <c r="F96"/>
  <c r="H96" s="1"/>
  <c r="H95"/>
  <c r="H94"/>
  <c r="H93"/>
  <c r="H92"/>
  <c r="H91"/>
  <c r="H90"/>
  <c r="H89"/>
  <c r="I65"/>
  <c r="F63"/>
  <c r="H63" s="1"/>
  <c r="H95" i="28" l="1"/>
  <c r="H94"/>
  <c r="H93"/>
  <c r="H92"/>
  <c r="F91"/>
  <c r="H91" s="1"/>
  <c r="H89"/>
  <c r="I76"/>
  <c r="H90"/>
  <c r="H85"/>
  <c r="H83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I63"/>
  <c r="I62"/>
  <c r="H62"/>
  <c r="F60"/>
  <c r="H60" s="1"/>
  <c r="I59"/>
  <c r="H59"/>
  <c r="F58"/>
  <c r="I58" s="1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I40"/>
  <c r="I39"/>
  <c r="H39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92" i="27"/>
  <c r="F91"/>
  <c r="H91" s="1"/>
  <c r="H90"/>
  <c r="H84"/>
  <c r="H82"/>
  <c r="H79"/>
  <c r="H78"/>
  <c r="I77"/>
  <c r="H77"/>
  <c r="I73"/>
  <c r="H73"/>
  <c r="F72"/>
  <c r="I72" s="1"/>
  <c r="F71"/>
  <c r="H71" s="1"/>
  <c r="F70"/>
  <c r="I70" s="1"/>
  <c r="F69"/>
  <c r="H69" s="1"/>
  <c r="F68"/>
  <c r="I68" s="1"/>
  <c r="I67"/>
  <c r="H67"/>
  <c r="I66"/>
  <c r="H66"/>
  <c r="H64"/>
  <c r="I63"/>
  <c r="H63"/>
  <c r="F61"/>
  <c r="I61" s="1"/>
  <c r="I60"/>
  <c r="H60"/>
  <c r="F59"/>
  <c r="H59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4"/>
  <c r="H43"/>
  <c r="H42"/>
  <c r="H41"/>
  <c r="I40"/>
  <c r="I39"/>
  <c r="H39"/>
  <c r="H38"/>
  <c r="H36"/>
  <c r="H35"/>
  <c r="H34"/>
  <c r="F34"/>
  <c r="I34" s="1"/>
  <c r="F33"/>
  <c r="H33" s="1"/>
  <c r="F32"/>
  <c r="I32" s="1"/>
  <c r="F31"/>
  <c r="H31" s="1"/>
  <c r="F30"/>
  <c r="I30" s="1"/>
  <c r="H27"/>
  <c r="H68" i="28" l="1"/>
  <c r="H86"/>
  <c r="H87" s="1"/>
  <c r="I86"/>
  <c r="H27"/>
  <c r="I30"/>
  <c r="H31"/>
  <c r="I32"/>
  <c r="H33"/>
  <c r="H40"/>
  <c r="H42"/>
  <c r="I50"/>
  <c r="H58"/>
  <c r="I60"/>
  <c r="H63"/>
  <c r="I67"/>
  <c r="I69"/>
  <c r="H70"/>
  <c r="I71"/>
  <c r="I85"/>
  <c r="H92" i="27"/>
  <c r="H40"/>
  <c r="H88"/>
  <c r="I27"/>
  <c r="H30"/>
  <c r="I31"/>
  <c r="H32"/>
  <c r="I33"/>
  <c r="I42"/>
  <c r="H51"/>
  <c r="I59"/>
  <c r="H61"/>
  <c r="I64"/>
  <c r="H68"/>
  <c r="I69"/>
  <c r="H70"/>
  <c r="I71"/>
  <c r="H72"/>
  <c r="I87" i="28" l="1"/>
  <c r="I98" s="1"/>
  <c r="I103" i="27"/>
  <c r="H82" i="28"/>
  <c r="H83" i="27"/>
  <c r="H101" i="26" l="1"/>
  <c r="H100"/>
  <c r="H99"/>
  <c r="H98"/>
  <c r="H97"/>
  <c r="H96"/>
  <c r="H95"/>
  <c r="H94"/>
  <c r="H93"/>
  <c r="H92"/>
  <c r="H90"/>
  <c r="I78"/>
  <c r="H89" i="25" l="1"/>
  <c r="H88"/>
  <c r="H93" i="24" l="1"/>
  <c r="H92"/>
  <c r="F91"/>
  <c r="H91" s="1"/>
  <c r="H90" i="23"/>
  <c r="H89"/>
  <c r="H100" i="22"/>
  <c r="F99"/>
  <c r="H99" s="1"/>
  <c r="H98"/>
  <c r="H97"/>
  <c r="H96"/>
  <c r="H95"/>
  <c r="H94"/>
  <c r="F93"/>
  <c r="H93" s="1"/>
  <c r="H92"/>
  <c r="H91"/>
  <c r="H90"/>
  <c r="H89"/>
  <c r="H91" i="21"/>
  <c r="H90"/>
  <c r="F89"/>
  <c r="H89" s="1"/>
  <c r="F93" i="20"/>
  <c r="H93" s="1"/>
  <c r="H92"/>
  <c r="H91"/>
  <c r="H90"/>
  <c r="I77"/>
  <c r="I66"/>
  <c r="I53" i="19"/>
  <c r="H91" i="26" l="1"/>
  <c r="I87"/>
  <c r="I86"/>
  <c r="H84"/>
  <c r="H82"/>
  <c r="H80"/>
  <c r="H79"/>
  <c r="H78"/>
  <c r="I71"/>
  <c r="H71"/>
  <c r="I70"/>
  <c r="I69"/>
  <c r="I68"/>
  <c r="I67"/>
  <c r="I66"/>
  <c r="I65"/>
  <c r="H65"/>
  <c r="H64"/>
  <c r="I62"/>
  <c r="I60"/>
  <c r="H60"/>
  <c r="I57"/>
  <c r="I56"/>
  <c r="H56"/>
  <c r="I52"/>
  <c r="H52"/>
  <c r="H51"/>
  <c r="H50"/>
  <c r="H49"/>
  <c r="I48"/>
  <c r="H47"/>
  <c r="H46"/>
  <c r="H45"/>
  <c r="H44"/>
  <c r="I41"/>
  <c r="H41"/>
  <c r="I40"/>
  <c r="I39"/>
  <c r="I38"/>
  <c r="I37"/>
  <c r="I36"/>
  <c r="H36"/>
  <c r="H34"/>
  <c r="H33"/>
  <c r="I114" l="1"/>
  <c r="H48"/>
  <c r="H66"/>
  <c r="H70"/>
  <c r="H68"/>
  <c r="H57"/>
  <c r="H39"/>
  <c r="H37"/>
  <c r="H38"/>
  <c r="H40"/>
  <c r="H62"/>
  <c r="H67"/>
  <c r="H69"/>
  <c r="H86"/>
  <c r="H87"/>
  <c r="H88" s="1"/>
  <c r="H83" l="1"/>
  <c r="I52" i="25" l="1"/>
  <c r="H80"/>
  <c r="H78"/>
  <c r="H75"/>
  <c r="H74"/>
  <c r="H73"/>
  <c r="I71"/>
  <c r="H71"/>
  <c r="F70"/>
  <c r="H70" s="1"/>
  <c r="F69"/>
  <c r="I69" s="1"/>
  <c r="F68"/>
  <c r="H68" s="1"/>
  <c r="F67"/>
  <c r="I67" s="1"/>
  <c r="F66"/>
  <c r="H66" s="1"/>
  <c r="I65"/>
  <c r="H65"/>
  <c r="H64"/>
  <c r="I62"/>
  <c r="I61"/>
  <c r="H61"/>
  <c r="F59"/>
  <c r="H59" s="1"/>
  <c r="I58"/>
  <c r="H58"/>
  <c r="F57"/>
  <c r="I57" s="1"/>
  <c r="H53"/>
  <c r="H52"/>
  <c r="I51"/>
  <c r="I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74" i="24"/>
  <c r="H90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3"/>
  <c r="I88" s="1"/>
  <c r="I62"/>
  <c r="H62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3" i="23"/>
  <c r="H81"/>
  <c r="H78"/>
  <c r="H77"/>
  <c r="H75"/>
  <c r="I71"/>
  <c r="H71"/>
  <c r="H70"/>
  <c r="I69"/>
  <c r="H68"/>
  <c r="I67"/>
  <c r="H66"/>
  <c r="I65"/>
  <c r="H65"/>
  <c r="H64"/>
  <c r="I62"/>
  <c r="I61"/>
  <c r="H61"/>
  <c r="F59"/>
  <c r="H59" s="1"/>
  <c r="I58"/>
  <c r="H58"/>
  <c r="F57"/>
  <c r="I57" s="1"/>
  <c r="I53"/>
  <c r="F53"/>
  <c r="H53" s="1"/>
  <c r="H52"/>
  <c r="F51"/>
  <c r="F50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79" i="22"/>
  <c r="H77"/>
  <c r="H75"/>
  <c r="H74"/>
  <c r="H73"/>
  <c r="I71"/>
  <c r="H71"/>
  <c r="H70"/>
  <c r="I69"/>
  <c r="H68"/>
  <c r="I67"/>
  <c r="H66"/>
  <c r="I65"/>
  <c r="H65"/>
  <c r="H64"/>
  <c r="H62"/>
  <c r="I62"/>
  <c r="I61"/>
  <c r="H61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8" i="21"/>
  <c r="H82"/>
  <c r="H80"/>
  <c r="H77"/>
  <c r="H76"/>
  <c r="H75"/>
  <c r="I71"/>
  <c r="H71"/>
  <c r="H70"/>
  <c r="I69"/>
  <c r="H68"/>
  <c r="I67"/>
  <c r="H66"/>
  <c r="I65"/>
  <c r="H65"/>
  <c r="H64"/>
  <c r="F62"/>
  <c r="I61"/>
  <c r="H61"/>
  <c r="F59"/>
  <c r="H59" s="1"/>
  <c r="I58"/>
  <c r="H58"/>
  <c r="F57"/>
  <c r="I57" s="1"/>
  <c r="H53"/>
  <c r="H52"/>
  <c r="H51"/>
  <c r="H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32"/>
  <c r="H31"/>
  <c r="I30"/>
  <c r="H29"/>
  <c r="H24"/>
  <c r="H23"/>
  <c r="H22"/>
  <c r="H20"/>
  <c r="H19"/>
  <c r="I84" i="20"/>
  <c r="H84"/>
  <c r="H82"/>
  <c r="H79"/>
  <c r="H78"/>
  <c r="H77"/>
  <c r="I73"/>
  <c r="H73"/>
  <c r="F72"/>
  <c r="H72" s="1"/>
  <c r="F71"/>
  <c r="I71" s="1"/>
  <c r="F70"/>
  <c r="H70" s="1"/>
  <c r="F69"/>
  <c r="I69" s="1"/>
  <c r="F68"/>
  <c r="H68" s="1"/>
  <c r="I67"/>
  <c r="H67"/>
  <c r="H66"/>
  <c r="I63"/>
  <c r="H63"/>
  <c r="F60"/>
  <c r="H60" s="1"/>
  <c r="I59"/>
  <c r="H59"/>
  <c r="F58"/>
  <c r="I58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2"/>
  <c r="I32" s="1"/>
  <c r="F31"/>
  <c r="H31" s="1"/>
  <c r="F30"/>
  <c r="I30" s="1"/>
  <c r="F29"/>
  <c r="H29" s="1"/>
  <c r="H83" i="19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H60"/>
  <c r="I59"/>
  <c r="H59"/>
  <c r="F58"/>
  <c r="I58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3"/>
  <c r="I42"/>
  <c r="H41"/>
  <c r="I40"/>
  <c r="H39"/>
  <c r="I38"/>
  <c r="H38"/>
  <c r="H37"/>
  <c r="H35"/>
  <c r="H34"/>
  <c r="H33"/>
  <c r="F33"/>
  <c r="I33" s="1"/>
  <c r="F32"/>
  <c r="I32" s="1"/>
  <c r="F31"/>
  <c r="H31" s="1"/>
  <c r="F30"/>
  <c r="I30" s="1"/>
  <c r="F29"/>
  <c r="H29" s="1"/>
  <c r="H50" i="23" l="1"/>
  <c r="I50"/>
  <c r="H51"/>
  <c r="I51"/>
  <c r="H50" i="25"/>
  <c r="H51"/>
  <c r="H38"/>
  <c r="H62"/>
  <c r="I48"/>
  <c r="I46"/>
  <c r="I47"/>
  <c r="I45"/>
  <c r="H67"/>
  <c r="H69"/>
  <c r="H57"/>
  <c r="H40"/>
  <c r="H42"/>
  <c r="H86"/>
  <c r="I41"/>
  <c r="I49"/>
  <c r="I59"/>
  <c r="I66"/>
  <c r="I68"/>
  <c r="I70"/>
  <c r="H68" i="24"/>
  <c r="H88"/>
  <c r="H38"/>
  <c r="H40"/>
  <c r="I41"/>
  <c r="H42"/>
  <c r="I49"/>
  <c r="H57"/>
  <c r="I59"/>
  <c r="H63"/>
  <c r="I67"/>
  <c r="I69"/>
  <c r="H70"/>
  <c r="I71"/>
  <c r="H62" i="23"/>
  <c r="H87"/>
  <c r="H38"/>
  <c r="H40"/>
  <c r="I41"/>
  <c r="H42"/>
  <c r="I49"/>
  <c r="H57"/>
  <c r="I59"/>
  <c r="I66"/>
  <c r="H67"/>
  <c r="I68"/>
  <c r="H69"/>
  <c r="I70"/>
  <c r="H87" i="22"/>
  <c r="H38"/>
  <c r="H40"/>
  <c r="I41"/>
  <c r="H42"/>
  <c r="I49"/>
  <c r="H57"/>
  <c r="I59"/>
  <c r="I66"/>
  <c r="H67"/>
  <c r="I68"/>
  <c r="H69"/>
  <c r="I70"/>
  <c r="H62" i="21"/>
  <c r="I22"/>
  <c r="I45"/>
  <c r="I47"/>
  <c r="H21"/>
  <c r="H32"/>
  <c r="H38"/>
  <c r="I23"/>
  <c r="I48"/>
  <c r="I46"/>
  <c r="H67"/>
  <c r="H69"/>
  <c r="H57"/>
  <c r="H42"/>
  <c r="H40"/>
  <c r="H30"/>
  <c r="H25"/>
  <c r="H86"/>
  <c r="I29"/>
  <c r="I31"/>
  <c r="I41"/>
  <c r="I49"/>
  <c r="I59"/>
  <c r="I66"/>
  <c r="I68"/>
  <c r="I70"/>
  <c r="I51" i="20"/>
  <c r="I52"/>
  <c r="H69"/>
  <c r="H71"/>
  <c r="I29"/>
  <c r="H30"/>
  <c r="I31"/>
  <c r="H32"/>
  <c r="I50"/>
  <c r="H58"/>
  <c r="H83" s="1"/>
  <c r="I60"/>
  <c r="I68"/>
  <c r="I70"/>
  <c r="I72"/>
  <c r="H88"/>
  <c r="H70" i="19"/>
  <c r="H30"/>
  <c r="H40"/>
  <c r="H63"/>
  <c r="H68"/>
  <c r="H32"/>
  <c r="H42"/>
  <c r="H58"/>
  <c r="H87"/>
  <c r="I29"/>
  <c r="I31"/>
  <c r="I41"/>
  <c r="I50"/>
  <c r="I60"/>
  <c r="I67"/>
  <c r="I69"/>
  <c r="I71"/>
  <c r="I112" i="25" l="1"/>
  <c r="I106" i="24"/>
  <c r="I105" i="23"/>
  <c r="I108" i="22"/>
  <c r="H81" i="21"/>
  <c r="I109"/>
  <c r="I99" i="19"/>
  <c r="H79" i="25"/>
  <c r="H79" i="24"/>
  <c r="H82" i="23"/>
  <c r="H78" i="22"/>
  <c r="I99" i="20"/>
  <c r="H82" i="19"/>
  <c r="I52" i="18" l="1"/>
  <c r="I85" l="1"/>
  <c r="I84"/>
  <c r="H82"/>
  <c r="H80"/>
  <c r="H77"/>
  <c r="H76"/>
  <c r="H75"/>
  <c r="I71"/>
  <c r="H71"/>
  <c r="F70"/>
  <c r="H70" s="1"/>
  <c r="F69"/>
  <c r="I69" s="1"/>
  <c r="F68"/>
  <c r="H68" s="1"/>
  <c r="F67"/>
  <c r="I67" s="1"/>
  <c r="F66"/>
  <c r="H66" s="1"/>
  <c r="I65"/>
  <c r="H65"/>
  <c r="H64"/>
  <c r="I62"/>
  <c r="I61"/>
  <c r="H61"/>
  <c r="H59"/>
  <c r="I58"/>
  <c r="H58"/>
  <c r="F57"/>
  <c r="H53"/>
  <c r="H52"/>
  <c r="F51"/>
  <c r="F50"/>
  <c r="H49"/>
  <c r="F48"/>
  <c r="H48" s="1"/>
  <c r="F47"/>
  <c r="H47" s="1"/>
  <c r="F46"/>
  <c r="H46" s="1"/>
  <c r="F45"/>
  <c r="H45" s="1"/>
  <c r="H42"/>
  <c r="I41"/>
  <c r="H40"/>
  <c r="I39"/>
  <c r="I38"/>
  <c r="H37"/>
  <c r="H35"/>
  <c r="H34"/>
  <c r="H33"/>
  <c r="F33"/>
  <c r="I33" s="1"/>
  <c r="F32"/>
  <c r="I32" s="1"/>
  <c r="F31"/>
  <c r="H31" s="1"/>
  <c r="F30"/>
  <c r="I30" s="1"/>
  <c r="F29"/>
  <c r="H29" s="1"/>
  <c r="H50" l="1"/>
  <c r="I50"/>
  <c r="H62"/>
  <c r="H51"/>
  <c r="I51"/>
  <c r="I29"/>
  <c r="H30"/>
  <c r="I31"/>
  <c r="H32"/>
  <c r="H38"/>
  <c r="H39"/>
  <c r="I40"/>
  <c r="H41"/>
  <c r="I49"/>
  <c r="H57"/>
  <c r="I59"/>
  <c r="I66"/>
  <c r="H67"/>
  <c r="I68"/>
  <c r="H69"/>
  <c r="I70"/>
  <c r="H84"/>
  <c r="H85"/>
  <c r="H86" s="1"/>
  <c r="I72" i="17"/>
  <c r="I85"/>
  <c r="H83"/>
  <c r="H81"/>
  <c r="H78"/>
  <c r="H77"/>
  <c r="H76"/>
  <c r="H72"/>
  <c r="F71"/>
  <c r="H71" s="1"/>
  <c r="F70"/>
  <c r="H70" s="1"/>
  <c r="F69"/>
  <c r="H69" s="1"/>
  <c r="F68"/>
  <c r="H68" s="1"/>
  <c r="F67"/>
  <c r="H67" s="1"/>
  <c r="I66"/>
  <c r="H66"/>
  <c r="H65"/>
  <c r="I63"/>
  <c r="I62"/>
  <c r="H62"/>
  <c r="I59"/>
  <c r="H59"/>
  <c r="F58"/>
  <c r="I58" s="1"/>
  <c r="I54"/>
  <c r="F54"/>
  <c r="H54" s="1"/>
  <c r="H53"/>
  <c r="F52"/>
  <c r="H52" s="1"/>
  <c r="F51"/>
  <c r="H51" s="1"/>
  <c r="I50"/>
  <c r="F49"/>
  <c r="H49" s="1"/>
  <c r="F48"/>
  <c r="H48" s="1"/>
  <c r="F47"/>
  <c r="H47" s="1"/>
  <c r="F46"/>
  <c r="H46" s="1"/>
  <c r="H44"/>
  <c r="I43"/>
  <c r="I41"/>
  <c r="H40"/>
  <c r="I39"/>
  <c r="I38"/>
  <c r="H38"/>
  <c r="H37"/>
  <c r="H35"/>
  <c r="H34"/>
  <c r="I26"/>
  <c r="H33"/>
  <c r="F33"/>
  <c r="I33" s="1"/>
  <c r="F32"/>
  <c r="H32" s="1"/>
  <c r="F31"/>
  <c r="H31" s="1"/>
  <c r="F30"/>
  <c r="H30" s="1"/>
  <c r="F29"/>
  <c r="H29" s="1"/>
  <c r="F25"/>
  <c r="I25" s="1"/>
  <c r="F24"/>
  <c r="I24" s="1"/>
  <c r="F23"/>
  <c r="H23" s="1"/>
  <c r="F22"/>
  <c r="H22" s="1"/>
  <c r="F21"/>
  <c r="I21" s="1"/>
  <c r="F20"/>
  <c r="I20" s="1"/>
  <c r="F19"/>
  <c r="H19" s="1"/>
  <c r="I17"/>
  <c r="I16"/>
  <c r="I104" i="18" l="1"/>
  <c r="H60" i="17"/>
  <c r="I60"/>
  <c r="H81" i="18"/>
  <c r="I70" i="17"/>
  <c r="I68"/>
  <c r="I67"/>
  <c r="I71"/>
  <c r="I69"/>
  <c r="I29"/>
  <c r="I32"/>
  <c r="I31"/>
  <c r="I30"/>
  <c r="H43"/>
  <c r="H50"/>
  <c r="H17"/>
  <c r="H24"/>
  <c r="H39"/>
  <c r="H20"/>
  <c r="H41"/>
  <c r="H85"/>
  <c r="I86"/>
  <c r="H86"/>
  <c r="H87" s="1"/>
  <c r="H16"/>
  <c r="H18"/>
  <c r="H21"/>
  <c r="H25"/>
  <c r="H26"/>
  <c r="H42"/>
  <c r="H58"/>
  <c r="H82" s="1"/>
  <c r="I87" l="1"/>
  <c r="I102" s="1"/>
</calcChain>
</file>

<file path=xl/sharedStrings.xml><?xml version="1.0" encoding="utf-8"?>
<sst xmlns="http://schemas.openxmlformats.org/spreadsheetml/2006/main" count="2978" uniqueCount="350">
  <si>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</si>
  <si>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</si>
  <si>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</si>
  <si>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</si>
  <si>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</si>
  <si>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</si>
  <si>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</si>
  <si>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</si>
  <si>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</si>
  <si>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</si>
  <si>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</si>
  <si>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</si>
  <si>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</si>
  <si>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</si>
  <si>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</si>
  <si>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</si>
  <si>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</si>
  <si>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</si>
  <si>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</si>
  <si>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</si>
  <si>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</si>
  <si>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</si>
  <si>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</si>
  <si>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</si>
  <si>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</si>
  <si>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</si>
  <si>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</si>
  <si>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</si>
  <si>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</si>
  <si>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</si>
  <si>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</si>
  <si>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</si>
  <si>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</si>
  <si>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</si>
  <si>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</si>
  <si>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</si>
  <si>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</si>
  <si>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</si>
  <si>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</si>
  <si>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</si>
  <si>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</si>
  <si>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</si>
  <si>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</si>
  <si>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</si>
  <si>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</si>
  <si>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</si>
  <si>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</si>
  <si>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</si>
  <si>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</si>
  <si>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</si>
  <si>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</si>
  <si>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</si>
  <si>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</si>
  <si>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</si>
  <si>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</si>
  <si>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</si>
  <si>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</si>
  <si>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</si>
  <si>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</si>
  <si>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</si>
  <si>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</si>
  <si>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</si>
  <si>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</si>
  <si>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</si>
  <si>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</si>
  <si>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</si>
  <si>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</si>
  <si>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</si>
  <si>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</si>
  <si>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</si>
  <si>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</si>
  <si>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</si>
  <si>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</si>
  <si>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</si>
  <si>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</si>
  <si>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</si>
  <si>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</si>
  <si>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</si>
  <si>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</si>
  <si>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</si>
  <si>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</si>
  <si>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</si>
  <si>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</si>
  <si>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</si>
  <si>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</si>
  <si>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</si>
  <si>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</si>
  <si>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</si>
  <si>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</si>
  <si>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</si>
  <si>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</si>
  <si>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</si>
  <si>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</si>
  <si>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</si>
  <si>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</si>
  <si>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</si>
  <si>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</si>
  <si>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</si>
  <si>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</si>
  <si>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</si>
  <si>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</si>
  <si>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</si>
  <si>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</si>
  <si>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</si>
  <si>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</si>
  <si>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</si>
  <si>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</si>
  <si>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</si>
  <si>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</si>
  <si>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</si>
  <si>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</si>
  <si>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</si>
  <si>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</si>
  <si>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</si>
  <si>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</si>
  <si>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</si>
  <si>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</si>
  <si>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</si>
  <si>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 xml:space="preserve">1 раз в месяц 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</si>
  <si>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</si>
  <si>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</si>
  <si>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</si>
  <si>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</si>
  <si>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</si>
  <si>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</si>
  <si>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</si>
  <si>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</si>
  <si>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</si>
  <si>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</si>
  <si>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</si>
  <si>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</si>
  <si>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</si>
  <si>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</si>
  <si>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>Внеплановый осмотр электросетей, армазуры и электрооборудования на лестничных клетках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</si>
  <si>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</si>
  <si>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генеральный директор Куканов Ю.Л.</t>
  </si>
  <si>
    <t>IV. Прочие услуги</t>
  </si>
  <si>
    <t>III. Содержание общего имущества МКД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</si>
  <si>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</si>
  <si>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</si>
  <si>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</si>
  <si>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</si>
  <si>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</si>
  <si>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</si>
  <si>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</si>
  <si>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шт</t>
  </si>
  <si>
    <t>5 раз в год</t>
  </si>
  <si>
    <t>Прочистка каналов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</si>
  <si>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</si>
  <si>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</si>
  <si>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</si>
  <si>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</si>
  <si>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</si>
  <si>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</si>
  <si>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</si>
  <si>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</si>
  <si>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</si>
  <si>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</si>
  <si>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t>Итого затраты за месяц</t>
  </si>
  <si>
    <t>10 м2</t>
  </si>
  <si>
    <t>52 раза в сезон</t>
  </si>
  <si>
    <t>78 раз за сезон</t>
  </si>
  <si>
    <t>АКТ №11</t>
  </si>
  <si>
    <t>АКТ №12</t>
  </si>
  <si>
    <t>Внеплановый осмотр вводных электрических щитков</t>
  </si>
  <si>
    <t>100шт</t>
  </si>
  <si>
    <t>м</t>
  </si>
  <si>
    <t>100 шт</t>
  </si>
  <si>
    <t>100 кв.</t>
  </si>
  <si>
    <t>Смена дверных приборов /замки навесные)</t>
  </si>
  <si>
    <t>ООО «Движение»</t>
  </si>
  <si>
    <t>Влажная протирка шкафов для шитов и слаботочных устройств</t>
  </si>
  <si>
    <t>по мере необходимости</t>
  </si>
  <si>
    <t>30 раз за сезон</t>
  </si>
  <si>
    <t>35 раз за сезон</t>
  </si>
  <si>
    <t>Очистка вручную от снега и наледи люков канализационных и водопроводных колодцев</t>
  </si>
  <si>
    <t>1 раз в месяц (5 раз за сезон)</t>
  </si>
  <si>
    <t>Осмотр маяков</t>
  </si>
  <si>
    <t>6 раз в год</t>
  </si>
  <si>
    <t>Работа автовышки</t>
  </si>
  <si>
    <t>маш-час</t>
  </si>
  <si>
    <t>Водоснабжение, канализация</t>
  </si>
  <si>
    <t>Техическое обслуживание внутренних сетей водопровода и канализации</t>
  </si>
  <si>
    <t>руб/м2 в мес</t>
  </si>
  <si>
    <t>Смена светодиодного светильника внутреннего освещения ( со стоимостью светильника)</t>
  </si>
  <si>
    <t>1шт</t>
  </si>
  <si>
    <t>Смена выключателей</t>
  </si>
  <si>
    <t>Смена светодиодного светильника наружного освещения</t>
  </si>
  <si>
    <t>Снятие показаний с общедомовых приборов учета электрической энергии и холодной воды</t>
  </si>
  <si>
    <t xml:space="preserve"> - прочистка каналов</t>
  </si>
  <si>
    <t>Муфта 32</t>
  </si>
  <si>
    <t>Работа ротенбергера</t>
  </si>
  <si>
    <t>час</t>
  </si>
  <si>
    <t>Ремонт штукатурки внутренних стен по камню и бетону цементно-известковым раствором площадью до 1 м2 толщиной слоя до 20 мм</t>
  </si>
  <si>
    <t>м.п.</t>
  </si>
  <si>
    <t>Смена арматуры - вентилей и клапанов обратных муфтовых диаметром до 20 мм ( без материалов)</t>
  </si>
  <si>
    <t>за период с 01.01.2019 г. по 31.01.2019 г.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</si>
  <si>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</si>
  <si>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01.12.2019 г. по 31.12.2019 г.</t>
  </si>
  <si>
    <t>Ремонт поверхности кирпичных стен при глубине заделки в 1 кирпич площадью в одном месте до 1 м2</t>
  </si>
  <si>
    <t>100 м шва</t>
  </si>
  <si>
    <t>Внеплановый осмотр деревянных заполнений проемов</t>
  </si>
  <si>
    <t>Заменили крестовину 100*100*50</t>
  </si>
  <si>
    <t>Прочистка канализационной сети внутренней</t>
  </si>
  <si>
    <t>Смена полипропиленовых канализационных труб Dу 100*2000</t>
  </si>
  <si>
    <t>Манжета 100</t>
  </si>
  <si>
    <t>Осмотр балконной перегородки</t>
  </si>
  <si>
    <t>Запенили отверстие монтажной пеной</t>
  </si>
  <si>
    <t>за период с 01.02.2019 г. по 28.02.2019 г.</t>
  </si>
  <si>
    <t>Ремонт и регулировка доводчика (со стоимостью доводчика)</t>
  </si>
  <si>
    <t>1шт.</t>
  </si>
  <si>
    <t>Смена полипропиленовых канализационных труб Dу 100*1000</t>
  </si>
  <si>
    <t xml:space="preserve">Смена полиэтиленовых канализационных труб диаметром до 100 мм </t>
  </si>
  <si>
    <t>Герметик</t>
  </si>
  <si>
    <t>Переход чугун-пластик 110</t>
  </si>
  <si>
    <t>Отвод 110-90</t>
  </si>
  <si>
    <t>Крестовина 110*110*50</t>
  </si>
  <si>
    <t>Хлор</t>
  </si>
  <si>
    <t>Внеплановый осмотр кровель из штучных материалов</t>
  </si>
  <si>
    <t>Смена внутренних трубопроводов на полипропиленовые трубы PN 25 Dу 25</t>
  </si>
  <si>
    <t>за период с 01.03.2019 г. по 31.03.2019 г.</t>
  </si>
  <si>
    <t>Смена внутренних трубопроводов на полипропиленовые трубы PN 25 Dу 20</t>
  </si>
  <si>
    <t>Смена арматуры - вентилей и клапанов обратных муфтовых диаметром до 20 мм</t>
  </si>
  <si>
    <t>Собрали канализационную трубу</t>
  </si>
  <si>
    <t>Установка хомута диаметрм до 50 мм</t>
  </si>
  <si>
    <t>за период с 01.04.2019 г. по 30.04.2019 г.</t>
  </si>
  <si>
    <t>Осмотр водопроводов, канализации, отопления в квартирах</t>
  </si>
  <si>
    <t>12 м (стояк ГВС с кв.85 до подвала)</t>
  </si>
  <si>
    <t>3м2</t>
  </si>
  <si>
    <t>Ремонт и регулировка доводчика (без стоимости доводчика)</t>
  </si>
  <si>
    <t>за период с 01.05.2019 г. по 31.05.2019 г.</t>
  </si>
  <si>
    <t>При смене нескольких плавких вставок на одном щите добавлять на каждую последующую вставку</t>
  </si>
  <si>
    <t>Биосорбент</t>
  </si>
  <si>
    <t>кг</t>
  </si>
  <si>
    <t xml:space="preserve">Осмотр водопроводов, канализации, отопления </t>
  </si>
  <si>
    <t>Ревизия 110</t>
  </si>
  <si>
    <t>Ремонт силового предохранительного шкафа (без стоимости материалов)</t>
  </si>
  <si>
    <t>Патрубок компенсационный 110</t>
  </si>
  <si>
    <t>Заглушка 110</t>
  </si>
  <si>
    <t>Ремонт оконных рам</t>
  </si>
  <si>
    <t>за период с 01.06.2019 г. по 30.06.2019 г.</t>
  </si>
  <si>
    <t>Переход чугун-пластик 50</t>
  </si>
  <si>
    <t>Отвод 110-45</t>
  </si>
  <si>
    <t>Отвод 50-45</t>
  </si>
  <si>
    <t>Тройник 10*45</t>
  </si>
  <si>
    <t>Переход 110*50</t>
  </si>
  <si>
    <t>Манжета 110</t>
  </si>
  <si>
    <t>c/о до подвала 8м</t>
  </si>
  <si>
    <t>Организация 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</si>
  <si>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</si>
  <si>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</si>
  <si>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</si>
  <si>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</si>
  <si>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</si>
  <si>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</si>
  <si>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</si>
  <si>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7 раз</t>
  </si>
  <si>
    <t xml:space="preserve">2 раза </t>
  </si>
  <si>
    <t>1 раз</t>
  </si>
  <si>
    <t xml:space="preserve">1 раз </t>
  </si>
  <si>
    <t xml:space="preserve">1 раз  </t>
  </si>
  <si>
    <t xml:space="preserve">1 раз     </t>
  </si>
  <si>
    <t>за период с 01.07.2019 г. по 31.07.2019 г.</t>
  </si>
  <si>
    <t>4 шт</t>
  </si>
  <si>
    <t>Осмотр потолочной плиты</t>
  </si>
  <si>
    <t>Смена арматуры - вентилей и клапанов обратных муфтовых диаметром до 32 мм</t>
  </si>
  <si>
    <t>Смена внутренних трубопроводов диаметром до 32 мм (труба арм.32*5,4)</t>
  </si>
  <si>
    <t>Муфта разъемная 25*3/4 ВР</t>
  </si>
  <si>
    <t>Муфта разъемная 25*3/4 НР</t>
  </si>
  <si>
    <t>Пробка левая проходная 20</t>
  </si>
  <si>
    <t>Прочистка ливневки</t>
  </si>
  <si>
    <t>4 м</t>
  </si>
  <si>
    <t>6 м</t>
  </si>
  <si>
    <t>9,5 м</t>
  </si>
  <si>
    <t>за период с 01.08.2019 г. по 31.08.2019 г.</t>
  </si>
  <si>
    <t>2. Всего за период с 01.01.2019 по 31.01.2019 выполнено работ (оказано услуг) на общую сумму: 123402,79 руб.</t>
  </si>
  <si>
    <t>(сто двадцать три тысячи четыреста два рубля 79 копеек)</t>
  </si>
  <si>
    <t>2. Всего за период с 01.02.2019 по 28.02.2019 выполнено работ (оказано услуг) на общую сумму: 152091,72 руб.</t>
  </si>
  <si>
    <t>(сто пятьдесят две тысячи девяносто один рубль 72 копейки)</t>
  </si>
  <si>
    <t>2. Всего за период с 01.03.2019 по 31.03.2019 выполнено работ (оказано услуг) на общую сумму: 130627,75 руб.</t>
  </si>
  <si>
    <t>(сто тридцать тысяч шестьсот двадцать семь рублей 75 копеек)</t>
  </si>
  <si>
    <t>2. Всего за период с 01.04.2019 по 30.04.2019 выполнено работ (оказано услуг) на общую сумму: 135706,85 руб.</t>
  </si>
  <si>
    <t>(сто тридцать пять тысяч семьсот шесть рублей 85 копеек)</t>
  </si>
  <si>
    <t>2. Всего за период с 01.06.2019 по 30.06.2019 выполнено работ (оказано услуг) на общую сумму: 137191,64 руб.</t>
  </si>
  <si>
    <t>(сто тридцать семь тысяч сто девяносто один рубль 64 копейки)</t>
  </si>
  <si>
    <t>2. Всего за период с 01.07.2019 по 31.07.2019 выполнено работ (оказано услуг) на общую сумму: 319892,34 руб.</t>
  </si>
  <si>
    <t>(триста девятнадцать тысяч восемьсот девяносто два рубля 34 копейки)</t>
  </si>
  <si>
    <t>Муфта 110</t>
  </si>
  <si>
    <t>за период с 01.09.2019 г. по 30.09.2019 г.</t>
  </si>
  <si>
    <t>Материалы ( по заявлению)</t>
  </si>
  <si>
    <t>руб</t>
  </si>
  <si>
    <t>2. Всего за период с 01.05.2019 по 31.05.2019 выполнено работ (оказано услуг) на общую сумму: 177360,93 руб.</t>
  </si>
  <si>
    <t>(сто семьдесят семь тысяч триста шестьдесят рублей 93 копейки)</t>
  </si>
  <si>
    <t>чердак ( под.№1)</t>
  </si>
  <si>
    <t>23 шт</t>
  </si>
  <si>
    <t>3 маш/час</t>
  </si>
  <si>
    <t>Герметизация межпанельных швов</t>
  </si>
  <si>
    <t>2. Всего за период с 01.08.2019 по 31.08.2019 выполнено работ (оказано услуг) на общую сумму: 153300,24 руб.</t>
  </si>
  <si>
    <t>(сто пятьдесят три тысячи триста рублей 24 копейки)</t>
  </si>
  <si>
    <t>Смена радиаторов отопительных чугунных (без стоимости радиаторов) (кв.93)</t>
  </si>
  <si>
    <t>Радиатор 7 секции</t>
  </si>
  <si>
    <t>с чердака до 5 эт</t>
  </si>
  <si>
    <t>Смена полиэтиленовых канализационных труб диаметром до 50 мм</t>
  </si>
  <si>
    <t>кв.93; кв 8-12</t>
  </si>
  <si>
    <t>16 м с 4 эт до чердака (ГВС); кв8-12</t>
  </si>
  <si>
    <t>с чердака до 5 эт; кв 12</t>
  </si>
  <si>
    <t>Заглушка 50</t>
  </si>
  <si>
    <t>2. Всего за период с 01.09.2019 по 30.09.2019 выполнено работ (оказано услуг) на общую сумму: 226395,18 руб.</t>
  </si>
  <si>
    <t>(двести двадцать шесть тысяч триста девяносто пять рублей 18 копеек )</t>
  </si>
  <si>
    <t>за период с 01.10.2019 г. по 31.10.2019 г.</t>
  </si>
  <si>
    <t>Восстановление керамической плитки</t>
  </si>
  <si>
    <t>10 плиток</t>
  </si>
  <si>
    <t>Отвод 50-90</t>
  </si>
  <si>
    <t>Ткойник 100*50</t>
  </si>
  <si>
    <t>лежак в подвале</t>
  </si>
  <si>
    <t>кв.12 ГВС</t>
  </si>
  <si>
    <t>шахта после работ ВДИС кв.12</t>
  </si>
  <si>
    <t>кв.12</t>
  </si>
  <si>
    <t>ГВС подвал-3шт.</t>
  </si>
  <si>
    <t>ГВС 4м с 5эт.по 3 эт.</t>
  </si>
  <si>
    <t>под.№6</t>
  </si>
  <si>
    <t>кв.95</t>
  </si>
  <si>
    <t>кв.14; подвал.ГВС</t>
  </si>
  <si>
    <t>кв.66</t>
  </si>
  <si>
    <t>ГВС подвал-4шт, кв 16-1шт</t>
  </si>
  <si>
    <t>2 под.</t>
  </si>
  <si>
    <t>под.№5, 1</t>
  </si>
  <si>
    <t>2. Всего за период с 01.10.2019 по 31.10.2019 выполнено работ (оказано услуг) на общую сумму: 150705,62 руб.</t>
  </si>
  <si>
    <t>(сто пятьдесят тысяч семьсот пять рублей 62 копейки)</t>
  </si>
  <si>
    <t>Демонтаж кафельной плитки</t>
  </si>
  <si>
    <t>за период с 01.11.2019 г. по 30.11.2019 г.</t>
  </si>
  <si>
    <t xml:space="preserve">Вывертывание и ввертывание радиаторной пробки.   </t>
  </si>
  <si>
    <t>1 пробка</t>
  </si>
  <si>
    <t xml:space="preserve">Смена сгонов у трубопроводов диаметром до 20 мм </t>
  </si>
  <si>
    <t>1 сгон</t>
  </si>
  <si>
    <t>Закрыли продухи</t>
  </si>
  <si>
    <t>подвал</t>
  </si>
  <si>
    <t>кв.58</t>
  </si>
  <si>
    <t>кв.117</t>
  </si>
  <si>
    <t>66шт.+3 шт</t>
  </si>
  <si>
    <t>ГВС подвал; ГВС кв.47; кв 24-полотенцесушитель</t>
  </si>
  <si>
    <t>ГВС подвал.-3 шт</t>
  </si>
  <si>
    <t>кв.58-2шт.; ГВС подвал-1 шт, ГВС подвал</t>
  </si>
  <si>
    <t>2. Всего за период с 01.11.2019 по 30.11.2019 выполнено работ (оказано услуг) на общую сумму: 127812,55 руб.</t>
  </si>
  <si>
    <t>(сто двадцать семь тысяч восемьсот двенадцать рублей 55 копеек)</t>
  </si>
  <si>
    <t>Разборка оснований покрытия полов - простильных полов</t>
  </si>
  <si>
    <t>ХВС,кв.86</t>
  </si>
  <si>
    <t>подвал под 5 под.</t>
  </si>
  <si>
    <t>2. Всего за период с 01.12.2019 по 31.12.2019 выполнено работ (оказано услуг) на общую сумму: 125745,75 руб.</t>
  </si>
  <si>
    <t>(сто двадцать пять тысяч семьсот сорок пять рублей 75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</si>
</sst>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4" fontId="20" fillId="2" borderId="11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/>
    </xf>
    <xf numFmtId="4" fontId="22" fillId="4" borderId="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4" fontId="11" fillId="0" borderId="2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J110" sqref="J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141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196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43496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6.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6.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6.5" customHeight="1">
      <c r="A18" s="32">
        <v>3</v>
      </c>
      <c r="B18" s="113" t="s">
        <v>116</v>
      </c>
      <c r="C18" s="114" t="s">
        <v>85</v>
      </c>
      <c r="D18" s="113" t="s">
        <v>258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142</v>
      </c>
      <c r="I36" s="13"/>
      <c r="J36" s="26"/>
    </row>
    <row r="37" spans="1:14" ht="15.75" customHeight="1">
      <c r="A37" s="32">
        <v>5</v>
      </c>
      <c r="B37" s="160" t="s">
        <v>26</v>
      </c>
      <c r="C37" s="114" t="s">
        <v>32</v>
      </c>
      <c r="D37" s="113"/>
      <c r="E37" s="148"/>
      <c r="F37" s="149">
        <v>5</v>
      </c>
      <c r="G37" s="149">
        <v>2083</v>
      </c>
      <c r="H37" s="75">
        <f t="shared" ref="H37:H44" si="3">SUM(F37*G37/1000)</f>
        <v>10.414999999999999</v>
      </c>
      <c r="I37" s="13">
        <f>G37*0.8</f>
        <v>1666.4</v>
      </c>
      <c r="J37" s="26"/>
    </row>
    <row r="38" spans="1:14" ht="15.75" customHeight="1">
      <c r="A38" s="32">
        <v>6</v>
      </c>
      <c r="B38" s="160" t="s">
        <v>105</v>
      </c>
      <c r="C38" s="161" t="s">
        <v>29</v>
      </c>
      <c r="D38" s="113" t="s">
        <v>253</v>
      </c>
      <c r="E38" s="148">
        <v>153</v>
      </c>
      <c r="F38" s="162">
        <f>E38*30/1000</f>
        <v>4.59</v>
      </c>
      <c r="G38" s="149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3" t="s">
        <v>66</v>
      </c>
      <c r="C39" s="114" t="s">
        <v>29</v>
      </c>
      <c r="D39" s="113" t="s">
        <v>254</v>
      </c>
      <c r="E39" s="149">
        <v>153</v>
      </c>
      <c r="F39" s="162">
        <f>SUM(E39*155/1000)</f>
        <v>23.715</v>
      </c>
      <c r="G39" s="149">
        <v>478.42</v>
      </c>
      <c r="H39" s="75">
        <f>G39*F39/1000</f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15.75" hidden="1" customHeight="1">
      <c r="A40" s="32"/>
      <c r="B40" s="71" t="s">
        <v>123</v>
      </c>
      <c r="C40" s="72" t="s">
        <v>124</v>
      </c>
      <c r="D40" s="71" t="s">
        <v>65</v>
      </c>
      <c r="E40" s="73"/>
      <c r="F40" s="74">
        <v>50</v>
      </c>
      <c r="G40" s="74">
        <v>213.2</v>
      </c>
      <c r="H40" s="75">
        <f>G40*F40/1000</f>
        <v>10.66</v>
      </c>
      <c r="I40" s="13">
        <v>0</v>
      </c>
      <c r="J40" s="26"/>
      <c r="L40" s="19"/>
      <c r="M40" s="20"/>
      <c r="N40" s="21"/>
    </row>
    <row r="41" spans="1:14" ht="45.75" customHeight="1">
      <c r="A41" s="32">
        <v>8</v>
      </c>
      <c r="B41" s="113" t="s">
        <v>81</v>
      </c>
      <c r="C41" s="114" t="s">
        <v>87</v>
      </c>
      <c r="D41" s="113" t="s">
        <v>255</v>
      </c>
      <c r="E41" s="149">
        <v>25</v>
      </c>
      <c r="F41" s="162">
        <f>SUM(E41*35/1000)</f>
        <v>0.875</v>
      </c>
      <c r="G41" s="149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6.5" customHeight="1">
      <c r="A42" s="32">
        <v>9</v>
      </c>
      <c r="B42" s="113" t="s">
        <v>88</v>
      </c>
      <c r="C42" s="114" t="s">
        <v>87</v>
      </c>
      <c r="D42" s="113" t="s">
        <v>256</v>
      </c>
      <c r="E42" s="149">
        <v>153</v>
      </c>
      <c r="F42" s="162">
        <f>SUM(E42*45/1000)</f>
        <v>6.8849999999999998</v>
      </c>
      <c r="G42" s="149">
        <v>584.74</v>
      </c>
      <c r="H42" s="75">
        <f t="shared" si="3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customHeight="1">
      <c r="A43" s="32">
        <v>10</v>
      </c>
      <c r="B43" s="160" t="s">
        <v>68</v>
      </c>
      <c r="C43" s="161" t="s">
        <v>33</v>
      </c>
      <c r="D43" s="160"/>
      <c r="E43" s="151"/>
      <c r="F43" s="162">
        <v>0.9</v>
      </c>
      <c r="G43" s="162">
        <v>800</v>
      </c>
      <c r="H43" s="75">
        <f t="shared" si="3"/>
        <v>0.72</v>
      </c>
      <c r="I43" s="13">
        <f>F43/7.5*G43</f>
        <v>96.000000000000014</v>
      </c>
      <c r="J43" s="26"/>
      <c r="L43" s="19"/>
      <c r="M43" s="20"/>
      <c r="N43" s="21"/>
    </row>
    <row r="44" spans="1:14" ht="33" customHeight="1">
      <c r="A44" s="32">
        <v>11</v>
      </c>
      <c r="B44" s="160" t="s">
        <v>175</v>
      </c>
      <c r="C44" s="161" t="s">
        <v>29</v>
      </c>
      <c r="D44" s="160" t="s">
        <v>257</v>
      </c>
      <c r="E44" s="151">
        <v>4.2</v>
      </c>
      <c r="F44" s="162">
        <f>E44*12/1000</f>
        <v>5.0400000000000007E-2</v>
      </c>
      <c r="G44" s="162">
        <v>270.61</v>
      </c>
      <c r="H44" s="75">
        <f t="shared" si="3"/>
        <v>1.3638744000000003E-2</v>
      </c>
      <c r="I44" s="13">
        <f>F44/6*G44</f>
        <v>2.2731240000000006</v>
      </c>
      <c r="J44" s="26"/>
      <c r="L44" s="19"/>
      <c r="M44" s="20"/>
      <c r="N44" s="21"/>
    </row>
    <row r="45" spans="1:14" ht="15" customHeight="1">
      <c r="A45" s="215" t="s">
        <v>138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13" t="s">
        <v>55</v>
      </c>
      <c r="C50" s="114" t="s">
        <v>87</v>
      </c>
      <c r="D50" s="113" t="s">
        <v>258</v>
      </c>
      <c r="E50" s="148">
        <v>3988</v>
      </c>
      <c r="F50" s="149">
        <f>SUM(E50*5/1000)</f>
        <v>19.940000000000001</v>
      </c>
      <c r="G50" s="36">
        <v>1655.27</v>
      </c>
      <c r="H50" s="75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8.75" hidden="1" customHeight="1">
      <c r="A54" s="32">
        <v>18</v>
      </c>
      <c r="B54" s="71" t="s">
        <v>41</v>
      </c>
      <c r="C54" s="72" t="s">
        <v>106</v>
      </c>
      <c r="D54" s="71" t="s">
        <v>69</v>
      </c>
      <c r="E54" s="73">
        <v>236</v>
      </c>
      <c r="F54" s="74">
        <f>SUM(E54)*3</f>
        <v>708</v>
      </c>
      <c r="G54" s="13">
        <v>65.67</v>
      </c>
      <c r="H54" s="75">
        <f t="shared" si="4"/>
        <v>46.49436</v>
      </c>
      <c r="I54" s="13">
        <f>E54*G54</f>
        <v>15498.12</v>
      </c>
      <c r="J54" s="26"/>
      <c r="L54" s="19"/>
      <c r="M54" s="20"/>
      <c r="N54" s="21"/>
    </row>
    <row r="55" spans="1:22" ht="18.75" customHeight="1">
      <c r="A55" s="121">
        <v>13</v>
      </c>
      <c r="B55" s="113" t="s">
        <v>177</v>
      </c>
      <c r="C55" s="114" t="s">
        <v>106</v>
      </c>
      <c r="D55" s="113" t="s">
        <v>259</v>
      </c>
      <c r="E55" s="148">
        <v>5</v>
      </c>
      <c r="F55" s="149">
        <v>60</v>
      </c>
      <c r="G55" s="154">
        <v>903.71</v>
      </c>
      <c r="H55" s="66"/>
      <c r="I55" s="122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139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19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customHeight="1">
      <c r="A60" s="32">
        <v>14</v>
      </c>
      <c r="B60" s="107" t="s">
        <v>130</v>
      </c>
      <c r="C60" s="108" t="s">
        <v>52</v>
      </c>
      <c r="D60" s="107" t="s">
        <v>258</v>
      </c>
      <c r="E60" s="109">
        <v>6</v>
      </c>
      <c r="F60" s="112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15</v>
      </c>
      <c r="B63" s="107" t="s">
        <v>132</v>
      </c>
      <c r="C63" s="108" t="s">
        <v>25</v>
      </c>
      <c r="D63" s="107" t="s">
        <v>259</v>
      </c>
      <c r="E63" s="109">
        <v>200</v>
      </c>
      <c r="F63" s="110">
        <f>E63*12</f>
        <v>2400</v>
      </c>
      <c r="G63" s="111">
        <v>1.4</v>
      </c>
      <c r="H63" s="112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20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3">
        <v>222.4</v>
      </c>
      <c r="H65" s="86">
        <f t="shared" ref="H65:H81" si="5">SUM(F65*G65/1000)</f>
        <v>3.3359999999999999</v>
      </c>
      <c r="I65" s="13">
        <f>G65*5</f>
        <v>1112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2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22.5" customHeight="1">
      <c r="A73" s="32"/>
      <c r="B73" s="175" t="s">
        <v>181</v>
      </c>
      <c r="C73" s="156"/>
      <c r="D73" s="39"/>
      <c r="E73" s="17"/>
      <c r="F73" s="111"/>
      <c r="G73" s="36"/>
      <c r="H73" s="86"/>
      <c r="I73" s="13"/>
    </row>
    <row r="74" spans="1:21" ht="27.75" customHeight="1">
      <c r="A74" s="32">
        <v>16</v>
      </c>
      <c r="B74" s="39" t="s">
        <v>182</v>
      </c>
      <c r="C74" s="158" t="s">
        <v>183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4.25" customHeight="1">
      <c r="A75" s="32"/>
      <c r="B75" s="174" t="s">
        <v>70</v>
      </c>
      <c r="C75" s="16"/>
      <c r="D75" s="14"/>
      <c r="E75" s="18"/>
      <c r="F75" s="13"/>
      <c r="G75" s="13"/>
      <c r="H75" s="86" t="s">
        <v>142</v>
      </c>
      <c r="I75" s="13"/>
    </row>
    <row r="76" spans="1:21" ht="23.25" hidden="1" customHeight="1">
      <c r="A76" s="32"/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v>0</v>
      </c>
    </row>
    <row r="77" spans="1:21" ht="23.2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2.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8.5" customHeight="1">
      <c r="A79" s="32">
        <v>17</v>
      </c>
      <c r="B79" s="39" t="s">
        <v>188</v>
      </c>
      <c r="C79" s="156" t="s">
        <v>106</v>
      </c>
      <c r="D79" s="39" t="s">
        <v>259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2.5" hidden="1" customHeight="1">
      <c r="A80" s="32"/>
      <c r="B80" s="89" t="s">
        <v>74</v>
      </c>
      <c r="C80" s="16"/>
      <c r="D80" s="14"/>
      <c r="E80" s="18"/>
      <c r="F80" s="13"/>
      <c r="G80" s="13" t="s">
        <v>142</v>
      </c>
      <c r="H80" s="86" t="s">
        <v>142</v>
      </c>
      <c r="I80" s="13"/>
    </row>
    <row r="81" spans="1:9" ht="25.5" hidden="1" customHeight="1">
      <c r="A81" s="32"/>
      <c r="B81" s="47" t="s">
        <v>147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27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189.18586606</v>
      </c>
      <c r="I82" s="77"/>
    </row>
    <row r="83" spans="1:9" ht="23.2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140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18</v>
      </c>
      <c r="B85" s="113" t="s">
        <v>114</v>
      </c>
      <c r="C85" s="156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19</v>
      </c>
      <c r="B86" s="39" t="s">
        <v>76</v>
      </c>
      <c r="C86" s="156"/>
      <c r="D86" s="103"/>
      <c r="E86" s="148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I86+I85+I79+I74+I63+I60+I55+I50+I44+I43+I42+I41+I39+I38+I37+I26+I18+I17+I16</f>
        <v>117152.22500733334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31.5" customHeight="1">
      <c r="A89" s="32">
        <v>20</v>
      </c>
      <c r="B89" s="159" t="s">
        <v>199</v>
      </c>
      <c r="C89" s="158" t="s">
        <v>93</v>
      </c>
      <c r="D89" s="14"/>
      <c r="E89" s="18"/>
      <c r="F89" s="13">
        <v>3</v>
      </c>
      <c r="G89" s="36">
        <v>45187.4</v>
      </c>
      <c r="H89" s="86">
        <f t="shared" ref="H89:H98" si="7">G89*F89/1000</f>
        <v>135.56220000000002</v>
      </c>
      <c r="I89" s="13">
        <f>G89*0.01</f>
        <v>451.87400000000002</v>
      </c>
    </row>
    <row r="90" spans="1:9" ht="44.25" customHeight="1">
      <c r="A90" s="32">
        <v>21</v>
      </c>
      <c r="B90" s="51" t="s">
        <v>193</v>
      </c>
      <c r="C90" s="52" t="s">
        <v>159</v>
      </c>
      <c r="D90" s="14"/>
      <c r="E90" s="18"/>
      <c r="F90" s="13">
        <v>4</v>
      </c>
      <c r="G90" s="36">
        <v>11233.15</v>
      </c>
      <c r="H90" s="86">
        <f t="shared" si="7"/>
        <v>44.932600000000001</v>
      </c>
      <c r="I90" s="13">
        <f>G90*0.09</f>
        <v>1010.9834999999999</v>
      </c>
    </row>
    <row r="91" spans="1:9" ht="19.5" customHeight="1">
      <c r="A91" s="32">
        <v>22</v>
      </c>
      <c r="B91" s="51" t="s">
        <v>207</v>
      </c>
      <c r="C91" s="52" t="s">
        <v>200</v>
      </c>
      <c r="D91" s="47"/>
      <c r="E91" s="13"/>
      <c r="F91" s="13">
        <v>0.5</v>
      </c>
      <c r="G91" s="36">
        <v>22690.44</v>
      </c>
      <c r="H91" s="86">
        <f t="shared" si="7"/>
        <v>11.345219999999999</v>
      </c>
      <c r="I91" s="13">
        <f>G91*0.003</f>
        <v>68.07132</v>
      </c>
    </row>
    <row r="92" spans="1:9" ht="15.75" customHeight="1">
      <c r="A92" s="32">
        <v>23</v>
      </c>
      <c r="B92" s="51" t="s">
        <v>201</v>
      </c>
      <c r="C92" s="52" t="s">
        <v>29</v>
      </c>
      <c r="D92" s="14"/>
      <c r="E92" s="18"/>
      <c r="F92" s="13">
        <v>1</v>
      </c>
      <c r="G92" s="36">
        <v>830.69</v>
      </c>
      <c r="H92" s="86">
        <f t="shared" si="7"/>
        <v>0.83069000000000004</v>
      </c>
      <c r="I92" s="13">
        <f>G92*0.001175</f>
        <v>0.97606075000000014</v>
      </c>
    </row>
    <row r="93" spans="1:9" ht="15.75" customHeight="1">
      <c r="A93" s="32">
        <v>24</v>
      </c>
      <c r="B93" s="51" t="s">
        <v>202</v>
      </c>
      <c r="C93" s="52" t="s">
        <v>106</v>
      </c>
      <c r="D93" s="14"/>
      <c r="E93" s="18"/>
      <c r="F93" s="13">
        <v>2</v>
      </c>
      <c r="G93" s="36">
        <v>629.65</v>
      </c>
      <c r="H93" s="86">
        <f t="shared" si="7"/>
        <v>1.2592999999999999</v>
      </c>
      <c r="I93" s="13">
        <f>G93*1</f>
        <v>629.65</v>
      </c>
    </row>
    <row r="94" spans="1:9" ht="15.75" customHeight="1">
      <c r="A94" s="32">
        <v>25</v>
      </c>
      <c r="B94" s="51" t="s">
        <v>203</v>
      </c>
      <c r="C94" s="52" t="s">
        <v>166</v>
      </c>
      <c r="D94" s="14"/>
      <c r="E94" s="18"/>
      <c r="F94" s="13">
        <v>37</v>
      </c>
      <c r="G94" s="36">
        <v>273</v>
      </c>
      <c r="H94" s="86">
        <f t="shared" si="7"/>
        <v>10.101000000000001</v>
      </c>
      <c r="I94" s="91">
        <f>G94*3</f>
        <v>819</v>
      </c>
    </row>
    <row r="95" spans="1:9" ht="31.5" customHeight="1">
      <c r="A95" s="32">
        <v>26</v>
      </c>
      <c r="B95" s="51" t="s">
        <v>204</v>
      </c>
      <c r="C95" s="106" t="s">
        <v>106</v>
      </c>
      <c r="D95" s="14"/>
      <c r="E95" s="18"/>
      <c r="F95" s="13">
        <v>6</v>
      </c>
      <c r="G95" s="36">
        <v>1133.92</v>
      </c>
      <c r="H95" s="86">
        <f t="shared" si="7"/>
        <v>6.8035200000000007</v>
      </c>
      <c r="I95" s="13">
        <f>G95*2</f>
        <v>2267.84</v>
      </c>
    </row>
    <row r="96" spans="1:9" ht="15.75" customHeight="1">
      <c r="A96" s="32">
        <v>27</v>
      </c>
      <c r="B96" s="51" t="s">
        <v>205</v>
      </c>
      <c r="C96" s="106" t="s">
        <v>106</v>
      </c>
      <c r="D96" s="14"/>
      <c r="E96" s="18"/>
      <c r="F96" s="13">
        <f>6/3</f>
        <v>2</v>
      </c>
      <c r="G96" s="36">
        <v>27.36</v>
      </c>
      <c r="H96" s="86">
        <f t="shared" si="7"/>
        <v>5.4719999999999998E-2</v>
      </c>
      <c r="I96" s="91">
        <f>G96*1</f>
        <v>27.36</v>
      </c>
    </row>
    <row r="97" spans="1:9" ht="15.75" customHeight="1">
      <c r="A97" s="32">
        <v>28</v>
      </c>
      <c r="B97" s="51" t="s">
        <v>164</v>
      </c>
      <c r="C97" s="52" t="s">
        <v>165</v>
      </c>
      <c r="D97" s="14"/>
      <c r="E97" s="18"/>
      <c r="F97" s="13">
        <v>1</v>
      </c>
      <c r="G97" s="36">
        <v>8102.62</v>
      </c>
      <c r="H97" s="86">
        <f t="shared" si="7"/>
        <v>8.1026199999999999</v>
      </c>
      <c r="I97" s="91">
        <f>G97*0.01</f>
        <v>81.026200000000003</v>
      </c>
    </row>
    <row r="98" spans="1:9" ht="16.5" customHeight="1">
      <c r="A98" s="32">
        <v>29</v>
      </c>
      <c r="B98" s="51" t="s">
        <v>206</v>
      </c>
      <c r="C98" s="52" t="s">
        <v>29</v>
      </c>
      <c r="D98" s="47"/>
      <c r="E98" s="13"/>
      <c r="F98" s="13">
        <v>7</v>
      </c>
      <c r="G98" s="36">
        <v>869.86</v>
      </c>
      <c r="H98" s="86">
        <f t="shared" si="7"/>
        <v>6.0890200000000005</v>
      </c>
      <c r="I98" s="13">
        <f>G98*0.01</f>
        <v>8.6986000000000008</v>
      </c>
    </row>
    <row r="99" spans="1:9" ht="16.5" customHeight="1">
      <c r="A99" s="32">
        <v>30</v>
      </c>
      <c r="B99" s="115" t="s">
        <v>329</v>
      </c>
      <c r="C99" s="185" t="s">
        <v>54</v>
      </c>
      <c r="D99" s="16" t="s">
        <v>228</v>
      </c>
      <c r="E99" s="13"/>
      <c r="F99" s="13"/>
      <c r="G99" s="36">
        <v>295.02999999999997</v>
      </c>
      <c r="H99" s="86"/>
      <c r="I99" s="13">
        <f>G99*3</f>
        <v>885.08999999999992</v>
      </c>
    </row>
    <row r="100" spans="1:9" ht="15.75" customHeight="1">
      <c r="A100" s="32"/>
      <c r="B100" s="45" t="s">
        <v>51</v>
      </c>
      <c r="C100" s="41"/>
      <c r="D100" s="48"/>
      <c r="E100" s="41">
        <v>1</v>
      </c>
      <c r="F100" s="41"/>
      <c r="G100" s="41"/>
      <c r="H100" s="41"/>
      <c r="I100" s="34">
        <f>SUM(I89:I99)</f>
        <v>6250.5696807499999</v>
      </c>
    </row>
    <row r="101" spans="1:9">
      <c r="A101" s="32"/>
      <c r="B101" s="47" t="s">
        <v>77</v>
      </c>
      <c r="C101" s="15"/>
      <c r="D101" s="15"/>
      <c r="E101" s="42"/>
      <c r="F101" s="42"/>
      <c r="G101" s="43"/>
      <c r="H101" s="43"/>
      <c r="I101" s="17">
        <v>0</v>
      </c>
    </row>
    <row r="102" spans="1:9">
      <c r="A102" s="49"/>
      <c r="B102" s="46" t="s">
        <v>158</v>
      </c>
      <c r="C102" s="35"/>
      <c r="D102" s="35"/>
      <c r="E102" s="35"/>
      <c r="F102" s="35"/>
      <c r="G102" s="35"/>
      <c r="H102" s="35"/>
      <c r="I102" s="44">
        <f>I87+I100</f>
        <v>123402.79468808335</v>
      </c>
    </row>
    <row r="103" spans="1:9" ht="15.75">
      <c r="A103" s="222" t="s">
        <v>275</v>
      </c>
      <c r="B103" s="222"/>
      <c r="C103" s="222"/>
      <c r="D103" s="222"/>
      <c r="E103" s="222"/>
      <c r="F103" s="222"/>
      <c r="G103" s="222"/>
      <c r="H103" s="222"/>
      <c r="I103" s="222"/>
    </row>
    <row r="104" spans="1:9" ht="15.75" customHeight="1">
      <c r="A104" s="58"/>
      <c r="B104" s="223" t="s">
        <v>276</v>
      </c>
      <c r="C104" s="223"/>
      <c r="D104" s="223"/>
      <c r="E104" s="223"/>
      <c r="F104" s="223"/>
      <c r="G104" s="223"/>
      <c r="H104" s="70"/>
      <c r="I104" s="3"/>
    </row>
    <row r="105" spans="1:9">
      <c r="A105" s="55"/>
      <c r="B105" s="224" t="s">
        <v>6</v>
      </c>
      <c r="C105" s="224"/>
      <c r="D105" s="224"/>
      <c r="E105" s="224"/>
      <c r="F105" s="224"/>
      <c r="G105" s="224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25" t="s">
        <v>7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225" t="s">
        <v>8</v>
      </c>
      <c r="B108" s="225"/>
      <c r="C108" s="225"/>
      <c r="D108" s="225"/>
      <c r="E108" s="225"/>
      <c r="F108" s="225"/>
      <c r="G108" s="225"/>
      <c r="H108" s="225"/>
      <c r="I108" s="225"/>
    </row>
    <row r="109" spans="1:9" ht="15.75">
      <c r="A109" s="226" t="s">
        <v>60</v>
      </c>
      <c r="B109" s="226"/>
      <c r="C109" s="226"/>
      <c r="D109" s="226"/>
      <c r="E109" s="226"/>
      <c r="F109" s="226"/>
      <c r="G109" s="226"/>
      <c r="H109" s="226"/>
      <c r="I109" s="226"/>
    </row>
    <row r="110" spans="1:9" ht="15.75">
      <c r="A110" s="11"/>
    </row>
    <row r="111" spans="1:9" ht="15.75">
      <c r="A111" s="227" t="s">
        <v>9</v>
      </c>
      <c r="B111" s="227"/>
      <c r="C111" s="227"/>
      <c r="D111" s="227"/>
      <c r="E111" s="227"/>
      <c r="F111" s="227"/>
      <c r="G111" s="227"/>
      <c r="H111" s="227"/>
      <c r="I111" s="227"/>
    </row>
    <row r="112" spans="1:9" ht="15.75" customHeight="1">
      <c r="A112" s="4"/>
    </row>
    <row r="113" spans="1:9" ht="15.75" customHeight="1">
      <c r="B113" s="56" t="s">
        <v>10</v>
      </c>
      <c r="C113" s="228" t="s">
        <v>135</v>
      </c>
      <c r="D113" s="228"/>
      <c r="E113" s="228"/>
      <c r="F113" s="68"/>
      <c r="I113" s="54"/>
    </row>
    <row r="114" spans="1:9" ht="15.75" customHeight="1">
      <c r="A114" s="55"/>
      <c r="C114" s="224" t="s">
        <v>11</v>
      </c>
      <c r="D114" s="224"/>
      <c r="E114" s="224"/>
      <c r="F114" s="27"/>
      <c r="I114" s="53" t="s">
        <v>12</v>
      </c>
    </row>
    <row r="115" spans="1:9" ht="15.75" customHeight="1">
      <c r="A115" s="28"/>
      <c r="C115" s="12"/>
      <c r="D115" s="12"/>
      <c r="G115" s="12"/>
      <c r="H115" s="12"/>
    </row>
    <row r="116" spans="1:9" ht="15.75">
      <c r="B116" s="56" t="s">
        <v>13</v>
      </c>
      <c r="C116" s="229"/>
      <c r="D116" s="229"/>
      <c r="E116" s="229"/>
      <c r="F116" s="69"/>
      <c r="I116" s="54"/>
    </row>
    <row r="117" spans="1:9">
      <c r="A117" s="55"/>
      <c r="C117" s="218" t="s">
        <v>11</v>
      </c>
      <c r="D117" s="218"/>
      <c r="E117" s="218"/>
      <c r="F117" s="55"/>
      <c r="I117" s="53" t="s">
        <v>12</v>
      </c>
    </row>
    <row r="118" spans="1:9" ht="15.75">
      <c r="A118" s="4" t="s">
        <v>14</v>
      </c>
    </row>
    <row r="119" spans="1:9">
      <c r="A119" s="233" t="s">
        <v>15</v>
      </c>
      <c r="B119" s="233"/>
      <c r="C119" s="233"/>
      <c r="D119" s="233"/>
      <c r="E119" s="233"/>
      <c r="F119" s="233"/>
      <c r="G119" s="233"/>
      <c r="H119" s="233"/>
      <c r="I119" s="233"/>
    </row>
    <row r="120" spans="1:9" ht="45" customHeight="1">
      <c r="A120" s="234" t="s">
        <v>16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30" customHeight="1">
      <c r="A121" s="234" t="s">
        <v>17</v>
      </c>
      <c r="B121" s="234"/>
      <c r="C121" s="234"/>
      <c r="D121" s="234"/>
      <c r="E121" s="234"/>
      <c r="F121" s="234"/>
      <c r="G121" s="234"/>
      <c r="H121" s="234"/>
      <c r="I121" s="234"/>
    </row>
    <row r="122" spans="1:9" ht="30" customHeight="1">
      <c r="A122" s="234" t="s">
        <v>21</v>
      </c>
      <c r="B122" s="234"/>
      <c r="C122" s="234"/>
      <c r="D122" s="234"/>
      <c r="E122" s="234"/>
      <c r="F122" s="234"/>
      <c r="G122" s="234"/>
      <c r="H122" s="234"/>
      <c r="I122" s="234"/>
    </row>
    <row r="123" spans="1:9" ht="15" customHeight="1">
      <c r="A123" s="234" t="s">
        <v>20</v>
      </c>
      <c r="B123" s="234"/>
      <c r="C123" s="234"/>
      <c r="D123" s="234"/>
      <c r="E123" s="234"/>
      <c r="F123" s="234"/>
      <c r="G123" s="234"/>
      <c r="H123" s="234"/>
      <c r="I123" s="234"/>
    </row>
  </sheetData>
  <autoFilter ref="I12:I60"/>
  <mergeCells count="29">
    <mergeCell ref="A119:I119"/>
    <mergeCell ref="A120:I120"/>
    <mergeCell ref="A121:I121"/>
    <mergeCell ref="A122:I122"/>
    <mergeCell ref="A123:I123"/>
    <mergeCell ref="C117:E117"/>
    <mergeCell ref="A84:I84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8:I88"/>
    <mergeCell ref="A15:I15"/>
    <mergeCell ref="A27:I27"/>
    <mergeCell ref="A45:I45"/>
    <mergeCell ref="A56:I56"/>
    <mergeCell ref="R65:U6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5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156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309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43769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21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21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20.2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" hidden="1" customHeight="1">
      <c r="A31" s="32">
        <v>16</v>
      </c>
      <c r="B31" s="113" t="s">
        <v>27</v>
      </c>
      <c r="C31" s="114" t="s">
        <v>87</v>
      </c>
      <c r="D31" s="113" t="s">
        <v>53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27.75" hidden="1" customHeight="1">
      <c r="A33" s="32"/>
      <c r="B33" s="116" t="s">
        <v>63</v>
      </c>
      <c r="C33" s="117" t="s">
        <v>33</v>
      </c>
      <c r="D33" s="116" t="s">
        <v>172</v>
      </c>
      <c r="E33" s="118"/>
      <c r="F33" s="119">
        <v>2</v>
      </c>
      <c r="G33" s="119">
        <v>260.95</v>
      </c>
      <c r="H33" s="75">
        <f t="shared" ref="H33:H34" si="3">SUM(F33*G33/1000)</f>
        <v>0.52190000000000003</v>
      </c>
      <c r="I33" s="13">
        <v>0</v>
      </c>
      <c r="J33" s="26"/>
    </row>
    <row r="34" spans="1:14" ht="20.25" hidden="1" customHeight="1">
      <c r="A34" s="32"/>
      <c r="B34" s="116" t="s">
        <v>64</v>
      </c>
      <c r="C34" s="117" t="s">
        <v>32</v>
      </c>
      <c r="D34" s="116" t="s">
        <v>172</v>
      </c>
      <c r="E34" s="118"/>
      <c r="F34" s="119">
        <v>1</v>
      </c>
      <c r="G34" s="119">
        <v>1549.92</v>
      </c>
      <c r="H34" s="75">
        <f t="shared" si="3"/>
        <v>1.54992</v>
      </c>
      <c r="I34" s="13">
        <v>0</v>
      </c>
      <c r="J34" s="26"/>
    </row>
    <row r="35" spans="1:14" ht="16.5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26.25" hidden="1" customHeight="1">
      <c r="A36" s="32">
        <v>10</v>
      </c>
      <c r="B36" s="124" t="s">
        <v>26</v>
      </c>
      <c r="C36" s="117" t="s">
        <v>32</v>
      </c>
      <c r="D36" s="116"/>
      <c r="E36" s="118"/>
      <c r="F36" s="119">
        <v>5</v>
      </c>
      <c r="G36" s="119">
        <v>2083</v>
      </c>
      <c r="H36" s="75">
        <f t="shared" ref="H36:H41" si="4">SUM(F36*G36/1000)</f>
        <v>10.414999999999999</v>
      </c>
      <c r="I36" s="13">
        <f t="shared" ref="I36:I41" si="5">F36/6*G36</f>
        <v>1735.8333333333335</v>
      </c>
      <c r="J36" s="26"/>
    </row>
    <row r="37" spans="1:14" ht="28.5" hidden="1" customHeight="1">
      <c r="A37" s="32">
        <v>12</v>
      </c>
      <c r="B37" s="124" t="s">
        <v>105</v>
      </c>
      <c r="C37" s="125" t="s">
        <v>29</v>
      </c>
      <c r="D37" s="116" t="s">
        <v>173</v>
      </c>
      <c r="E37" s="118">
        <v>153</v>
      </c>
      <c r="F37" s="126">
        <f>E37*30/1000</f>
        <v>4.59</v>
      </c>
      <c r="G37" s="119">
        <v>2868.09</v>
      </c>
      <c r="H37" s="75">
        <f>G37*F37/1000</f>
        <v>13.1645331</v>
      </c>
      <c r="I37" s="13">
        <f t="shared" si="5"/>
        <v>2194.0888500000001</v>
      </c>
      <c r="J37" s="26"/>
      <c r="L37" s="19"/>
      <c r="M37" s="20"/>
      <c r="N37" s="21"/>
    </row>
    <row r="38" spans="1:14" ht="24" hidden="1" customHeight="1">
      <c r="A38" s="32">
        <v>13</v>
      </c>
      <c r="B38" s="116" t="s">
        <v>66</v>
      </c>
      <c r="C38" s="117" t="s">
        <v>29</v>
      </c>
      <c r="D38" s="116" t="s">
        <v>86</v>
      </c>
      <c r="E38" s="119">
        <v>153</v>
      </c>
      <c r="F38" s="126">
        <f>SUM(E38*155/1000)</f>
        <v>23.715</v>
      </c>
      <c r="G38" s="119">
        <v>478.42</v>
      </c>
      <c r="H38" s="75">
        <f t="shared" si="4"/>
        <v>11.345730300000001</v>
      </c>
      <c r="I38" s="13">
        <f t="shared" si="5"/>
        <v>1890.95505</v>
      </c>
      <c r="J38" s="26"/>
      <c r="L38" s="19"/>
      <c r="M38" s="20"/>
      <c r="N38" s="21"/>
    </row>
    <row r="39" spans="1:14" ht="33" hidden="1" customHeight="1">
      <c r="A39" s="32">
        <v>14</v>
      </c>
      <c r="B39" s="116" t="s">
        <v>81</v>
      </c>
      <c r="C39" s="117" t="s">
        <v>87</v>
      </c>
      <c r="D39" s="116" t="s">
        <v>174</v>
      </c>
      <c r="E39" s="119">
        <v>25</v>
      </c>
      <c r="F39" s="126">
        <f>SUM(E39*35/1000)</f>
        <v>0.875</v>
      </c>
      <c r="G39" s="119">
        <v>7915.6</v>
      </c>
      <c r="H39" s="75">
        <f t="shared" si="4"/>
        <v>6.9261500000000007</v>
      </c>
      <c r="I39" s="13">
        <f t="shared" si="5"/>
        <v>1154.3583333333333</v>
      </c>
      <c r="J39" s="26"/>
      <c r="L39" s="19"/>
      <c r="M39" s="20"/>
      <c r="N39" s="21"/>
    </row>
    <row r="40" spans="1:14" ht="24.75" hidden="1" customHeight="1">
      <c r="A40" s="32">
        <v>15</v>
      </c>
      <c r="B40" s="116" t="s">
        <v>88</v>
      </c>
      <c r="C40" s="117" t="s">
        <v>87</v>
      </c>
      <c r="D40" s="116" t="s">
        <v>67</v>
      </c>
      <c r="E40" s="119">
        <v>153</v>
      </c>
      <c r="F40" s="126">
        <f>SUM(E40*45/1000)</f>
        <v>6.8849999999999998</v>
      </c>
      <c r="G40" s="119">
        <v>584.74</v>
      </c>
      <c r="H40" s="75">
        <f t="shared" si="4"/>
        <v>4.0259348999999993</v>
      </c>
      <c r="I40" s="13">
        <f t="shared" si="5"/>
        <v>670.98915</v>
      </c>
      <c r="J40" s="26"/>
      <c r="L40" s="19"/>
      <c r="M40" s="20"/>
      <c r="N40" s="21"/>
    </row>
    <row r="41" spans="1:14" ht="23.25" hidden="1" customHeight="1">
      <c r="A41" s="123">
        <v>16</v>
      </c>
      <c r="B41" s="124" t="s">
        <v>68</v>
      </c>
      <c r="C41" s="125" t="s">
        <v>33</v>
      </c>
      <c r="D41" s="124"/>
      <c r="E41" s="120"/>
      <c r="F41" s="126">
        <v>0.9</v>
      </c>
      <c r="G41" s="126">
        <v>800</v>
      </c>
      <c r="H41" s="83">
        <f t="shared" si="4"/>
        <v>0.72</v>
      </c>
      <c r="I41" s="91">
        <f t="shared" si="5"/>
        <v>120</v>
      </c>
      <c r="J41" s="26"/>
      <c r="L41" s="19"/>
      <c r="M41" s="20"/>
      <c r="N41" s="21"/>
    </row>
    <row r="42" spans="1:14" ht="30" customHeight="1">
      <c r="A42" s="32">
        <v>8</v>
      </c>
      <c r="B42" s="160" t="s">
        <v>175</v>
      </c>
      <c r="C42" s="161" t="s">
        <v>29</v>
      </c>
      <c r="D42" s="160" t="s">
        <v>258</v>
      </c>
      <c r="E42" s="151">
        <v>4.2</v>
      </c>
      <c r="F42" s="162">
        <f>E42*12/1000</f>
        <v>5.0400000000000007E-2</v>
      </c>
      <c r="G42" s="162">
        <v>270.61</v>
      </c>
      <c r="H42" s="13"/>
      <c r="I42" s="13">
        <f>G42*4.2/1000</f>
        <v>1.1365620000000001</v>
      </c>
      <c r="J42" s="26"/>
      <c r="L42" s="19"/>
      <c r="M42" s="20"/>
      <c r="N42" s="21"/>
    </row>
    <row r="43" spans="1:14" ht="21.75" customHeight="1">
      <c r="A43" s="215" t="s">
        <v>138</v>
      </c>
      <c r="B43" s="216"/>
      <c r="C43" s="216"/>
      <c r="D43" s="216"/>
      <c r="E43" s="216"/>
      <c r="F43" s="216"/>
      <c r="G43" s="216"/>
      <c r="H43" s="216"/>
      <c r="I43" s="217"/>
      <c r="J43" s="26"/>
      <c r="L43" s="19"/>
      <c r="M43" s="20"/>
      <c r="N43" s="21"/>
    </row>
    <row r="44" spans="1:14" ht="28.5" hidden="1" customHeight="1">
      <c r="A44" s="32"/>
      <c r="B44" s="116" t="s">
        <v>126</v>
      </c>
      <c r="C44" s="117" t="s">
        <v>87</v>
      </c>
      <c r="D44" s="116" t="s">
        <v>42</v>
      </c>
      <c r="E44" s="118">
        <v>1895</v>
      </c>
      <c r="F44" s="119">
        <f>SUM(E44*2/1000)</f>
        <v>3.79</v>
      </c>
      <c r="G44" s="127">
        <v>1158.7</v>
      </c>
      <c r="H44" s="75">
        <f t="shared" ref="H44:H52" si="6">SUM(F44*G44/1000)</f>
        <v>4.3914729999999995</v>
      </c>
      <c r="I44" s="13">
        <v>0</v>
      </c>
      <c r="J44" s="26"/>
      <c r="L44" s="19"/>
      <c r="M44" s="20"/>
      <c r="N44" s="21"/>
    </row>
    <row r="45" spans="1:14" ht="23.25" hidden="1" customHeight="1">
      <c r="A45" s="32"/>
      <c r="B45" s="116" t="s">
        <v>34</v>
      </c>
      <c r="C45" s="117" t="s">
        <v>87</v>
      </c>
      <c r="D45" s="116" t="s">
        <v>42</v>
      </c>
      <c r="E45" s="118">
        <v>118.2</v>
      </c>
      <c r="F45" s="119">
        <f>E45*2/1000</f>
        <v>0.2364</v>
      </c>
      <c r="G45" s="127">
        <v>790.38</v>
      </c>
      <c r="H45" s="75">
        <f t="shared" si="6"/>
        <v>0.18684583199999999</v>
      </c>
      <c r="I45" s="13">
        <v>0</v>
      </c>
      <c r="J45" s="26"/>
      <c r="L45" s="19"/>
      <c r="M45" s="20"/>
      <c r="N45" s="21"/>
    </row>
    <row r="46" spans="1:14" ht="16.5" hidden="1" customHeight="1">
      <c r="A46" s="32"/>
      <c r="B46" s="116" t="s">
        <v>35</v>
      </c>
      <c r="C46" s="117" t="s">
        <v>87</v>
      </c>
      <c r="D46" s="116" t="s">
        <v>42</v>
      </c>
      <c r="E46" s="118">
        <v>4675</v>
      </c>
      <c r="F46" s="119">
        <f>SUM(E46*2/1000)</f>
        <v>9.35</v>
      </c>
      <c r="G46" s="127">
        <v>790.38</v>
      </c>
      <c r="H46" s="75">
        <f t="shared" si="6"/>
        <v>7.390053</v>
      </c>
      <c r="I46" s="13">
        <v>0</v>
      </c>
      <c r="J46" s="26"/>
      <c r="L46" s="19"/>
      <c r="M46" s="20"/>
      <c r="N46" s="21"/>
    </row>
    <row r="47" spans="1:14" ht="19.5" hidden="1" customHeight="1">
      <c r="A47" s="32"/>
      <c r="B47" s="116" t="s">
        <v>36</v>
      </c>
      <c r="C47" s="117" t="s">
        <v>87</v>
      </c>
      <c r="D47" s="116" t="s">
        <v>42</v>
      </c>
      <c r="E47" s="118">
        <v>4675</v>
      </c>
      <c r="F47" s="119">
        <f>SUM(E47*2/1000)</f>
        <v>9.35</v>
      </c>
      <c r="G47" s="127">
        <v>827.65</v>
      </c>
      <c r="H47" s="75">
        <f t="shared" si="6"/>
        <v>7.7385274999999991</v>
      </c>
      <c r="I47" s="13">
        <v>0</v>
      </c>
      <c r="J47" s="26"/>
      <c r="L47" s="19"/>
      <c r="M47" s="20"/>
      <c r="N47" s="21"/>
    </row>
    <row r="48" spans="1:14" ht="16.5" hidden="1" customHeight="1">
      <c r="A48" s="32">
        <v>17</v>
      </c>
      <c r="B48" s="116" t="s">
        <v>55</v>
      </c>
      <c r="C48" s="117" t="s">
        <v>87</v>
      </c>
      <c r="D48" s="116" t="s">
        <v>176</v>
      </c>
      <c r="E48" s="118">
        <v>3988</v>
      </c>
      <c r="F48" s="119">
        <f>SUM(E48*5/1000)</f>
        <v>19.940000000000001</v>
      </c>
      <c r="G48" s="127">
        <v>1655.27</v>
      </c>
      <c r="H48" s="75">
        <f t="shared" si="6"/>
        <v>33.006083799999999</v>
      </c>
      <c r="I48" s="13">
        <f>F48/5*G48</f>
        <v>6601.2167600000002</v>
      </c>
      <c r="J48" s="26"/>
      <c r="L48" s="19"/>
      <c r="M48" s="20"/>
      <c r="N48" s="21"/>
    </row>
    <row r="49" spans="1:22" ht="29.25" hidden="1" customHeight="1">
      <c r="A49" s="32">
        <v>10</v>
      </c>
      <c r="B49" s="113" t="s">
        <v>89</v>
      </c>
      <c r="C49" s="114" t="s">
        <v>87</v>
      </c>
      <c r="D49" s="113" t="s">
        <v>42</v>
      </c>
      <c r="E49" s="148">
        <v>3988</v>
      </c>
      <c r="F49" s="149">
        <f>SUM(E49*2/1000)</f>
        <v>7.976</v>
      </c>
      <c r="G49" s="36">
        <v>1655.27</v>
      </c>
      <c r="H49" s="75">
        <f t="shared" si="6"/>
        <v>13.202433520000001</v>
      </c>
      <c r="I49" s="13">
        <f>G49*F49/2</f>
        <v>6601.2167600000002</v>
      </c>
      <c r="J49" s="26"/>
      <c r="L49" s="19"/>
      <c r="M49" s="20"/>
      <c r="N49" s="21"/>
    </row>
    <row r="50" spans="1:22" ht="30" hidden="1" customHeight="1">
      <c r="A50" s="32">
        <v>11</v>
      </c>
      <c r="B50" s="113" t="s">
        <v>90</v>
      </c>
      <c r="C50" s="114" t="s">
        <v>37</v>
      </c>
      <c r="D50" s="113" t="s">
        <v>42</v>
      </c>
      <c r="E50" s="148">
        <v>30</v>
      </c>
      <c r="F50" s="149">
        <f>SUM(E50*2/100)</f>
        <v>0.6</v>
      </c>
      <c r="G50" s="36">
        <v>3724.37</v>
      </c>
      <c r="H50" s="75">
        <f>SUM(F50*G50/1000)</f>
        <v>2.2346219999999999</v>
      </c>
      <c r="I50" s="13">
        <f>G50*F50/2</f>
        <v>1117.3109999999999</v>
      </c>
      <c r="J50" s="26"/>
      <c r="L50" s="19"/>
      <c r="M50" s="20"/>
      <c r="N50" s="21"/>
    </row>
    <row r="51" spans="1:22" ht="17.25" hidden="1" customHeight="1">
      <c r="A51" s="32">
        <v>12</v>
      </c>
      <c r="B51" s="113" t="s">
        <v>38</v>
      </c>
      <c r="C51" s="114" t="s">
        <v>39</v>
      </c>
      <c r="D51" s="113" t="s">
        <v>42</v>
      </c>
      <c r="E51" s="148">
        <v>1</v>
      </c>
      <c r="F51" s="149">
        <v>0.02</v>
      </c>
      <c r="G51" s="36">
        <v>7709.44</v>
      </c>
      <c r="H51" s="75">
        <f t="shared" si="6"/>
        <v>0.15418879999999999</v>
      </c>
      <c r="I51" s="13">
        <f>G51*F51/2</f>
        <v>77.094399999999993</v>
      </c>
      <c r="J51" s="26"/>
      <c r="L51" s="19"/>
      <c r="M51" s="20"/>
      <c r="N51" s="21"/>
    </row>
    <row r="52" spans="1:22" ht="17.25" hidden="1" customHeight="1">
      <c r="A52" s="32">
        <v>18</v>
      </c>
      <c r="B52" s="113" t="s">
        <v>41</v>
      </c>
      <c r="C52" s="114" t="s">
        <v>106</v>
      </c>
      <c r="D52" s="113" t="s">
        <v>53</v>
      </c>
      <c r="E52" s="148">
        <v>240</v>
      </c>
      <c r="F52" s="149">
        <f>SUM(E52)*1</f>
        <v>240</v>
      </c>
      <c r="G52" s="37">
        <v>89.59</v>
      </c>
      <c r="H52" s="75">
        <f t="shared" si="6"/>
        <v>21.501600000000003</v>
      </c>
      <c r="I52" s="13">
        <f>E52*G52</f>
        <v>21501.600000000002</v>
      </c>
      <c r="J52" s="26"/>
      <c r="L52" s="19"/>
      <c r="M52" s="20"/>
      <c r="N52" s="21"/>
    </row>
    <row r="53" spans="1:22" ht="17.25" customHeight="1">
      <c r="A53" s="121">
        <v>9</v>
      </c>
      <c r="B53" s="113" t="s">
        <v>177</v>
      </c>
      <c r="C53" s="114" t="s">
        <v>106</v>
      </c>
      <c r="D53" s="113" t="s">
        <v>259</v>
      </c>
      <c r="E53" s="148">
        <v>5</v>
      </c>
      <c r="F53" s="149">
        <v>60</v>
      </c>
      <c r="G53" s="154">
        <v>903.71</v>
      </c>
      <c r="H53" s="13"/>
      <c r="I53" s="13">
        <f>G53*F53/12</f>
        <v>4518.55</v>
      </c>
      <c r="J53" s="26"/>
      <c r="L53" s="19"/>
      <c r="M53" s="20"/>
      <c r="N53" s="21"/>
    </row>
    <row r="54" spans="1:22" ht="15.75" customHeight="1">
      <c r="A54" s="215" t="s">
        <v>139</v>
      </c>
      <c r="B54" s="216"/>
      <c r="C54" s="216"/>
      <c r="D54" s="216"/>
      <c r="E54" s="216"/>
      <c r="F54" s="216"/>
      <c r="G54" s="216"/>
      <c r="H54" s="216"/>
      <c r="I54" s="217"/>
      <c r="J54" s="26"/>
      <c r="L54" s="19"/>
      <c r="M54" s="20"/>
      <c r="N54" s="21"/>
    </row>
    <row r="55" spans="1:22" ht="27.75" hidden="1" customHeight="1">
      <c r="A55" s="32"/>
      <c r="B55" s="92" t="s">
        <v>43</v>
      </c>
      <c r="C55" s="72"/>
      <c r="D55" s="71"/>
      <c r="E55" s="73"/>
      <c r="F55" s="74"/>
      <c r="G55" s="74"/>
      <c r="H55" s="75"/>
      <c r="I55" s="13"/>
      <c r="J55" s="26"/>
      <c r="L55" s="19"/>
      <c r="M55" s="20"/>
      <c r="N55" s="21"/>
    </row>
    <row r="56" spans="1:22" ht="24.75" hidden="1" customHeight="1">
      <c r="A56" s="32">
        <v>20</v>
      </c>
      <c r="B56" s="129" t="s">
        <v>128</v>
      </c>
      <c r="C56" s="130" t="s">
        <v>129</v>
      </c>
      <c r="D56" s="129" t="s">
        <v>42</v>
      </c>
      <c r="E56" s="131">
        <v>6</v>
      </c>
      <c r="F56" s="132">
        <v>12</v>
      </c>
      <c r="G56" s="127">
        <v>246.58</v>
      </c>
      <c r="H56" s="84">
        <f>G56*F56/1000</f>
        <v>2.9589600000000003</v>
      </c>
      <c r="I56" s="13">
        <f>F56/2*G56</f>
        <v>1479.48</v>
      </c>
    </row>
    <row r="57" spans="1:22" ht="21.75" hidden="1" customHeight="1">
      <c r="A57" s="32">
        <v>21</v>
      </c>
      <c r="B57" s="129" t="s">
        <v>130</v>
      </c>
      <c r="C57" s="130" t="s">
        <v>52</v>
      </c>
      <c r="D57" s="129" t="s">
        <v>178</v>
      </c>
      <c r="E57" s="131">
        <v>6</v>
      </c>
      <c r="F57" s="132">
        <f>E57*6/100</f>
        <v>0.36</v>
      </c>
      <c r="G57" s="127">
        <v>2110.4699999999998</v>
      </c>
      <c r="H57" s="84">
        <f>G57*F57/1000</f>
        <v>0.75976919999999992</v>
      </c>
      <c r="I57" s="13">
        <f>F57/4*G57</f>
        <v>189.94229999999999</v>
      </c>
    </row>
    <row r="58" spans="1:22" ht="21.75" hidden="1" customHeight="1">
      <c r="A58" s="32"/>
      <c r="B58" s="129" t="s">
        <v>179</v>
      </c>
      <c r="C58" s="130" t="s">
        <v>180</v>
      </c>
      <c r="D58" s="129" t="s">
        <v>172</v>
      </c>
      <c r="E58" s="131"/>
      <c r="F58" s="132">
        <v>5</v>
      </c>
      <c r="G58" s="127">
        <v>1645</v>
      </c>
      <c r="H58" s="84"/>
      <c r="I58" s="13"/>
    </row>
    <row r="59" spans="1:22" ht="15.75" customHeight="1">
      <c r="A59" s="32"/>
      <c r="B59" s="93" t="s">
        <v>44</v>
      </c>
      <c r="C59" s="81"/>
      <c r="D59" s="80"/>
      <c r="E59" s="82"/>
      <c r="F59" s="83"/>
      <c r="G59" s="13"/>
      <c r="H59" s="84"/>
      <c r="I59" s="13"/>
    </row>
    <row r="60" spans="1:22" ht="15.75" hidden="1" customHeight="1">
      <c r="A60" s="32">
        <v>22</v>
      </c>
      <c r="B60" s="80" t="s">
        <v>131</v>
      </c>
      <c r="C60" s="81" t="s">
        <v>52</v>
      </c>
      <c r="D60" s="80" t="s">
        <v>53</v>
      </c>
      <c r="E60" s="82">
        <v>997</v>
      </c>
      <c r="F60" s="83">
        <v>9.9700000000000006</v>
      </c>
      <c r="G60" s="13">
        <v>793.61</v>
      </c>
      <c r="H60" s="84">
        <f>F60*G60/1000</f>
        <v>7.9122917000000008</v>
      </c>
      <c r="I60" s="13">
        <f>G60*F60</f>
        <v>7912.2917000000007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32"/>
      <c r="B61" s="129" t="s">
        <v>131</v>
      </c>
      <c r="C61" s="130" t="s">
        <v>52</v>
      </c>
      <c r="D61" s="129" t="s">
        <v>53</v>
      </c>
      <c r="E61" s="131">
        <v>200</v>
      </c>
      <c r="F61" s="132">
        <v>2</v>
      </c>
      <c r="G61" s="127">
        <v>1082.47</v>
      </c>
      <c r="H61" s="84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10</v>
      </c>
      <c r="B62" s="107" t="s">
        <v>132</v>
      </c>
      <c r="C62" s="108" t="s">
        <v>25</v>
      </c>
      <c r="D62" s="107" t="s">
        <v>258</v>
      </c>
      <c r="E62" s="109">
        <v>200</v>
      </c>
      <c r="F62" s="110">
        <f>E62*12</f>
        <v>2400</v>
      </c>
      <c r="G62" s="111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6.5" customHeight="1">
      <c r="A64" s="32">
        <v>11</v>
      </c>
      <c r="B64" s="155" t="s">
        <v>46</v>
      </c>
      <c r="C64" s="156" t="s">
        <v>106</v>
      </c>
      <c r="D64" s="39" t="s">
        <v>255</v>
      </c>
      <c r="E64" s="17">
        <v>12</v>
      </c>
      <c r="F64" s="149">
        <v>12</v>
      </c>
      <c r="G64" s="36">
        <v>303.35000000000002</v>
      </c>
      <c r="H64" s="86">
        <f t="shared" ref="H64:H82" si="7">SUM(F64*G64/1000)</f>
        <v>3.6402000000000001</v>
      </c>
      <c r="I64" s="13">
        <f>G64*6</f>
        <v>1820.1000000000001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6.5" hidden="1" customHeight="1">
      <c r="A65" s="32">
        <v>25</v>
      </c>
      <c r="B65" s="134" t="s">
        <v>47</v>
      </c>
      <c r="C65" s="135" t="s">
        <v>106</v>
      </c>
      <c r="D65" s="136" t="s">
        <v>172</v>
      </c>
      <c r="E65" s="137">
        <v>7</v>
      </c>
      <c r="F65" s="119">
        <v>7</v>
      </c>
      <c r="G65" s="127">
        <v>104.01</v>
      </c>
      <c r="H65" s="86">
        <f t="shared" si="7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30.75" hidden="1" customHeight="1">
      <c r="A66" s="32"/>
      <c r="B66" s="134" t="s">
        <v>48</v>
      </c>
      <c r="C66" s="138" t="s">
        <v>108</v>
      </c>
      <c r="D66" s="136" t="s">
        <v>53</v>
      </c>
      <c r="E66" s="118">
        <v>17600</v>
      </c>
      <c r="F66" s="128">
        <f>SUM(E66/100)</f>
        <v>176</v>
      </c>
      <c r="G66" s="127">
        <v>289.37</v>
      </c>
      <c r="H66" s="86">
        <f t="shared" si="7"/>
        <v>50.929120000000005</v>
      </c>
      <c r="I66" s="13">
        <f>F66*G66</f>
        <v>50929.120000000003</v>
      </c>
    </row>
    <row r="67" spans="1:21" ht="23.25" hidden="1" customHeight="1">
      <c r="A67" s="32"/>
      <c r="B67" s="134" t="s">
        <v>49</v>
      </c>
      <c r="C67" s="135" t="s">
        <v>109</v>
      </c>
      <c r="D67" s="136"/>
      <c r="E67" s="118">
        <v>17600</v>
      </c>
      <c r="F67" s="127">
        <f>SUM(E67/1000)</f>
        <v>17.600000000000001</v>
      </c>
      <c r="G67" s="127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22.5" hidden="1" customHeight="1">
      <c r="A68" s="32"/>
      <c r="B68" s="134" t="s">
        <v>50</v>
      </c>
      <c r="C68" s="135" t="s">
        <v>75</v>
      </c>
      <c r="D68" s="136" t="s">
        <v>53</v>
      </c>
      <c r="E68" s="118">
        <v>4150</v>
      </c>
      <c r="F68" s="127">
        <f>SUM(E68/100)</f>
        <v>41.5</v>
      </c>
      <c r="G68" s="127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24" hidden="1" customHeight="1">
      <c r="A69" s="32"/>
      <c r="B69" s="139" t="s">
        <v>110</v>
      </c>
      <c r="C69" s="135" t="s">
        <v>33</v>
      </c>
      <c r="D69" s="136"/>
      <c r="E69" s="118">
        <v>13</v>
      </c>
      <c r="F69" s="127">
        <f>SUM(E69)</f>
        <v>13</v>
      </c>
      <c r="G69" s="127">
        <v>44.31</v>
      </c>
      <c r="H69" s="86">
        <f t="shared" si="7"/>
        <v>0.57602999999999993</v>
      </c>
      <c r="I69" s="13">
        <f t="shared" si="8"/>
        <v>576.03</v>
      </c>
    </row>
    <row r="70" spans="1:21" ht="22.5" hidden="1" customHeight="1">
      <c r="A70" s="32"/>
      <c r="B70" s="139" t="s">
        <v>111</v>
      </c>
      <c r="C70" s="135" t="s">
        <v>33</v>
      </c>
      <c r="D70" s="136"/>
      <c r="E70" s="118">
        <v>13</v>
      </c>
      <c r="F70" s="127">
        <f>SUM(E70)</f>
        <v>13</v>
      </c>
      <c r="G70" s="127">
        <v>47.79</v>
      </c>
      <c r="H70" s="86">
        <f t="shared" si="7"/>
        <v>0.62126999999999999</v>
      </c>
      <c r="I70" s="13">
        <f t="shared" si="8"/>
        <v>621.27</v>
      </c>
    </row>
    <row r="71" spans="1:21" ht="24" hidden="1" customHeight="1">
      <c r="A71" s="32"/>
      <c r="B71" s="136" t="s">
        <v>56</v>
      </c>
      <c r="C71" s="135" t="s">
        <v>57</v>
      </c>
      <c r="D71" s="136" t="s">
        <v>53</v>
      </c>
      <c r="E71" s="137">
        <v>3</v>
      </c>
      <c r="F71" s="119">
        <v>3</v>
      </c>
      <c r="G71" s="127">
        <v>68.040000000000006</v>
      </c>
      <c r="H71" s="86">
        <f t="shared" si="7"/>
        <v>0.20412</v>
      </c>
      <c r="I71" s="13">
        <f t="shared" si="8"/>
        <v>204.12</v>
      </c>
    </row>
    <row r="72" spans="1:21" ht="21" customHeight="1">
      <c r="A72" s="32"/>
      <c r="B72" s="157" t="s">
        <v>181</v>
      </c>
      <c r="C72" s="156"/>
      <c r="D72" s="39"/>
      <c r="E72" s="17"/>
      <c r="F72" s="111"/>
      <c r="G72" s="36"/>
      <c r="H72" s="86"/>
      <c r="I72" s="13"/>
    </row>
    <row r="73" spans="1:21" ht="28.5" customHeight="1">
      <c r="A73" s="32">
        <v>12</v>
      </c>
      <c r="B73" s="39" t="s">
        <v>182</v>
      </c>
      <c r="C73" s="158" t="s">
        <v>183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142</v>
      </c>
      <c r="I74" s="13"/>
    </row>
    <row r="75" spans="1:21" ht="15.75" customHeight="1">
      <c r="A75" s="32">
        <v>13</v>
      </c>
      <c r="B75" s="39" t="s">
        <v>184</v>
      </c>
      <c r="C75" s="156" t="s">
        <v>185</v>
      </c>
      <c r="D75" s="39" t="s">
        <v>325</v>
      </c>
      <c r="E75" s="17">
        <v>1</v>
      </c>
      <c r="F75" s="36">
        <v>1</v>
      </c>
      <c r="G75" s="36">
        <v>2112.2800000000002</v>
      </c>
      <c r="H75" s="86"/>
      <c r="I75" s="13">
        <f>G75*1</f>
        <v>2112.2800000000002</v>
      </c>
    </row>
    <row r="76" spans="1:21" ht="15.75" hidden="1" customHeight="1">
      <c r="A76" s="32"/>
      <c r="B76" s="136" t="s">
        <v>186</v>
      </c>
      <c r="C76" s="135" t="s">
        <v>185</v>
      </c>
      <c r="D76" s="136" t="s">
        <v>172</v>
      </c>
      <c r="E76" s="137">
        <v>4</v>
      </c>
      <c r="F76" s="127">
        <v>4</v>
      </c>
      <c r="G76" s="127">
        <v>136.19999999999999</v>
      </c>
      <c r="H76" s="86"/>
      <c r="I76" s="13"/>
    </row>
    <row r="77" spans="1:21" ht="15.75" hidden="1" customHeight="1">
      <c r="A77" s="32"/>
      <c r="B77" s="136" t="s">
        <v>71</v>
      </c>
      <c r="C77" s="135" t="s">
        <v>73</v>
      </c>
      <c r="D77" s="136" t="s">
        <v>172</v>
      </c>
      <c r="E77" s="137">
        <v>7</v>
      </c>
      <c r="F77" s="127">
        <f>E77/10</f>
        <v>0.7</v>
      </c>
      <c r="G77" s="127">
        <v>684.19</v>
      </c>
      <c r="H77" s="86"/>
      <c r="I77" s="13"/>
    </row>
    <row r="78" spans="1:21" ht="15.75" hidden="1" customHeight="1">
      <c r="A78" s="32">
        <v>16</v>
      </c>
      <c r="B78" s="136" t="s">
        <v>72</v>
      </c>
      <c r="C78" s="135" t="s">
        <v>31</v>
      </c>
      <c r="D78" s="136" t="s">
        <v>172</v>
      </c>
      <c r="E78" s="140">
        <v>1</v>
      </c>
      <c r="F78" s="133">
        <v>1</v>
      </c>
      <c r="G78" s="127">
        <v>1163.47</v>
      </c>
      <c r="H78" s="86">
        <f t="shared" si="7"/>
        <v>1.16347</v>
      </c>
      <c r="I78" s="13">
        <f>G78*2</f>
        <v>2326.94</v>
      </c>
    </row>
    <row r="79" spans="1:21" ht="21.75" hidden="1" customHeight="1">
      <c r="A79" s="32"/>
      <c r="B79" s="136" t="s">
        <v>187</v>
      </c>
      <c r="C79" s="135" t="s">
        <v>106</v>
      </c>
      <c r="D79" s="136" t="s">
        <v>172</v>
      </c>
      <c r="E79" s="137">
        <v>1</v>
      </c>
      <c r="F79" s="127">
        <v>1</v>
      </c>
      <c r="G79" s="127">
        <v>1670.07</v>
      </c>
      <c r="H79" s="86">
        <f>F79*G79/1000</f>
        <v>1.6700699999999999</v>
      </c>
      <c r="I79" s="13">
        <v>0</v>
      </c>
    </row>
    <row r="80" spans="1:21" ht="29.25" customHeight="1">
      <c r="A80" s="32">
        <v>14</v>
      </c>
      <c r="B80" s="39" t="s">
        <v>188</v>
      </c>
      <c r="C80" s="156" t="s">
        <v>106</v>
      </c>
      <c r="D80" s="39" t="s">
        <v>259</v>
      </c>
      <c r="E80" s="17">
        <v>2</v>
      </c>
      <c r="F80" s="36">
        <v>24</v>
      </c>
      <c r="G80" s="36">
        <v>55.55</v>
      </c>
      <c r="H80" s="86">
        <f>G80*F80/1000</f>
        <v>1.3331999999999997</v>
      </c>
      <c r="I80" s="13">
        <f>G80*F80/12</f>
        <v>111.09999999999998</v>
      </c>
    </row>
    <row r="81" spans="1:9" ht="21.75" hidden="1" customHeight="1">
      <c r="A81" s="32"/>
      <c r="B81" s="89" t="s">
        <v>74</v>
      </c>
      <c r="C81" s="16"/>
      <c r="D81" s="14"/>
      <c r="E81" s="18"/>
      <c r="F81" s="13"/>
      <c r="G81" s="13" t="s">
        <v>142</v>
      </c>
      <c r="H81" s="86" t="s">
        <v>142</v>
      </c>
      <c r="I81" s="13"/>
    </row>
    <row r="82" spans="1:9" ht="20.25" hidden="1" customHeight="1">
      <c r="A82" s="32"/>
      <c r="B82" s="141" t="s">
        <v>189</v>
      </c>
      <c r="C82" s="138" t="s">
        <v>75</v>
      </c>
      <c r="D82" s="134"/>
      <c r="E82" s="142"/>
      <c r="F82" s="128">
        <v>0.4</v>
      </c>
      <c r="G82" s="128">
        <v>4144.28</v>
      </c>
      <c r="H82" s="86">
        <f t="shared" si="7"/>
        <v>1.6577120000000001</v>
      </c>
      <c r="I82" s="13">
        <v>0</v>
      </c>
    </row>
    <row r="83" spans="1:9" ht="19.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SUM(H56:H82)</f>
        <v>198.91631290000001</v>
      </c>
      <c r="I83" s="77"/>
    </row>
    <row r="84" spans="1:9" ht="18" hidden="1" customHeight="1">
      <c r="A84" s="32"/>
      <c r="B84" s="116" t="s">
        <v>112</v>
      </c>
      <c r="C84" s="143"/>
      <c r="D84" s="144"/>
      <c r="E84" s="145"/>
      <c r="F84" s="146">
        <v>1</v>
      </c>
      <c r="G84" s="147">
        <v>26471.200000000001</v>
      </c>
      <c r="H84" s="86">
        <f>G84*F84/1000</f>
        <v>26.4712</v>
      </c>
      <c r="I84" s="13">
        <v>0</v>
      </c>
    </row>
    <row r="85" spans="1:9" ht="15.75" customHeight="1">
      <c r="A85" s="219" t="s">
        <v>140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15</v>
      </c>
      <c r="B86" s="113" t="s">
        <v>114</v>
      </c>
      <c r="C86" s="156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16</v>
      </c>
      <c r="B87" s="39" t="s">
        <v>76</v>
      </c>
      <c r="C87" s="156"/>
      <c r="D87" s="103"/>
      <c r="E87" s="148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I87+I86+I80+I73+I64+I62+I53+I32+I30+I29+I26+I18+I17+I16+I75+I42</f>
        <v>118443.68689653334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30.75" customHeight="1">
      <c r="A90" s="32">
        <v>17</v>
      </c>
      <c r="B90" s="159" t="s">
        <v>199</v>
      </c>
      <c r="C90" s="158" t="s">
        <v>93</v>
      </c>
      <c r="D90" s="158" t="s">
        <v>316</v>
      </c>
      <c r="E90" s="17"/>
      <c r="F90" s="36"/>
      <c r="G90" s="36">
        <v>45187.4</v>
      </c>
      <c r="H90" s="102">
        <f>G90*F90/1000</f>
        <v>0</v>
      </c>
      <c r="I90" s="32">
        <f>G90*0.02</f>
        <v>903.74800000000005</v>
      </c>
    </row>
    <row r="91" spans="1:9" ht="45.75" customHeight="1">
      <c r="A91" s="32">
        <v>18</v>
      </c>
      <c r="B91" s="51" t="s">
        <v>193</v>
      </c>
      <c r="C91" s="52" t="s">
        <v>159</v>
      </c>
      <c r="D91" s="32" t="s">
        <v>317</v>
      </c>
      <c r="E91" s="18"/>
      <c r="F91" s="13"/>
      <c r="G91" s="36">
        <v>11233.15</v>
      </c>
      <c r="H91" s="86">
        <f t="shared" ref="H91" si="9">G91*F91/1000</f>
        <v>0</v>
      </c>
      <c r="I91" s="13">
        <f>G91*0.02</f>
        <v>224.66300000000001</v>
      </c>
    </row>
    <row r="92" spans="1:9" ht="15.75" customHeight="1">
      <c r="A92" s="32">
        <v>19</v>
      </c>
      <c r="B92" s="51" t="s">
        <v>310</v>
      </c>
      <c r="C92" s="207" t="s">
        <v>311</v>
      </c>
      <c r="D92" s="156" t="s">
        <v>317</v>
      </c>
      <c r="E92" s="36"/>
      <c r="F92" s="36"/>
      <c r="G92" s="36">
        <v>1279.79</v>
      </c>
      <c r="H92" s="102">
        <f>G92*F92/1000</f>
        <v>0</v>
      </c>
      <c r="I92" s="13">
        <f>G92*0.4</f>
        <v>511.916</v>
      </c>
    </row>
    <row r="93" spans="1:9" ht="27.75" customHeight="1">
      <c r="A93" s="32">
        <v>20</v>
      </c>
      <c r="B93" s="159" t="s">
        <v>209</v>
      </c>
      <c r="C93" s="158" t="s">
        <v>210</v>
      </c>
      <c r="D93" s="156" t="s">
        <v>320</v>
      </c>
      <c r="E93" s="36"/>
      <c r="F93" s="36"/>
      <c r="G93" s="36">
        <v>2114.96</v>
      </c>
      <c r="H93" s="102">
        <f t="shared" ref="H93:H96" si="10">G93*F93/1000</f>
        <v>0</v>
      </c>
      <c r="I93" s="13">
        <f>G93*1</f>
        <v>2114.96</v>
      </c>
    </row>
    <row r="94" spans="1:9" ht="30.75" customHeight="1">
      <c r="A94" s="32">
        <v>21</v>
      </c>
      <c r="B94" s="159" t="s">
        <v>229</v>
      </c>
      <c r="C94" s="158" t="s">
        <v>210</v>
      </c>
      <c r="D94" s="156" t="s">
        <v>326</v>
      </c>
      <c r="E94" s="36"/>
      <c r="F94" s="36"/>
      <c r="G94" s="36">
        <v>441.25</v>
      </c>
      <c r="H94" s="102">
        <f t="shared" si="10"/>
        <v>0</v>
      </c>
      <c r="I94" s="13">
        <f>G94*3</f>
        <v>1323.75</v>
      </c>
    </row>
    <row r="95" spans="1:9" ht="19.5" customHeight="1">
      <c r="A95" s="32">
        <v>22</v>
      </c>
      <c r="B95" s="51" t="s">
        <v>80</v>
      </c>
      <c r="C95" s="52" t="s">
        <v>106</v>
      </c>
      <c r="D95" s="158"/>
      <c r="E95" s="36"/>
      <c r="F95" s="36"/>
      <c r="G95" s="36">
        <v>207.55</v>
      </c>
      <c r="H95" s="102">
        <f t="shared" si="10"/>
        <v>0</v>
      </c>
      <c r="I95" s="13">
        <f>G95*3</f>
        <v>622.65000000000009</v>
      </c>
    </row>
    <row r="96" spans="1:9" ht="32.25" customHeight="1">
      <c r="A96" s="32">
        <v>23</v>
      </c>
      <c r="B96" s="51" t="s">
        <v>302</v>
      </c>
      <c r="C96" s="52" t="s">
        <v>79</v>
      </c>
      <c r="D96" s="156" t="s">
        <v>314</v>
      </c>
      <c r="E96" s="17"/>
      <c r="F96" s="36"/>
      <c r="G96" s="36">
        <v>765.38</v>
      </c>
      <c r="H96" s="102">
        <f t="shared" si="10"/>
        <v>0</v>
      </c>
      <c r="I96" s="13">
        <f>G96*2</f>
        <v>1530.76</v>
      </c>
    </row>
    <row r="97" spans="1:9" ht="17.25" customHeight="1">
      <c r="A97" s="32">
        <v>24</v>
      </c>
      <c r="B97" s="51" t="s">
        <v>241</v>
      </c>
      <c r="C97" s="52" t="s">
        <v>106</v>
      </c>
      <c r="D97" s="158"/>
      <c r="E97" s="17"/>
      <c r="F97" s="36"/>
      <c r="G97" s="36">
        <v>86</v>
      </c>
      <c r="H97" s="102">
        <f>G97*F97/1000</f>
        <v>0</v>
      </c>
      <c r="I97" s="13">
        <f>G97*1</f>
        <v>86</v>
      </c>
    </row>
    <row r="98" spans="1:9" ht="15.75" customHeight="1">
      <c r="A98" s="32">
        <v>25</v>
      </c>
      <c r="B98" s="51" t="s">
        <v>312</v>
      </c>
      <c r="C98" s="52" t="s">
        <v>106</v>
      </c>
      <c r="D98" s="158"/>
      <c r="E98" s="17"/>
      <c r="F98" s="36"/>
      <c r="G98" s="36">
        <v>22</v>
      </c>
      <c r="H98" s="102">
        <f>G98*F98/1000</f>
        <v>0</v>
      </c>
      <c r="I98" s="13">
        <f>G98*1</f>
        <v>22</v>
      </c>
    </row>
    <row r="99" spans="1:9" ht="15.75" customHeight="1">
      <c r="A99" s="32">
        <v>26</v>
      </c>
      <c r="B99" s="51" t="s">
        <v>203</v>
      </c>
      <c r="C99" s="52" t="s">
        <v>166</v>
      </c>
      <c r="D99" s="16"/>
      <c r="E99" s="13"/>
      <c r="F99" s="13"/>
      <c r="G99" s="36">
        <v>273</v>
      </c>
      <c r="H99" s="102">
        <f t="shared" ref="H99:H101" si="11">G99*F99/1000</f>
        <v>0</v>
      </c>
      <c r="I99" s="13">
        <f>G99*9</f>
        <v>2457</v>
      </c>
    </row>
    <row r="100" spans="1:9" ht="15.75" customHeight="1">
      <c r="A100" s="32">
        <v>27</v>
      </c>
      <c r="B100" s="51" t="s">
        <v>232</v>
      </c>
      <c r="C100" s="52" t="s">
        <v>233</v>
      </c>
      <c r="D100" s="156"/>
      <c r="E100" s="36"/>
      <c r="F100" s="36"/>
      <c r="G100" s="36">
        <v>45</v>
      </c>
      <c r="H100" s="102">
        <f t="shared" si="11"/>
        <v>0</v>
      </c>
      <c r="I100" s="13">
        <f>G100*75</f>
        <v>3375</v>
      </c>
    </row>
    <row r="101" spans="1:9" ht="15.75" customHeight="1">
      <c r="A101" s="32">
        <v>28</v>
      </c>
      <c r="B101" s="51" t="s">
        <v>234</v>
      </c>
      <c r="C101" s="52" t="s">
        <v>167</v>
      </c>
      <c r="D101" s="156"/>
      <c r="E101" s="36"/>
      <c r="F101" s="36"/>
      <c r="G101" s="36">
        <v>26095.37</v>
      </c>
      <c r="H101" s="102">
        <f t="shared" si="11"/>
        <v>0</v>
      </c>
      <c r="I101" s="13">
        <f>G101*0.03</f>
        <v>782.86109999999996</v>
      </c>
    </row>
    <row r="102" spans="1:9" ht="30.75" customHeight="1">
      <c r="A102" s="32">
        <v>29</v>
      </c>
      <c r="B102" s="51" t="s">
        <v>195</v>
      </c>
      <c r="C102" s="52" t="s">
        <v>145</v>
      </c>
      <c r="D102" s="156" t="s">
        <v>321</v>
      </c>
      <c r="E102" s="36"/>
      <c r="F102" s="36"/>
      <c r="G102" s="36">
        <v>561.86</v>
      </c>
      <c r="H102" s="102"/>
      <c r="I102" s="13">
        <f>G102*1</f>
        <v>561.86</v>
      </c>
    </row>
    <row r="103" spans="1:9" ht="32.25" customHeight="1">
      <c r="A103" s="32">
        <v>30</v>
      </c>
      <c r="B103" s="51" t="s">
        <v>204</v>
      </c>
      <c r="C103" s="106" t="s">
        <v>106</v>
      </c>
      <c r="D103" s="156" t="s">
        <v>314</v>
      </c>
      <c r="E103" s="36"/>
      <c r="F103" s="36"/>
      <c r="G103" s="36">
        <v>1133.92</v>
      </c>
      <c r="H103" s="102"/>
      <c r="I103" s="13">
        <f>G103*1</f>
        <v>1133.92</v>
      </c>
    </row>
    <row r="104" spans="1:9" ht="18" customHeight="1">
      <c r="A104" s="32">
        <v>31</v>
      </c>
      <c r="B104" s="188" t="s">
        <v>235</v>
      </c>
      <c r="C104" s="106" t="s">
        <v>106</v>
      </c>
      <c r="D104" s="156"/>
      <c r="E104" s="36"/>
      <c r="F104" s="36"/>
      <c r="G104" s="36">
        <v>125</v>
      </c>
      <c r="H104" s="102"/>
      <c r="I104" s="13">
        <f>G104*1</f>
        <v>125</v>
      </c>
    </row>
    <row r="105" spans="1:9" ht="20.25" customHeight="1">
      <c r="A105" s="32">
        <v>32</v>
      </c>
      <c r="B105" s="192" t="s">
        <v>313</v>
      </c>
      <c r="C105" s="106" t="s">
        <v>106</v>
      </c>
      <c r="D105" s="156"/>
      <c r="E105" s="36"/>
      <c r="F105" s="36"/>
      <c r="G105" s="36">
        <v>81</v>
      </c>
      <c r="H105" s="102"/>
      <c r="I105" s="13">
        <f>G105*1</f>
        <v>81</v>
      </c>
    </row>
    <row r="106" spans="1:9" ht="28.5" customHeight="1">
      <c r="A106" s="32">
        <v>33</v>
      </c>
      <c r="B106" s="51" t="s">
        <v>219</v>
      </c>
      <c r="C106" s="106" t="s">
        <v>166</v>
      </c>
      <c r="D106" s="158" t="s">
        <v>319</v>
      </c>
      <c r="E106" s="36"/>
      <c r="F106" s="36"/>
      <c r="G106" s="36">
        <v>1465</v>
      </c>
      <c r="H106" s="102"/>
      <c r="I106" s="13">
        <f>G106*5</f>
        <v>7325</v>
      </c>
    </row>
    <row r="107" spans="1:9" ht="28.5" customHeight="1">
      <c r="A107" s="32">
        <v>34</v>
      </c>
      <c r="B107" s="51" t="s">
        <v>221</v>
      </c>
      <c r="C107" s="106" t="s">
        <v>166</v>
      </c>
      <c r="D107" s="156" t="s">
        <v>315</v>
      </c>
      <c r="E107" s="36"/>
      <c r="F107" s="36"/>
      <c r="G107" s="36">
        <v>1367</v>
      </c>
      <c r="H107" s="102"/>
      <c r="I107" s="13">
        <f>G107*2</f>
        <v>2734</v>
      </c>
    </row>
    <row r="108" spans="1:9" ht="28.5" customHeight="1">
      <c r="A108" s="32">
        <v>35</v>
      </c>
      <c r="B108" s="51" t="s">
        <v>222</v>
      </c>
      <c r="C108" s="52" t="s">
        <v>145</v>
      </c>
      <c r="D108" s="158" t="s">
        <v>324</v>
      </c>
      <c r="E108" s="36"/>
      <c r="F108" s="36"/>
      <c r="G108" s="36">
        <v>644.72</v>
      </c>
      <c r="H108" s="102"/>
      <c r="I108" s="13">
        <f>G108*5</f>
        <v>3223.6000000000004</v>
      </c>
    </row>
    <row r="109" spans="1:9" ht="28.5" customHeight="1">
      <c r="A109" s="32">
        <v>36</v>
      </c>
      <c r="B109" s="51" t="s">
        <v>265</v>
      </c>
      <c r="C109" s="52" t="s">
        <v>145</v>
      </c>
      <c r="D109" s="156" t="s">
        <v>318</v>
      </c>
      <c r="E109" s="36"/>
      <c r="F109" s="36"/>
      <c r="G109" s="36">
        <v>878.3</v>
      </c>
      <c r="H109" s="102"/>
      <c r="I109" s="13">
        <f>G109*3</f>
        <v>2634.8999999999996</v>
      </c>
    </row>
    <row r="110" spans="1:9" ht="28.5" customHeight="1">
      <c r="A110" s="32">
        <v>37</v>
      </c>
      <c r="B110" s="51" t="s">
        <v>143</v>
      </c>
      <c r="C110" s="52" t="s">
        <v>144</v>
      </c>
      <c r="D110" s="156" t="s">
        <v>323</v>
      </c>
      <c r="E110" s="36"/>
      <c r="F110" s="36"/>
      <c r="G110" s="36">
        <v>59.21</v>
      </c>
      <c r="H110" s="102"/>
      <c r="I110" s="13">
        <f>G110*1</f>
        <v>59.21</v>
      </c>
    </row>
    <row r="111" spans="1:9" ht="18.75" customHeight="1">
      <c r="A111" s="32">
        <v>38</v>
      </c>
      <c r="B111" s="51" t="s">
        <v>224</v>
      </c>
      <c r="C111" s="52" t="s">
        <v>82</v>
      </c>
      <c r="D111" s="156" t="s">
        <v>322</v>
      </c>
      <c r="E111" s="36"/>
      <c r="F111" s="36"/>
      <c r="G111" s="36">
        <v>214.07</v>
      </c>
      <c r="H111" s="102"/>
      <c r="I111" s="13">
        <f>G111*2</f>
        <v>428.14</v>
      </c>
    </row>
    <row r="112" spans="1:9" ht="15.75" customHeight="1">
      <c r="A112" s="32"/>
      <c r="B112" s="45" t="s">
        <v>51</v>
      </c>
      <c r="C112" s="41"/>
      <c r="D112" s="48"/>
      <c r="E112" s="41">
        <v>1</v>
      </c>
      <c r="F112" s="41"/>
      <c r="G112" s="41"/>
      <c r="H112" s="41"/>
      <c r="I112" s="34">
        <f>SUM(I90:I111)</f>
        <v>32261.938099999999</v>
      </c>
    </row>
    <row r="113" spans="1:9">
      <c r="A113" s="32"/>
      <c r="B113" s="47" t="s">
        <v>77</v>
      </c>
      <c r="C113" s="15"/>
      <c r="D113" s="15"/>
      <c r="E113" s="42"/>
      <c r="F113" s="42"/>
      <c r="G113" s="43"/>
      <c r="H113" s="43"/>
      <c r="I113" s="17"/>
    </row>
    <row r="114" spans="1:9">
      <c r="A114" s="49"/>
      <c r="B114" s="46" t="s">
        <v>158</v>
      </c>
      <c r="C114" s="35"/>
      <c r="D114" s="35"/>
      <c r="E114" s="35"/>
      <c r="F114" s="35"/>
      <c r="G114" s="35"/>
      <c r="H114" s="35"/>
      <c r="I114" s="44">
        <f>I88+I112</f>
        <v>150705.62499653333</v>
      </c>
    </row>
    <row r="115" spans="1:9" ht="15.75">
      <c r="A115" s="222" t="s">
        <v>327</v>
      </c>
      <c r="B115" s="222"/>
      <c r="C115" s="222"/>
      <c r="D115" s="222"/>
      <c r="E115" s="222"/>
      <c r="F115" s="222"/>
      <c r="G115" s="222"/>
      <c r="H115" s="222"/>
      <c r="I115" s="222"/>
    </row>
    <row r="116" spans="1:9" ht="15.75" customHeight="1">
      <c r="A116" s="58"/>
      <c r="B116" s="223" t="s">
        <v>328</v>
      </c>
      <c r="C116" s="223"/>
      <c r="D116" s="223"/>
      <c r="E116" s="223"/>
      <c r="F116" s="223"/>
      <c r="G116" s="223"/>
      <c r="H116" s="70"/>
      <c r="I116" s="3"/>
    </row>
    <row r="117" spans="1:9">
      <c r="A117" s="64"/>
      <c r="B117" s="224" t="s">
        <v>6</v>
      </c>
      <c r="C117" s="224"/>
      <c r="D117" s="224"/>
      <c r="E117" s="224"/>
      <c r="F117" s="224"/>
      <c r="G117" s="224"/>
      <c r="H117" s="27"/>
      <c r="I117" s="5"/>
    </row>
    <row r="118" spans="1:9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5.75">
      <c r="A119" s="225" t="s">
        <v>7</v>
      </c>
      <c r="B119" s="225"/>
      <c r="C119" s="225"/>
      <c r="D119" s="225"/>
      <c r="E119" s="225"/>
      <c r="F119" s="225"/>
      <c r="G119" s="225"/>
      <c r="H119" s="225"/>
      <c r="I119" s="225"/>
    </row>
    <row r="120" spans="1:9" ht="15.75">
      <c r="A120" s="225" t="s">
        <v>8</v>
      </c>
      <c r="B120" s="225"/>
      <c r="C120" s="225"/>
      <c r="D120" s="225"/>
      <c r="E120" s="225"/>
      <c r="F120" s="225"/>
      <c r="G120" s="225"/>
      <c r="H120" s="225"/>
      <c r="I120" s="225"/>
    </row>
    <row r="121" spans="1:9" ht="15.75">
      <c r="A121" s="226" t="s">
        <v>60</v>
      </c>
      <c r="B121" s="226"/>
      <c r="C121" s="226"/>
      <c r="D121" s="226"/>
      <c r="E121" s="226"/>
      <c r="F121" s="226"/>
      <c r="G121" s="226"/>
      <c r="H121" s="226"/>
      <c r="I121" s="226"/>
    </row>
    <row r="122" spans="1:9" ht="15.75">
      <c r="A122" s="11"/>
    </row>
    <row r="123" spans="1:9" ht="15.75">
      <c r="A123" s="227" t="s">
        <v>9</v>
      </c>
      <c r="B123" s="227"/>
      <c r="C123" s="227"/>
      <c r="D123" s="227"/>
      <c r="E123" s="227"/>
      <c r="F123" s="227"/>
      <c r="G123" s="227"/>
      <c r="H123" s="227"/>
      <c r="I123" s="227"/>
    </row>
    <row r="124" spans="1:9" ht="15.75" customHeight="1">
      <c r="A124" s="4"/>
    </row>
    <row r="125" spans="1:9" ht="15.75" customHeight="1">
      <c r="B125" s="61" t="s">
        <v>10</v>
      </c>
      <c r="C125" s="228" t="s">
        <v>135</v>
      </c>
      <c r="D125" s="228"/>
      <c r="E125" s="228"/>
      <c r="F125" s="68"/>
      <c r="I125" s="63"/>
    </row>
    <row r="126" spans="1:9" ht="15.75" customHeight="1">
      <c r="A126" s="64"/>
      <c r="C126" s="224" t="s">
        <v>11</v>
      </c>
      <c r="D126" s="224"/>
      <c r="E126" s="224"/>
      <c r="F126" s="27"/>
      <c r="I126" s="62" t="s">
        <v>12</v>
      </c>
    </row>
    <row r="127" spans="1:9" ht="15.75" customHeight="1">
      <c r="A127" s="28"/>
      <c r="C127" s="12"/>
      <c r="D127" s="12"/>
      <c r="G127" s="12"/>
      <c r="H127" s="12"/>
    </row>
    <row r="128" spans="1:9" ht="15.75">
      <c r="B128" s="61" t="s">
        <v>13</v>
      </c>
      <c r="C128" s="229"/>
      <c r="D128" s="229"/>
      <c r="E128" s="229"/>
      <c r="F128" s="69"/>
      <c r="I128" s="63"/>
    </row>
    <row r="129" spans="1:9">
      <c r="A129" s="64"/>
      <c r="C129" s="218" t="s">
        <v>11</v>
      </c>
      <c r="D129" s="218"/>
      <c r="E129" s="218"/>
      <c r="F129" s="64"/>
      <c r="I129" s="62" t="s">
        <v>12</v>
      </c>
    </row>
    <row r="130" spans="1:9" ht="15.75">
      <c r="A130" s="4" t="s">
        <v>14</v>
      </c>
    </row>
    <row r="131" spans="1:9">
      <c r="A131" s="233" t="s">
        <v>15</v>
      </c>
      <c r="B131" s="233"/>
      <c r="C131" s="233"/>
      <c r="D131" s="233"/>
      <c r="E131" s="233"/>
      <c r="F131" s="233"/>
      <c r="G131" s="233"/>
      <c r="H131" s="233"/>
      <c r="I131" s="233"/>
    </row>
    <row r="132" spans="1:9" ht="45" customHeight="1">
      <c r="A132" s="234" t="s">
        <v>16</v>
      </c>
      <c r="B132" s="234"/>
      <c r="C132" s="234"/>
      <c r="D132" s="234"/>
      <c r="E132" s="234"/>
      <c r="F132" s="234"/>
      <c r="G132" s="234"/>
      <c r="H132" s="234"/>
      <c r="I132" s="234"/>
    </row>
    <row r="133" spans="1:9" ht="30" customHeight="1">
      <c r="A133" s="234" t="s">
        <v>17</v>
      </c>
      <c r="B133" s="234"/>
      <c r="C133" s="234"/>
      <c r="D133" s="234"/>
      <c r="E133" s="234"/>
      <c r="F133" s="234"/>
      <c r="G133" s="234"/>
      <c r="H133" s="234"/>
      <c r="I133" s="234"/>
    </row>
    <row r="134" spans="1:9" ht="30" customHeight="1">
      <c r="A134" s="234" t="s">
        <v>21</v>
      </c>
      <c r="B134" s="234"/>
      <c r="C134" s="234"/>
      <c r="D134" s="234"/>
      <c r="E134" s="234"/>
      <c r="F134" s="234"/>
      <c r="G134" s="234"/>
      <c r="H134" s="234"/>
      <c r="I134" s="234"/>
    </row>
    <row r="135" spans="1:9" ht="15" customHeight="1">
      <c r="A135" s="234" t="s">
        <v>20</v>
      </c>
      <c r="B135" s="234"/>
      <c r="C135" s="234"/>
      <c r="D135" s="234"/>
      <c r="E135" s="234"/>
      <c r="F135" s="234"/>
      <c r="G135" s="234"/>
      <c r="H135" s="234"/>
      <c r="I135" s="234"/>
    </row>
  </sheetData>
  <autoFilter ref="I12:I57"/>
  <mergeCells count="29">
    <mergeCell ref="R64:U64"/>
    <mergeCell ref="A85:I85"/>
    <mergeCell ref="A3:I3"/>
    <mergeCell ref="A4:I4"/>
    <mergeCell ref="A5:I5"/>
    <mergeCell ref="A8:I8"/>
    <mergeCell ref="A10:I10"/>
    <mergeCell ref="A14:I14"/>
    <mergeCell ref="A121:I121"/>
    <mergeCell ref="A15:I15"/>
    <mergeCell ref="A27:I27"/>
    <mergeCell ref="A43:I43"/>
    <mergeCell ref="A54:I54"/>
    <mergeCell ref="A115:I115"/>
    <mergeCell ref="B116:G116"/>
    <mergeCell ref="B117:G117"/>
    <mergeCell ref="A119:I119"/>
    <mergeCell ref="A120:I120"/>
    <mergeCell ref="A89:I89"/>
    <mergeCell ref="A132:I132"/>
    <mergeCell ref="A133:I133"/>
    <mergeCell ref="A134:I134"/>
    <mergeCell ref="A135:I135"/>
    <mergeCell ref="A123:I123"/>
    <mergeCell ref="C125:E125"/>
    <mergeCell ref="C126:E126"/>
    <mergeCell ref="C128:E128"/>
    <mergeCell ref="C129:E129"/>
    <mergeCell ref="A131:I13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D39" sqref="D39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1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162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330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43799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hidden="1" customHeight="1">
      <c r="A27" s="32">
        <v>9</v>
      </c>
      <c r="B27" s="152" t="s">
        <v>23</v>
      </c>
      <c r="C27" s="114" t="s">
        <v>24</v>
      </c>
      <c r="D27" s="152" t="s">
        <v>142</v>
      </c>
      <c r="E27" s="148">
        <v>6980.3</v>
      </c>
      <c r="F27" s="149">
        <f>SUM(E27*12)</f>
        <v>83763.600000000006</v>
      </c>
      <c r="G27" s="149">
        <v>4.3099999999999996</v>
      </c>
      <c r="H27" s="75">
        <f>SUM(F27*G27/1000)</f>
        <v>361.02111600000001</v>
      </c>
      <c r="I27" s="13">
        <f>F27/12*G27</f>
        <v>30085.092999999997</v>
      </c>
      <c r="J27" s="26"/>
    </row>
    <row r="28" spans="1:13" ht="15" customHeight="1">
      <c r="A28" s="214" t="s">
        <v>83</v>
      </c>
      <c r="B28" s="214"/>
      <c r="C28" s="214"/>
      <c r="D28" s="214"/>
      <c r="E28" s="214"/>
      <c r="F28" s="214"/>
      <c r="G28" s="214"/>
      <c r="H28" s="214"/>
      <c r="I28" s="214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160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161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1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142</v>
      </c>
      <c r="I37" s="13"/>
      <c r="J37" s="26"/>
    </row>
    <row r="38" spans="1:14" ht="15.75" customHeight="1">
      <c r="A38" s="32">
        <v>5</v>
      </c>
      <c r="B38" s="160" t="s">
        <v>26</v>
      </c>
      <c r="C38" s="114" t="s">
        <v>32</v>
      </c>
      <c r="D38" s="113"/>
      <c r="E38" s="148"/>
      <c r="F38" s="149">
        <v>5</v>
      </c>
      <c r="G38" s="149">
        <v>2083</v>
      </c>
      <c r="H38" s="75">
        <f t="shared" ref="H38:H44" si="3">SUM(F38*G38/1000)</f>
        <v>10.414999999999999</v>
      </c>
      <c r="I38" s="13">
        <f>G38*1.8</f>
        <v>3749.4</v>
      </c>
      <c r="J38" s="26"/>
    </row>
    <row r="39" spans="1:14" ht="15.75" customHeight="1">
      <c r="A39" s="32">
        <v>6</v>
      </c>
      <c r="B39" s="160" t="s">
        <v>105</v>
      </c>
      <c r="C39" s="161" t="s">
        <v>29</v>
      </c>
      <c r="D39" s="113" t="s">
        <v>253</v>
      </c>
      <c r="E39" s="148">
        <v>153</v>
      </c>
      <c r="F39" s="162">
        <f>E39*30/1000</f>
        <v>4.59</v>
      </c>
      <c r="G39" s="149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7</v>
      </c>
      <c r="B40" s="113" t="s">
        <v>66</v>
      </c>
      <c r="C40" s="114" t="s">
        <v>29</v>
      </c>
      <c r="D40" s="113" t="s">
        <v>254</v>
      </c>
      <c r="E40" s="149">
        <v>153</v>
      </c>
      <c r="F40" s="162">
        <f>SUM(E40*155/1000)</f>
        <v>23.715</v>
      </c>
      <c r="G40" s="149">
        <v>478.42</v>
      </c>
      <c r="H40" s="75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hidden="1" customHeight="1">
      <c r="A41" s="32"/>
      <c r="B41" s="113" t="s">
        <v>81</v>
      </c>
      <c r="C41" s="114" t="s">
        <v>87</v>
      </c>
      <c r="D41" s="113" t="s">
        <v>174</v>
      </c>
      <c r="E41" s="149">
        <v>25</v>
      </c>
      <c r="F41" s="162">
        <f>SUM(E41*35/1000)</f>
        <v>0.875</v>
      </c>
      <c r="G41" s="149">
        <v>7915.6</v>
      </c>
      <c r="H41" s="75">
        <f>G41*F41/1000</f>
        <v>6.9261500000000007</v>
      </c>
      <c r="I41" s="13">
        <v>0</v>
      </c>
      <c r="J41" s="26"/>
      <c r="L41" s="19"/>
      <c r="M41" s="20"/>
      <c r="N41" s="21"/>
    </row>
    <row r="42" spans="1:14" ht="15.75" customHeight="1">
      <c r="A42" s="32">
        <v>8</v>
      </c>
      <c r="B42" s="113" t="s">
        <v>81</v>
      </c>
      <c r="C42" s="114" t="s">
        <v>87</v>
      </c>
      <c r="D42" s="113" t="s">
        <v>255</v>
      </c>
      <c r="E42" s="149">
        <v>25</v>
      </c>
      <c r="F42" s="162">
        <f>SUM(E42*35/1000)</f>
        <v>0.875</v>
      </c>
      <c r="G42" s="149">
        <v>7915.6</v>
      </c>
      <c r="H42" s="75">
        <f t="shared" si="3"/>
        <v>6.9261500000000007</v>
      </c>
      <c r="I42" s="13">
        <f>F42/6*G42</f>
        <v>1154.3583333333333</v>
      </c>
      <c r="J42" s="26"/>
      <c r="L42" s="19"/>
      <c r="M42" s="20"/>
      <c r="N42" s="21"/>
    </row>
    <row r="43" spans="1:14" ht="15.75" customHeight="1">
      <c r="A43" s="32">
        <v>9</v>
      </c>
      <c r="B43" s="113" t="s">
        <v>88</v>
      </c>
      <c r="C43" s="114" t="s">
        <v>87</v>
      </c>
      <c r="D43" s="113" t="s">
        <v>256</v>
      </c>
      <c r="E43" s="149">
        <v>153</v>
      </c>
      <c r="F43" s="162">
        <f>SUM(E43*45/1000)</f>
        <v>6.8849999999999998</v>
      </c>
      <c r="G43" s="149">
        <v>584.74</v>
      </c>
      <c r="H43" s="75">
        <f t="shared" si="3"/>
        <v>4.0259348999999993</v>
      </c>
      <c r="I43" s="13">
        <f>F43/7.5*G43</f>
        <v>536.79131999999993</v>
      </c>
      <c r="J43" s="26"/>
      <c r="L43" s="19"/>
      <c r="M43" s="20"/>
      <c r="N43" s="21"/>
    </row>
    <row r="44" spans="1:14" ht="15.75" customHeight="1">
      <c r="A44" s="123">
        <v>10</v>
      </c>
      <c r="B44" s="163" t="s">
        <v>68</v>
      </c>
      <c r="C44" s="164" t="s">
        <v>33</v>
      </c>
      <c r="D44" s="163"/>
      <c r="E44" s="165"/>
      <c r="F44" s="166">
        <v>0.9</v>
      </c>
      <c r="G44" s="166">
        <v>800</v>
      </c>
      <c r="H44" s="83">
        <f t="shared" si="3"/>
        <v>0.72</v>
      </c>
      <c r="I44" s="91">
        <f>F44/7.5*G44</f>
        <v>96.000000000000014</v>
      </c>
      <c r="J44" s="26"/>
      <c r="L44" s="19"/>
      <c r="M44" s="20"/>
      <c r="N44" s="21"/>
    </row>
    <row r="45" spans="1:14" ht="15.75" customHeight="1">
      <c r="A45" s="32">
        <v>11</v>
      </c>
      <c r="B45" s="155" t="s">
        <v>175</v>
      </c>
      <c r="C45" s="167" t="s">
        <v>29</v>
      </c>
      <c r="D45" s="155" t="s">
        <v>251</v>
      </c>
      <c r="E45" s="168">
        <v>4.2</v>
      </c>
      <c r="F45" s="37">
        <f>E45*12/1000</f>
        <v>5.0400000000000007E-2</v>
      </c>
      <c r="G45" s="37">
        <v>270.61</v>
      </c>
      <c r="H45" s="13"/>
      <c r="I45" s="13">
        <f>G45*F45/6</f>
        <v>2.2731240000000006</v>
      </c>
      <c r="J45" s="26"/>
      <c r="L45" s="19"/>
      <c r="M45" s="20"/>
      <c r="N45" s="21"/>
    </row>
    <row r="46" spans="1:14" ht="16.5" customHeight="1">
      <c r="A46" s="238" t="s">
        <v>138</v>
      </c>
      <c r="B46" s="239"/>
      <c r="C46" s="239"/>
      <c r="D46" s="239"/>
      <c r="E46" s="239"/>
      <c r="F46" s="239"/>
      <c r="G46" s="239"/>
      <c r="H46" s="239"/>
      <c r="I46" s="240"/>
      <c r="J46" s="26"/>
      <c r="L46" s="19"/>
      <c r="M46" s="20"/>
      <c r="N46" s="21"/>
    </row>
    <row r="47" spans="1:14" ht="30.75" hidden="1" customHeight="1">
      <c r="A47" s="32"/>
      <c r="B47" s="71" t="s">
        <v>126</v>
      </c>
      <c r="C47" s="72" t="s">
        <v>87</v>
      </c>
      <c r="D47" s="71" t="s">
        <v>42</v>
      </c>
      <c r="E47" s="73">
        <v>1895</v>
      </c>
      <c r="F47" s="74">
        <f>SUM(E47*2/1000)</f>
        <v>3.79</v>
      </c>
      <c r="G47" s="13">
        <v>849.49</v>
      </c>
      <c r="H47" s="75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33" hidden="1" customHeight="1">
      <c r="A48" s="32"/>
      <c r="B48" s="71" t="s">
        <v>34</v>
      </c>
      <c r="C48" s="72" t="s">
        <v>87</v>
      </c>
      <c r="D48" s="71" t="s">
        <v>42</v>
      </c>
      <c r="E48" s="73">
        <v>118.2</v>
      </c>
      <c r="F48" s="74">
        <f>E48*2/1000</f>
        <v>0.2364</v>
      </c>
      <c r="G48" s="13">
        <v>579.48</v>
      </c>
      <c r="H48" s="75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32.25" hidden="1" customHeight="1">
      <c r="A49" s="32"/>
      <c r="B49" s="71" t="s">
        <v>35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579.48</v>
      </c>
      <c r="H49" s="75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71" t="s">
        <v>36</v>
      </c>
      <c r="C50" s="72" t="s">
        <v>87</v>
      </c>
      <c r="D50" s="71" t="s">
        <v>42</v>
      </c>
      <c r="E50" s="73">
        <v>4675</v>
      </c>
      <c r="F50" s="74">
        <f>SUM(E50*2/1000)</f>
        <v>9.35</v>
      </c>
      <c r="G50" s="13">
        <v>606.77</v>
      </c>
      <c r="H50" s="75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38.25" hidden="1" customHeight="1">
      <c r="A51" s="32">
        <v>17</v>
      </c>
      <c r="B51" s="71" t="s">
        <v>55</v>
      </c>
      <c r="C51" s="72" t="s">
        <v>87</v>
      </c>
      <c r="D51" s="71" t="s">
        <v>146</v>
      </c>
      <c r="E51" s="73">
        <v>3988</v>
      </c>
      <c r="F51" s="74">
        <f>SUM(E51*5/1000)</f>
        <v>19.940000000000001</v>
      </c>
      <c r="G51" s="13">
        <v>1142.7</v>
      </c>
      <c r="H51" s="75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6" hidden="1" customHeight="1">
      <c r="A52" s="32"/>
      <c r="B52" s="71" t="s">
        <v>89</v>
      </c>
      <c r="C52" s="72" t="s">
        <v>87</v>
      </c>
      <c r="D52" s="71" t="s">
        <v>42</v>
      </c>
      <c r="E52" s="73">
        <v>3988</v>
      </c>
      <c r="F52" s="74">
        <f>SUM(E52*2/1000)</f>
        <v>7.976</v>
      </c>
      <c r="G52" s="13">
        <v>1213.55</v>
      </c>
      <c r="H52" s="75">
        <f t="shared" si="4"/>
        <v>9.6792748</v>
      </c>
      <c r="I52" s="13">
        <v>0</v>
      </c>
      <c r="J52" s="26"/>
      <c r="L52" s="19"/>
      <c r="M52" s="20"/>
      <c r="N52" s="21"/>
    </row>
    <row r="53" spans="1:22" ht="30" hidden="1" customHeight="1">
      <c r="A53" s="32"/>
      <c r="B53" s="71" t="s">
        <v>90</v>
      </c>
      <c r="C53" s="72" t="s">
        <v>37</v>
      </c>
      <c r="D53" s="71" t="s">
        <v>42</v>
      </c>
      <c r="E53" s="73">
        <v>30</v>
      </c>
      <c r="F53" s="74">
        <f>SUM(E53*2/100)</f>
        <v>0.6</v>
      </c>
      <c r="G53" s="13">
        <v>2730.49</v>
      </c>
      <c r="H53" s="75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27" hidden="1" customHeight="1">
      <c r="A54" s="32"/>
      <c r="B54" s="71" t="s">
        <v>38</v>
      </c>
      <c r="C54" s="72" t="s">
        <v>39</v>
      </c>
      <c r="D54" s="71" t="s">
        <v>42</v>
      </c>
      <c r="E54" s="73">
        <v>1</v>
      </c>
      <c r="F54" s="74">
        <v>0.02</v>
      </c>
      <c r="G54" s="13">
        <v>5652.13</v>
      </c>
      <c r="H54" s="75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24" hidden="1" customHeight="1">
      <c r="A55" s="123">
        <v>18</v>
      </c>
      <c r="B55" s="80" t="s">
        <v>41</v>
      </c>
      <c r="C55" s="81" t="s">
        <v>106</v>
      </c>
      <c r="D55" s="80" t="s">
        <v>69</v>
      </c>
      <c r="E55" s="82">
        <v>236</v>
      </c>
      <c r="F55" s="85">
        <f>SUM(E55)*3</f>
        <v>708</v>
      </c>
      <c r="G55" s="91">
        <v>65.67</v>
      </c>
      <c r="H55" s="83">
        <f t="shared" si="4"/>
        <v>46.49436</v>
      </c>
      <c r="I55" s="91">
        <f>E55*G55</f>
        <v>15498.12</v>
      </c>
      <c r="J55" s="26"/>
      <c r="L55" s="19"/>
      <c r="M55" s="20"/>
      <c r="N55" s="21"/>
    </row>
    <row r="56" spans="1:22" ht="15.75" customHeight="1">
      <c r="A56" s="172">
        <v>12</v>
      </c>
      <c r="B56" s="39" t="s">
        <v>177</v>
      </c>
      <c r="C56" s="169" t="s">
        <v>106</v>
      </c>
      <c r="D56" s="113" t="s">
        <v>259</v>
      </c>
      <c r="E56" s="148">
        <v>5</v>
      </c>
      <c r="F56" s="170">
        <v>60</v>
      </c>
      <c r="G56" s="37">
        <v>903.71</v>
      </c>
      <c r="H56" s="171">
        <v>270.61</v>
      </c>
      <c r="I56" s="13">
        <f>G56*F56/12</f>
        <v>4518.55</v>
      </c>
      <c r="J56" s="66"/>
      <c r="L56" s="19"/>
      <c r="M56" s="20"/>
      <c r="N56" s="21"/>
    </row>
    <row r="57" spans="1:22" ht="15.75" customHeight="1">
      <c r="A57" s="215" t="s">
        <v>139</v>
      </c>
      <c r="B57" s="216"/>
      <c r="C57" s="216"/>
      <c r="D57" s="216"/>
      <c r="E57" s="216"/>
      <c r="F57" s="216"/>
      <c r="G57" s="216"/>
      <c r="H57" s="216"/>
      <c r="I57" s="217"/>
      <c r="J57" s="26"/>
      <c r="L57" s="19"/>
      <c r="M57" s="20"/>
      <c r="N57" s="21"/>
    </row>
    <row r="58" spans="1:22" ht="15.75" hidden="1" customHeight="1">
      <c r="A58" s="32"/>
      <c r="B58" s="92" t="s">
        <v>43</v>
      </c>
      <c r="C58" s="72"/>
      <c r="D58" s="71"/>
      <c r="E58" s="73"/>
      <c r="F58" s="74"/>
      <c r="G58" s="74"/>
      <c r="H58" s="75"/>
      <c r="I58" s="13"/>
      <c r="J58" s="26"/>
      <c r="L58" s="19"/>
      <c r="M58" s="20"/>
      <c r="N58" s="21"/>
    </row>
    <row r="59" spans="1:22" ht="31.5" hidden="1" customHeight="1">
      <c r="A59" s="32">
        <v>17</v>
      </c>
      <c r="B59" s="71" t="s">
        <v>127</v>
      </c>
      <c r="C59" s="72" t="s">
        <v>85</v>
      </c>
      <c r="D59" s="71" t="s">
        <v>107</v>
      </c>
      <c r="E59" s="73">
        <v>30</v>
      </c>
      <c r="F59" s="74">
        <f>SUM(E59*6/100)</f>
        <v>1.8</v>
      </c>
      <c r="G59" s="13">
        <v>1547.28</v>
      </c>
      <c r="H59" s="75">
        <f>SUM(F59*G59/1000)</f>
        <v>2.785104</v>
      </c>
      <c r="I59" s="13">
        <f>F59/6*G59</f>
        <v>464.18399999999997</v>
      </c>
      <c r="J59" s="26"/>
      <c r="L59" s="19"/>
    </row>
    <row r="60" spans="1:22" ht="15.75" hidden="1" customHeight="1">
      <c r="A60" s="32">
        <v>20</v>
      </c>
      <c r="B60" s="80" t="s">
        <v>128</v>
      </c>
      <c r="C60" s="81" t="s">
        <v>129</v>
      </c>
      <c r="D60" s="80" t="s">
        <v>42</v>
      </c>
      <c r="E60" s="82">
        <v>6</v>
      </c>
      <c r="F60" s="83">
        <v>12</v>
      </c>
      <c r="G60" s="13">
        <v>180.78</v>
      </c>
      <c r="H60" s="84">
        <f>G60*F60/1000</f>
        <v>2.1693600000000002</v>
      </c>
      <c r="I60" s="13">
        <f>F60/2*G60</f>
        <v>1084.68</v>
      </c>
    </row>
    <row r="61" spans="1:22" ht="15.75" hidden="1" customHeight="1">
      <c r="A61" s="32">
        <v>21</v>
      </c>
      <c r="B61" s="80" t="s">
        <v>130</v>
      </c>
      <c r="C61" s="81" t="s">
        <v>52</v>
      </c>
      <c r="D61" s="80" t="s">
        <v>40</v>
      </c>
      <c r="E61" s="82">
        <v>6</v>
      </c>
      <c r="F61" s="83">
        <f>E61*4/100</f>
        <v>0.24</v>
      </c>
      <c r="G61" s="13">
        <v>1547.28</v>
      </c>
      <c r="H61" s="84">
        <f>G61*F61/1000</f>
        <v>0.37134719999999999</v>
      </c>
      <c r="I61" s="13">
        <f>F61/4*G61</f>
        <v>92.836799999999997</v>
      </c>
    </row>
    <row r="62" spans="1:22" ht="15.75" customHeight="1">
      <c r="A62" s="32"/>
      <c r="B62" s="93" t="s">
        <v>44</v>
      </c>
      <c r="C62" s="81"/>
      <c r="D62" s="80"/>
      <c r="E62" s="82"/>
      <c r="F62" s="83"/>
      <c r="G62" s="13"/>
      <c r="H62" s="84"/>
      <c r="I62" s="13"/>
    </row>
    <row r="63" spans="1:22" ht="15.75" hidden="1" customHeight="1">
      <c r="A63" s="32">
        <v>22</v>
      </c>
      <c r="B63" s="80" t="s">
        <v>131</v>
      </c>
      <c r="C63" s="81" t="s">
        <v>52</v>
      </c>
      <c r="D63" s="80" t="s">
        <v>53</v>
      </c>
      <c r="E63" s="82">
        <v>997</v>
      </c>
      <c r="F63" s="83">
        <v>9.9700000000000006</v>
      </c>
      <c r="G63" s="13">
        <v>793.61</v>
      </c>
      <c r="H63" s="84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13</v>
      </c>
      <c r="B64" s="107" t="s">
        <v>132</v>
      </c>
      <c r="C64" s="108" t="s">
        <v>25</v>
      </c>
      <c r="D64" s="107" t="s">
        <v>259</v>
      </c>
      <c r="E64" s="109">
        <v>200</v>
      </c>
      <c r="F64" s="110">
        <f>E64*12</f>
        <v>2400</v>
      </c>
      <c r="G64" s="111">
        <v>1.4</v>
      </c>
      <c r="H64" s="83">
        <f>F64*G64/1000</f>
        <v>3.36</v>
      </c>
      <c r="I64" s="13">
        <f>F64/12*G64</f>
        <v>280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>
      <c r="A65" s="32"/>
      <c r="B65" s="93" t="s">
        <v>45</v>
      </c>
      <c r="C65" s="81"/>
      <c r="D65" s="80"/>
      <c r="E65" s="82"/>
      <c r="F65" s="85"/>
      <c r="G65" s="85"/>
      <c r="H65" s="83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customHeight="1">
      <c r="A66" s="32">
        <v>14</v>
      </c>
      <c r="B66" s="14" t="s">
        <v>46</v>
      </c>
      <c r="C66" s="16" t="s">
        <v>106</v>
      </c>
      <c r="D66" s="71" t="s">
        <v>258</v>
      </c>
      <c r="E66" s="18">
        <v>15</v>
      </c>
      <c r="F66" s="74">
        <v>15</v>
      </c>
      <c r="G66" s="127">
        <v>303.35000000000002</v>
      </c>
      <c r="H66" s="86">
        <f t="shared" ref="H66:H82" si="5">SUM(F66*G66/1000)</f>
        <v>4.5502500000000001</v>
      </c>
      <c r="I66" s="13">
        <f>G66</f>
        <v>303.35000000000002</v>
      </c>
      <c r="J66" s="5"/>
      <c r="K66" s="5"/>
      <c r="L66" s="5"/>
      <c r="M66" s="5"/>
      <c r="N66" s="5"/>
      <c r="O66" s="5"/>
      <c r="P66" s="5"/>
      <c r="Q66" s="5"/>
      <c r="R66" s="218"/>
      <c r="S66" s="218"/>
      <c r="T66" s="218"/>
      <c r="U66" s="218"/>
    </row>
    <row r="67" spans="1:21" ht="15.75" hidden="1" customHeight="1">
      <c r="A67" s="32">
        <v>25</v>
      </c>
      <c r="B67" s="14" t="s">
        <v>47</v>
      </c>
      <c r="C67" s="16" t="s">
        <v>106</v>
      </c>
      <c r="D67" s="71" t="s">
        <v>65</v>
      </c>
      <c r="E67" s="18">
        <v>10</v>
      </c>
      <c r="F67" s="74">
        <v>10</v>
      </c>
      <c r="G67" s="13">
        <v>76.25</v>
      </c>
      <c r="H67" s="86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108</v>
      </c>
      <c r="D68" s="14" t="s">
        <v>53</v>
      </c>
      <c r="E68" s="73">
        <v>28608</v>
      </c>
      <c r="F68" s="13">
        <f>SUM(E68/100)</f>
        <v>286.08</v>
      </c>
      <c r="G68" s="13">
        <v>199.77</v>
      </c>
      <c r="H68" s="86">
        <f t="shared" si="5"/>
        <v>57.150201600000003</v>
      </c>
      <c r="I68" s="13">
        <f>F68*G68</f>
        <v>57150.2016</v>
      </c>
    </row>
    <row r="69" spans="1:21" ht="15" hidden="1" customHeight="1">
      <c r="A69" s="32"/>
      <c r="B69" s="14" t="s">
        <v>49</v>
      </c>
      <c r="C69" s="16" t="s">
        <v>109</v>
      </c>
      <c r="D69" s="14"/>
      <c r="E69" s="73">
        <v>28608</v>
      </c>
      <c r="F69" s="13">
        <f>SUM(E69/1000)</f>
        <v>28.608000000000001</v>
      </c>
      <c r="G69" s="13">
        <v>155.57</v>
      </c>
      <c r="H69" s="86">
        <f t="shared" si="5"/>
        <v>4.4505465599999994</v>
      </c>
      <c r="I69" s="13">
        <f t="shared" ref="I69:I73" si="6">F69*G69</f>
        <v>4450.5465599999998</v>
      </c>
    </row>
    <row r="70" spans="1:21" ht="13.5" hidden="1" customHeight="1">
      <c r="A70" s="32"/>
      <c r="B70" s="14" t="s">
        <v>50</v>
      </c>
      <c r="C70" s="16" t="s">
        <v>75</v>
      </c>
      <c r="D70" s="14" t="s">
        <v>53</v>
      </c>
      <c r="E70" s="73">
        <v>4550</v>
      </c>
      <c r="F70" s="13">
        <f>SUM(E70/100)</f>
        <v>45.5</v>
      </c>
      <c r="G70" s="13">
        <v>2074.63</v>
      </c>
      <c r="H70" s="86">
        <f t="shared" si="5"/>
        <v>94.395665000000008</v>
      </c>
      <c r="I70" s="13">
        <f t="shared" si="6"/>
        <v>94395.665000000008</v>
      </c>
    </row>
    <row r="71" spans="1:21" ht="16.5" hidden="1" customHeight="1">
      <c r="A71" s="32"/>
      <c r="B71" s="87" t="s">
        <v>110</v>
      </c>
      <c r="C71" s="16" t="s">
        <v>33</v>
      </c>
      <c r="D71" s="14"/>
      <c r="E71" s="73">
        <v>58.5</v>
      </c>
      <c r="F71" s="13">
        <f>SUM(E71)</f>
        <v>58.5</v>
      </c>
      <c r="G71" s="13">
        <v>45.32</v>
      </c>
      <c r="H71" s="86">
        <f t="shared" si="5"/>
        <v>2.6512199999999999</v>
      </c>
      <c r="I71" s="13">
        <f t="shared" si="6"/>
        <v>2651.22</v>
      </c>
    </row>
    <row r="72" spans="1:21" ht="18.75" hidden="1" customHeight="1">
      <c r="A72" s="32"/>
      <c r="B72" s="87" t="s">
        <v>111</v>
      </c>
      <c r="C72" s="16" t="s">
        <v>33</v>
      </c>
      <c r="D72" s="14"/>
      <c r="E72" s="73">
        <v>58.5</v>
      </c>
      <c r="F72" s="13">
        <f>SUM(E72)</f>
        <v>58.5</v>
      </c>
      <c r="G72" s="13">
        <v>42.28</v>
      </c>
      <c r="H72" s="86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56</v>
      </c>
      <c r="C73" s="16" t="s">
        <v>57</v>
      </c>
      <c r="D73" s="14" t="s">
        <v>53</v>
      </c>
      <c r="E73" s="18">
        <v>5</v>
      </c>
      <c r="F73" s="74">
        <v>5</v>
      </c>
      <c r="G73" s="13">
        <v>49.88</v>
      </c>
      <c r="H73" s="86">
        <f t="shared" si="5"/>
        <v>0.24940000000000001</v>
      </c>
      <c r="I73" s="13">
        <f t="shared" si="6"/>
        <v>249.4</v>
      </c>
    </row>
    <row r="74" spans="1:21" ht="24.75" customHeight="1">
      <c r="A74" s="32"/>
      <c r="B74" s="157" t="s">
        <v>181</v>
      </c>
      <c r="C74" s="156"/>
      <c r="D74" s="39"/>
      <c r="E74" s="17"/>
      <c r="F74" s="111"/>
      <c r="G74" s="36"/>
      <c r="H74" s="86"/>
      <c r="I74" s="13"/>
    </row>
    <row r="75" spans="1:21" ht="30.75" customHeight="1">
      <c r="A75" s="32">
        <v>15</v>
      </c>
      <c r="B75" s="39" t="s">
        <v>182</v>
      </c>
      <c r="C75" s="158" t="s">
        <v>183</v>
      </c>
      <c r="D75" s="39"/>
      <c r="E75" s="17">
        <v>6980.3</v>
      </c>
      <c r="F75" s="36">
        <f>E75*12</f>
        <v>83763.600000000006</v>
      </c>
      <c r="G75" s="36">
        <v>2.37</v>
      </c>
      <c r="H75" s="86"/>
      <c r="I75" s="13">
        <f>G75*F75/12</f>
        <v>16543.311000000002</v>
      </c>
    </row>
    <row r="76" spans="1:21" ht="15" customHeight="1">
      <c r="A76" s="32"/>
      <c r="B76" s="96" t="s">
        <v>70</v>
      </c>
      <c r="C76" s="16"/>
      <c r="D76" s="14"/>
      <c r="E76" s="18"/>
      <c r="F76" s="13"/>
      <c r="G76" s="13"/>
      <c r="H76" s="86" t="s">
        <v>142</v>
      </c>
      <c r="I76" s="13"/>
    </row>
    <row r="77" spans="1:21" ht="27" hidden="1" customHeight="1">
      <c r="A77" s="32">
        <v>16</v>
      </c>
      <c r="B77" s="14" t="s">
        <v>71</v>
      </c>
      <c r="C77" s="16" t="s">
        <v>73</v>
      </c>
      <c r="D77" s="14"/>
      <c r="E77" s="18">
        <v>10</v>
      </c>
      <c r="F77" s="13">
        <v>1</v>
      </c>
      <c r="G77" s="13">
        <v>501.62</v>
      </c>
      <c r="H77" s="86">
        <f t="shared" si="5"/>
        <v>0.50161999999999995</v>
      </c>
      <c r="I77" s="13">
        <f>G77*2</f>
        <v>1003.24</v>
      </c>
    </row>
    <row r="78" spans="1:21" ht="21.75" hidden="1" customHeight="1">
      <c r="A78" s="32"/>
      <c r="B78" s="14" t="s">
        <v>72</v>
      </c>
      <c r="C78" s="16" t="s">
        <v>31</v>
      </c>
      <c r="D78" s="14"/>
      <c r="E78" s="18">
        <v>3</v>
      </c>
      <c r="F78" s="66">
        <v>3</v>
      </c>
      <c r="G78" s="13">
        <v>852.99</v>
      </c>
      <c r="H78" s="86">
        <f>F78*G78/1000</f>
        <v>2.5589700000000004</v>
      </c>
      <c r="I78" s="13">
        <v>0</v>
      </c>
    </row>
    <row r="79" spans="1:21" ht="30.75" hidden="1" customHeight="1">
      <c r="A79" s="32"/>
      <c r="B79" s="14" t="s">
        <v>113</v>
      </c>
      <c r="C79" s="16" t="s">
        <v>31</v>
      </c>
      <c r="D79" s="14"/>
      <c r="E79" s="18">
        <v>1</v>
      </c>
      <c r="F79" s="13">
        <v>1</v>
      </c>
      <c r="G79" s="13">
        <v>358.51</v>
      </c>
      <c r="H79" s="86">
        <f>G79*F79/1000</f>
        <v>0.35851</v>
      </c>
      <c r="I79" s="13">
        <v>0</v>
      </c>
    </row>
    <row r="80" spans="1:21" ht="30.75" customHeight="1">
      <c r="A80" s="32">
        <v>16</v>
      </c>
      <c r="B80" s="39" t="s">
        <v>188</v>
      </c>
      <c r="C80" s="156" t="s">
        <v>106</v>
      </c>
      <c r="D80" s="39" t="s">
        <v>259</v>
      </c>
      <c r="E80" s="17">
        <v>2</v>
      </c>
      <c r="F80" s="36">
        <v>24</v>
      </c>
      <c r="G80" s="36">
        <v>55.55</v>
      </c>
      <c r="H80" s="86">
        <f>G80*F80/1000</f>
        <v>1.3331999999999997</v>
      </c>
      <c r="I80" s="13">
        <f>G80*F80/12</f>
        <v>111.09999999999998</v>
      </c>
    </row>
    <row r="81" spans="1:9" ht="23.25" hidden="1" customHeight="1">
      <c r="A81" s="32"/>
      <c r="B81" s="89" t="s">
        <v>74</v>
      </c>
      <c r="C81" s="16"/>
      <c r="D81" s="14"/>
      <c r="E81" s="18"/>
      <c r="F81" s="13"/>
      <c r="G81" s="13" t="s">
        <v>142</v>
      </c>
      <c r="H81" s="86" t="s">
        <v>142</v>
      </c>
      <c r="I81" s="13"/>
    </row>
    <row r="82" spans="1:9" ht="23.25" hidden="1" customHeight="1">
      <c r="A82" s="32"/>
      <c r="B82" s="47" t="s">
        <v>147</v>
      </c>
      <c r="C82" s="16" t="s">
        <v>75</v>
      </c>
      <c r="D82" s="14"/>
      <c r="E82" s="18"/>
      <c r="F82" s="13">
        <v>1.2</v>
      </c>
      <c r="G82" s="13">
        <v>2759.44</v>
      </c>
      <c r="H82" s="86">
        <f t="shared" si="5"/>
        <v>3.311328</v>
      </c>
      <c r="I82" s="13">
        <v>0</v>
      </c>
    </row>
    <row r="83" spans="1:9" ht="20.2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SUM(H59:H82)</f>
        <v>191.34489406</v>
      </c>
      <c r="I83" s="77"/>
    </row>
    <row r="84" spans="1:9" ht="20.25" hidden="1" customHeight="1">
      <c r="A84" s="32"/>
      <c r="B84" s="94" t="s">
        <v>112</v>
      </c>
      <c r="C84" s="23"/>
      <c r="D84" s="22"/>
      <c r="E84" s="67"/>
      <c r="F84" s="95">
        <v>1</v>
      </c>
      <c r="G84" s="13">
        <v>23072.1</v>
      </c>
      <c r="H84" s="86">
        <f>G84*F84/1000</f>
        <v>23.072099999999999</v>
      </c>
      <c r="I84" s="13">
        <v>0</v>
      </c>
    </row>
    <row r="85" spans="1:9" ht="15.75" customHeight="1">
      <c r="A85" s="219" t="s">
        <v>140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17</v>
      </c>
      <c r="B86" s="113" t="s">
        <v>114</v>
      </c>
      <c r="C86" s="156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18</v>
      </c>
      <c r="B87" s="39" t="s">
        <v>76</v>
      </c>
      <c r="C87" s="156"/>
      <c r="D87" s="103"/>
      <c r="E87" s="148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I87+I86+I80+I75+I66+I64+I56+I45+I44+I43+I42+I40+I39+I38+I26+I18+I17+I16</f>
        <v>112747.41594733334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15.75" customHeight="1">
      <c r="A90" s="32">
        <v>19</v>
      </c>
      <c r="B90" s="51" t="s">
        <v>80</v>
      </c>
      <c r="C90" s="52" t="s">
        <v>106</v>
      </c>
      <c r="D90" s="14"/>
      <c r="E90" s="18"/>
      <c r="F90" s="13">
        <v>1440</v>
      </c>
      <c r="G90" s="36">
        <v>207.55</v>
      </c>
      <c r="H90" s="86">
        <f t="shared" ref="H90" si="7">G90*F90/1000</f>
        <v>298.87200000000001</v>
      </c>
      <c r="I90" s="13">
        <f>G90*2</f>
        <v>415.1</v>
      </c>
    </row>
    <row r="91" spans="1:9" ht="18" customHeight="1">
      <c r="A91" s="32">
        <v>20</v>
      </c>
      <c r="B91" s="51" t="s">
        <v>203</v>
      </c>
      <c r="C91" s="52" t="s">
        <v>166</v>
      </c>
      <c r="D91" s="47"/>
      <c r="E91" s="36"/>
      <c r="F91" s="36">
        <f>1/10</f>
        <v>0.1</v>
      </c>
      <c r="G91" s="36">
        <v>273</v>
      </c>
      <c r="H91" s="102">
        <f>G91*F91/1000</f>
        <v>2.7300000000000001E-2</v>
      </c>
      <c r="I91" s="13">
        <f>G91*16</f>
        <v>4368</v>
      </c>
    </row>
    <row r="92" spans="1:9" ht="18" customHeight="1">
      <c r="A92" s="32">
        <v>21</v>
      </c>
      <c r="B92" s="51" t="s">
        <v>234</v>
      </c>
      <c r="C92" s="52" t="s">
        <v>167</v>
      </c>
      <c r="D92" s="47"/>
      <c r="E92" s="36"/>
      <c r="F92" s="36">
        <f>0.218/10</f>
        <v>2.18E-2</v>
      </c>
      <c r="G92" s="36">
        <v>26095.37</v>
      </c>
      <c r="H92" s="102">
        <f>G92*F92/1000</f>
        <v>0.56887906599999993</v>
      </c>
      <c r="I92" s="13">
        <f>G92*0.01</f>
        <v>260.95369999999997</v>
      </c>
    </row>
    <row r="93" spans="1:9" ht="27.75" customHeight="1">
      <c r="A93" s="32">
        <v>22</v>
      </c>
      <c r="B93" s="51" t="s">
        <v>195</v>
      </c>
      <c r="C93" s="52" t="s">
        <v>145</v>
      </c>
      <c r="D93" s="47" t="s">
        <v>338</v>
      </c>
      <c r="E93" s="36"/>
      <c r="F93" s="36"/>
      <c r="G93" s="36">
        <v>561.86</v>
      </c>
      <c r="H93" s="102"/>
      <c r="I93" s="13">
        <f>G93*1</f>
        <v>561.86</v>
      </c>
    </row>
    <row r="94" spans="1:9" ht="45" customHeight="1">
      <c r="A94" s="32">
        <v>23</v>
      </c>
      <c r="B94" s="51" t="s">
        <v>222</v>
      </c>
      <c r="C94" s="52" t="s">
        <v>145</v>
      </c>
      <c r="D94" s="14" t="s">
        <v>342</v>
      </c>
      <c r="E94" s="36"/>
      <c r="F94" s="36"/>
      <c r="G94" s="36">
        <v>644.72</v>
      </c>
      <c r="H94" s="102"/>
      <c r="I94" s="13">
        <f>G94*4</f>
        <v>2578.88</v>
      </c>
    </row>
    <row r="95" spans="1:9" ht="32.25" customHeight="1">
      <c r="A95" s="32">
        <v>24</v>
      </c>
      <c r="B95" s="51" t="s">
        <v>265</v>
      </c>
      <c r="C95" s="52" t="s">
        <v>145</v>
      </c>
      <c r="D95" s="47" t="s">
        <v>341</v>
      </c>
      <c r="E95" s="36"/>
      <c r="F95" s="36"/>
      <c r="G95" s="36">
        <v>878.3</v>
      </c>
      <c r="H95" s="102"/>
      <c r="I95" s="13">
        <f>G95*3</f>
        <v>2634.8999999999996</v>
      </c>
    </row>
    <row r="96" spans="1:9" ht="17.25" customHeight="1">
      <c r="A96" s="32">
        <v>25</v>
      </c>
      <c r="B96" s="51" t="s">
        <v>223</v>
      </c>
      <c r="C96" s="52" t="s">
        <v>82</v>
      </c>
      <c r="D96" s="47" t="s">
        <v>336</v>
      </c>
      <c r="E96" s="36"/>
      <c r="F96" s="36"/>
      <c r="G96" s="36">
        <v>259.52999999999997</v>
      </c>
      <c r="H96" s="102"/>
      <c r="I96" s="13">
        <f>G96*2</f>
        <v>519.05999999999995</v>
      </c>
    </row>
    <row r="97" spans="1:9" ht="48" customHeight="1">
      <c r="A97" s="32">
        <v>26</v>
      </c>
      <c r="B97" s="51" t="s">
        <v>224</v>
      </c>
      <c r="C97" s="52" t="s">
        <v>82</v>
      </c>
      <c r="D97" s="14" t="s">
        <v>340</v>
      </c>
      <c r="E97" s="36"/>
      <c r="F97" s="36"/>
      <c r="G97" s="36">
        <v>214.07</v>
      </c>
      <c r="H97" s="102"/>
      <c r="I97" s="13">
        <f>G97*3</f>
        <v>642.21</v>
      </c>
    </row>
    <row r="98" spans="1:9" ht="17.25" customHeight="1">
      <c r="A98" s="32">
        <v>27</v>
      </c>
      <c r="B98" s="51" t="s">
        <v>331</v>
      </c>
      <c r="C98" s="106" t="s">
        <v>332</v>
      </c>
      <c r="D98" s="47" t="s">
        <v>337</v>
      </c>
      <c r="E98" s="36"/>
      <c r="F98" s="36"/>
      <c r="G98" s="36">
        <v>202.42</v>
      </c>
      <c r="H98" s="102"/>
      <c r="I98" s="13">
        <f>G98*2</f>
        <v>404.84</v>
      </c>
    </row>
    <row r="99" spans="1:9" ht="18" customHeight="1">
      <c r="A99" s="32">
        <v>28</v>
      </c>
      <c r="B99" s="51" t="s">
        <v>333</v>
      </c>
      <c r="C99" s="52" t="s">
        <v>334</v>
      </c>
      <c r="D99" s="47" t="s">
        <v>337</v>
      </c>
      <c r="E99" s="36"/>
      <c r="F99" s="36"/>
      <c r="G99" s="36">
        <v>225.75</v>
      </c>
      <c r="H99" s="102"/>
      <c r="I99" s="13">
        <f>G99*2</f>
        <v>451.5</v>
      </c>
    </row>
    <row r="100" spans="1:9" ht="17.25" customHeight="1">
      <c r="A100" s="32">
        <v>29</v>
      </c>
      <c r="B100" s="159" t="s">
        <v>335</v>
      </c>
      <c r="C100" s="158" t="s">
        <v>93</v>
      </c>
      <c r="D100" s="47" t="s">
        <v>339</v>
      </c>
      <c r="E100" s="36"/>
      <c r="F100" s="36"/>
      <c r="G100" s="36">
        <v>3587.49</v>
      </c>
      <c r="H100" s="102"/>
      <c r="I100" s="13">
        <f>G100*0.621</f>
        <v>2227.8312899999996</v>
      </c>
    </row>
    <row r="101" spans="1:9" ht="15.75" customHeight="1">
      <c r="A101" s="32"/>
      <c r="B101" s="45" t="s">
        <v>51</v>
      </c>
      <c r="C101" s="41"/>
      <c r="D101" s="48"/>
      <c r="E101" s="41">
        <v>1</v>
      </c>
      <c r="F101" s="41"/>
      <c r="G101" s="41"/>
      <c r="H101" s="41"/>
      <c r="I101" s="34">
        <f>SUM(I90:I100)</f>
        <v>15065.13499</v>
      </c>
    </row>
    <row r="102" spans="1:9">
      <c r="A102" s="32"/>
      <c r="B102" s="47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>
      <c r="A103" s="49"/>
      <c r="B103" s="46" t="s">
        <v>158</v>
      </c>
      <c r="C103" s="35"/>
      <c r="D103" s="35"/>
      <c r="E103" s="35"/>
      <c r="F103" s="35"/>
      <c r="G103" s="35"/>
      <c r="H103" s="35"/>
      <c r="I103" s="44">
        <f>I88+I101</f>
        <v>127812.55093733335</v>
      </c>
    </row>
    <row r="104" spans="1:9" ht="15.75">
      <c r="A104" s="222" t="s">
        <v>343</v>
      </c>
      <c r="B104" s="222"/>
      <c r="C104" s="222"/>
      <c r="D104" s="222"/>
      <c r="E104" s="222"/>
      <c r="F104" s="222"/>
      <c r="G104" s="222"/>
      <c r="H104" s="222"/>
      <c r="I104" s="222"/>
    </row>
    <row r="105" spans="1:9" ht="15.75" customHeight="1">
      <c r="A105" s="58"/>
      <c r="B105" s="223" t="s">
        <v>344</v>
      </c>
      <c r="C105" s="223"/>
      <c r="D105" s="223"/>
      <c r="E105" s="223"/>
      <c r="F105" s="223"/>
      <c r="G105" s="223"/>
      <c r="H105" s="70"/>
      <c r="I105" s="3"/>
    </row>
    <row r="106" spans="1:9">
      <c r="A106" s="98"/>
      <c r="B106" s="224" t="s">
        <v>6</v>
      </c>
      <c r="C106" s="224"/>
      <c r="D106" s="224"/>
      <c r="E106" s="224"/>
      <c r="F106" s="224"/>
      <c r="G106" s="224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25" t="s">
        <v>7</v>
      </c>
      <c r="B108" s="225"/>
      <c r="C108" s="225"/>
      <c r="D108" s="225"/>
      <c r="E108" s="225"/>
      <c r="F108" s="225"/>
      <c r="G108" s="225"/>
      <c r="H108" s="225"/>
      <c r="I108" s="225"/>
    </row>
    <row r="109" spans="1:9" ht="15.75">
      <c r="A109" s="225" t="s">
        <v>8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15.75">
      <c r="A110" s="226" t="s">
        <v>60</v>
      </c>
      <c r="B110" s="226"/>
      <c r="C110" s="226"/>
      <c r="D110" s="226"/>
      <c r="E110" s="226"/>
      <c r="F110" s="226"/>
      <c r="G110" s="226"/>
      <c r="H110" s="226"/>
      <c r="I110" s="226"/>
    </row>
    <row r="111" spans="1:9" ht="15.75">
      <c r="A111" s="11"/>
    </row>
    <row r="112" spans="1:9" ht="15.75">
      <c r="A112" s="227" t="s">
        <v>9</v>
      </c>
      <c r="B112" s="227"/>
      <c r="C112" s="227"/>
      <c r="D112" s="227"/>
      <c r="E112" s="227"/>
      <c r="F112" s="227"/>
      <c r="G112" s="227"/>
      <c r="H112" s="227"/>
      <c r="I112" s="227"/>
    </row>
    <row r="113" spans="1:9" ht="15.75" customHeight="1">
      <c r="A113" s="4"/>
    </row>
    <row r="114" spans="1:9" ht="15.75" customHeight="1">
      <c r="B114" s="100" t="s">
        <v>10</v>
      </c>
      <c r="C114" s="228" t="s">
        <v>135</v>
      </c>
      <c r="D114" s="228"/>
      <c r="E114" s="228"/>
      <c r="F114" s="68"/>
      <c r="I114" s="101"/>
    </row>
    <row r="115" spans="1:9" ht="15.75" customHeight="1">
      <c r="A115" s="98"/>
      <c r="C115" s="224" t="s">
        <v>11</v>
      </c>
      <c r="D115" s="224"/>
      <c r="E115" s="224"/>
      <c r="F115" s="27"/>
      <c r="I115" s="99" t="s">
        <v>12</v>
      </c>
    </row>
    <row r="116" spans="1:9" ht="15.75" customHeight="1">
      <c r="A116" s="28"/>
      <c r="C116" s="12"/>
      <c r="D116" s="12"/>
      <c r="G116" s="12"/>
      <c r="H116" s="12"/>
    </row>
    <row r="117" spans="1:9" ht="15.75">
      <c r="B117" s="100" t="s">
        <v>13</v>
      </c>
      <c r="C117" s="229"/>
      <c r="D117" s="229"/>
      <c r="E117" s="229"/>
      <c r="F117" s="69"/>
      <c r="I117" s="101"/>
    </row>
    <row r="118" spans="1:9">
      <c r="A118" s="98"/>
      <c r="C118" s="218" t="s">
        <v>11</v>
      </c>
      <c r="D118" s="218"/>
      <c r="E118" s="218"/>
      <c r="F118" s="98"/>
      <c r="I118" s="99" t="s">
        <v>12</v>
      </c>
    </row>
    <row r="119" spans="1:9" ht="15.75">
      <c r="A119" s="4" t="s">
        <v>14</v>
      </c>
    </row>
    <row r="120" spans="1:9">
      <c r="A120" s="233" t="s">
        <v>15</v>
      </c>
      <c r="B120" s="233"/>
      <c r="C120" s="233"/>
      <c r="D120" s="233"/>
      <c r="E120" s="233"/>
      <c r="F120" s="233"/>
      <c r="G120" s="233"/>
      <c r="H120" s="233"/>
      <c r="I120" s="233"/>
    </row>
    <row r="121" spans="1:9" ht="45" customHeight="1">
      <c r="A121" s="234" t="s">
        <v>16</v>
      </c>
      <c r="B121" s="234"/>
      <c r="C121" s="234"/>
      <c r="D121" s="234"/>
      <c r="E121" s="234"/>
      <c r="F121" s="234"/>
      <c r="G121" s="234"/>
      <c r="H121" s="234"/>
      <c r="I121" s="234"/>
    </row>
    <row r="122" spans="1:9" ht="30" customHeight="1">
      <c r="A122" s="234" t="s">
        <v>17</v>
      </c>
      <c r="B122" s="234"/>
      <c r="C122" s="234"/>
      <c r="D122" s="234"/>
      <c r="E122" s="234"/>
      <c r="F122" s="234"/>
      <c r="G122" s="234"/>
      <c r="H122" s="234"/>
      <c r="I122" s="234"/>
    </row>
    <row r="123" spans="1:9" ht="30" customHeight="1">
      <c r="A123" s="234" t="s">
        <v>21</v>
      </c>
      <c r="B123" s="234"/>
      <c r="C123" s="234"/>
      <c r="D123" s="234"/>
      <c r="E123" s="234"/>
      <c r="F123" s="234"/>
      <c r="G123" s="234"/>
      <c r="H123" s="234"/>
      <c r="I123" s="234"/>
    </row>
    <row r="124" spans="1:9" ht="15" customHeight="1">
      <c r="A124" s="234" t="s">
        <v>20</v>
      </c>
      <c r="B124" s="234"/>
      <c r="C124" s="234"/>
      <c r="D124" s="234"/>
      <c r="E124" s="234"/>
      <c r="F124" s="234"/>
      <c r="G124" s="234"/>
      <c r="H124" s="234"/>
      <c r="I124" s="234"/>
    </row>
  </sheetData>
  <autoFilter ref="I12:I61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6:U66"/>
    <mergeCell ref="C118:E118"/>
    <mergeCell ref="A89:I89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5:I85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abSelected="1" workbookViewId="0">
      <selection activeCell="J106" sqref="J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163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198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43830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hidden="1" customHeight="1">
      <c r="A27" s="32">
        <v>9</v>
      </c>
      <c r="B27" s="79" t="s">
        <v>23</v>
      </c>
      <c r="C27" s="72" t="s">
        <v>24</v>
      </c>
      <c r="D27" s="71"/>
      <c r="E27" s="73">
        <v>6980.3</v>
      </c>
      <c r="F27" s="74">
        <f>SUM(E27*12)</f>
        <v>83763.600000000006</v>
      </c>
      <c r="G27" s="74">
        <v>4.4000000000000004</v>
      </c>
      <c r="H27" s="75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14" t="s">
        <v>83</v>
      </c>
      <c r="B28" s="214"/>
      <c r="C28" s="214"/>
      <c r="D28" s="214"/>
      <c r="E28" s="214"/>
      <c r="F28" s="214"/>
      <c r="G28" s="214"/>
      <c r="H28" s="214"/>
      <c r="I28" s="214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160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161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1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142</v>
      </c>
      <c r="I37" s="13"/>
      <c r="J37" s="26"/>
    </row>
    <row r="38" spans="1:14" ht="16.5" customHeight="1">
      <c r="A38" s="32">
        <v>5</v>
      </c>
      <c r="B38" s="160" t="s">
        <v>26</v>
      </c>
      <c r="C38" s="114" t="s">
        <v>32</v>
      </c>
      <c r="D38" s="113"/>
      <c r="E38" s="148"/>
      <c r="F38" s="149">
        <v>5</v>
      </c>
      <c r="G38" s="149">
        <v>2083</v>
      </c>
      <c r="H38" s="75">
        <f t="shared" ref="H38:H43" si="3">SUM(F38*G38/1000)</f>
        <v>10.414999999999999</v>
      </c>
      <c r="I38" s="13">
        <f>G38*1.2</f>
        <v>2499.6</v>
      </c>
      <c r="J38" s="26"/>
    </row>
    <row r="39" spans="1:14" ht="15.75" customHeight="1">
      <c r="A39" s="32">
        <v>6</v>
      </c>
      <c r="B39" s="160" t="s">
        <v>105</v>
      </c>
      <c r="C39" s="161" t="s">
        <v>29</v>
      </c>
      <c r="D39" s="113" t="s">
        <v>253</v>
      </c>
      <c r="E39" s="148">
        <v>153</v>
      </c>
      <c r="F39" s="162">
        <f>E39*30/1000</f>
        <v>4.59</v>
      </c>
      <c r="G39" s="149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7</v>
      </c>
      <c r="B40" s="113" t="s">
        <v>66</v>
      </c>
      <c r="C40" s="114" t="s">
        <v>29</v>
      </c>
      <c r="D40" s="113" t="s">
        <v>254</v>
      </c>
      <c r="E40" s="149">
        <v>153</v>
      </c>
      <c r="F40" s="162">
        <f>SUM(E40*155/1000)</f>
        <v>23.715</v>
      </c>
      <c r="G40" s="149">
        <v>478.42</v>
      </c>
      <c r="H40" s="75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8.75" customHeight="1">
      <c r="A41" s="32">
        <v>8</v>
      </c>
      <c r="B41" s="113" t="s">
        <v>81</v>
      </c>
      <c r="C41" s="114" t="s">
        <v>87</v>
      </c>
      <c r="D41" s="113" t="s">
        <v>255</v>
      </c>
      <c r="E41" s="149">
        <v>25</v>
      </c>
      <c r="F41" s="162">
        <f>SUM(E41*35/1000)</f>
        <v>0.875</v>
      </c>
      <c r="G41" s="149">
        <v>7915.6</v>
      </c>
      <c r="H41" s="75">
        <f>G41*F41/1000</f>
        <v>6.9261500000000007</v>
      </c>
      <c r="I41" s="13">
        <f>G41*F41/6</f>
        <v>1154.3583333333333</v>
      </c>
      <c r="J41" s="26"/>
      <c r="L41" s="19"/>
      <c r="M41" s="20"/>
      <c r="N41" s="21"/>
    </row>
    <row r="42" spans="1:14" ht="15.75" customHeight="1">
      <c r="A42" s="32">
        <v>9</v>
      </c>
      <c r="B42" s="113" t="s">
        <v>88</v>
      </c>
      <c r="C42" s="114" t="s">
        <v>87</v>
      </c>
      <c r="D42" s="113" t="s">
        <v>256</v>
      </c>
      <c r="E42" s="149">
        <v>153</v>
      </c>
      <c r="F42" s="162">
        <f>SUM(E42*45/1000)</f>
        <v>6.8849999999999998</v>
      </c>
      <c r="G42" s="149">
        <v>584.74</v>
      </c>
      <c r="H42" s="75">
        <f t="shared" si="3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customHeight="1">
      <c r="A43" s="123">
        <v>10</v>
      </c>
      <c r="B43" s="160" t="s">
        <v>68</v>
      </c>
      <c r="C43" s="161" t="s">
        <v>33</v>
      </c>
      <c r="D43" s="113"/>
      <c r="E43" s="151"/>
      <c r="F43" s="162">
        <v>0.9</v>
      </c>
      <c r="G43" s="162">
        <v>800</v>
      </c>
      <c r="H43" s="83">
        <f t="shared" si="3"/>
        <v>0.72</v>
      </c>
      <c r="I43" s="91">
        <f>F43/7.5*G43</f>
        <v>96.000000000000014</v>
      </c>
      <c r="J43" s="26"/>
      <c r="L43" s="19"/>
      <c r="M43" s="20"/>
      <c r="N43" s="21"/>
    </row>
    <row r="44" spans="1:14" ht="30.75" customHeight="1">
      <c r="A44" s="32">
        <v>11</v>
      </c>
      <c r="B44" s="160" t="s">
        <v>175</v>
      </c>
      <c r="C44" s="161" t="s">
        <v>29</v>
      </c>
      <c r="D44" s="160" t="s">
        <v>257</v>
      </c>
      <c r="E44" s="151">
        <v>4.2</v>
      </c>
      <c r="F44" s="162">
        <f>E44*12/1000</f>
        <v>5.0400000000000007E-2</v>
      </c>
      <c r="G44" s="162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5" customHeight="1">
      <c r="A45" s="215" t="s">
        <v>138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13" t="s">
        <v>55</v>
      </c>
      <c r="C50" s="114" t="s">
        <v>87</v>
      </c>
      <c r="D50" s="113" t="s">
        <v>259</v>
      </c>
      <c r="E50" s="148">
        <v>3988</v>
      </c>
      <c r="F50" s="149">
        <f>SUM(E50*5/1000)</f>
        <v>19.940000000000001</v>
      </c>
      <c r="G50" s="36">
        <v>1655.27</v>
      </c>
      <c r="H50" s="75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123">
        <v>13</v>
      </c>
      <c r="B54" s="113" t="s">
        <v>41</v>
      </c>
      <c r="C54" s="114" t="s">
        <v>106</v>
      </c>
      <c r="D54" s="113" t="s">
        <v>53</v>
      </c>
      <c r="E54" s="148">
        <v>240</v>
      </c>
      <c r="F54" s="149">
        <f>SUM(E54)*1</f>
        <v>240</v>
      </c>
      <c r="G54" s="37">
        <v>89.59</v>
      </c>
      <c r="H54" s="83">
        <f t="shared" si="4"/>
        <v>21.501600000000003</v>
      </c>
      <c r="I54" s="91">
        <f>E54*G54/3</f>
        <v>7167.2000000000007</v>
      </c>
      <c r="J54" s="26"/>
      <c r="L54" s="19"/>
      <c r="M54" s="20"/>
      <c r="N54" s="21"/>
    </row>
    <row r="55" spans="1:22" ht="15.75" customHeight="1">
      <c r="A55" s="32">
        <v>13</v>
      </c>
      <c r="B55" s="113" t="s">
        <v>177</v>
      </c>
      <c r="C55" s="114" t="s">
        <v>106</v>
      </c>
      <c r="D55" s="113" t="s">
        <v>259</v>
      </c>
      <c r="E55" s="148">
        <v>5</v>
      </c>
      <c r="F55" s="149">
        <v>60</v>
      </c>
      <c r="G55" s="154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139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0" t="s">
        <v>130</v>
      </c>
      <c r="C60" s="81" t="s">
        <v>52</v>
      </c>
      <c r="D60" s="80" t="s">
        <v>40</v>
      </c>
      <c r="E60" s="82">
        <v>6</v>
      </c>
      <c r="F60" s="83">
        <f>E60*4/100</f>
        <v>0.24</v>
      </c>
      <c r="G60" s="13">
        <v>1547.28</v>
      </c>
      <c r="H60" s="84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80" t="s">
        <v>132</v>
      </c>
      <c r="C63" s="81" t="s">
        <v>25</v>
      </c>
      <c r="D63" s="80" t="s">
        <v>259</v>
      </c>
      <c r="E63" s="82">
        <v>394</v>
      </c>
      <c r="F63" s="85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21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3">
        <v>222.4</v>
      </c>
      <c r="H65" s="86">
        <f t="shared" ref="H65:H81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19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19.5" customHeight="1">
      <c r="A73" s="32"/>
      <c r="B73" s="157" t="s">
        <v>181</v>
      </c>
      <c r="C73" s="156"/>
      <c r="D73" s="39"/>
      <c r="E73" s="17"/>
      <c r="F73" s="111"/>
      <c r="G73" s="36"/>
      <c r="H73" s="86"/>
      <c r="I73" s="13"/>
    </row>
    <row r="74" spans="1:21" ht="30" customHeight="1">
      <c r="A74" s="32">
        <v>15</v>
      </c>
      <c r="B74" s="39" t="s">
        <v>182</v>
      </c>
      <c r="C74" s="158" t="s">
        <v>183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5.75" customHeight="1">
      <c r="A75" s="32"/>
      <c r="B75" s="173" t="s">
        <v>70</v>
      </c>
      <c r="C75" s="16"/>
      <c r="D75" s="14"/>
      <c r="E75" s="18"/>
      <c r="F75" s="13"/>
      <c r="G75" s="13"/>
      <c r="H75" s="86" t="s">
        <v>142</v>
      </c>
      <c r="I75" s="13"/>
    </row>
    <row r="76" spans="1:21" ht="15.75" hidden="1" customHeight="1">
      <c r="A76" s="32">
        <v>22</v>
      </c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f>G76*1.2</f>
        <v>601.94399999999996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7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7.75" customHeight="1">
      <c r="A79" s="32">
        <v>16</v>
      </c>
      <c r="B79" s="39" t="s">
        <v>188</v>
      </c>
      <c r="C79" s="156" t="s">
        <v>106</v>
      </c>
      <c r="D79" s="39" t="s">
        <v>259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8.5" hidden="1" customHeight="1">
      <c r="A80" s="32"/>
      <c r="B80" s="89" t="s">
        <v>74</v>
      </c>
      <c r="C80" s="16"/>
      <c r="D80" s="14"/>
      <c r="E80" s="18"/>
      <c r="F80" s="13"/>
      <c r="G80" s="13" t="s">
        <v>142</v>
      </c>
      <c r="H80" s="86" t="s">
        <v>142</v>
      </c>
      <c r="I80" s="13"/>
    </row>
    <row r="81" spans="1:9" ht="30.75" hidden="1" customHeight="1">
      <c r="A81" s="32"/>
      <c r="B81" s="47" t="s">
        <v>147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21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188.79744406</v>
      </c>
      <c r="I82" s="77"/>
    </row>
    <row r="83" spans="1:9" ht="19.5" hidden="1" customHeight="1">
      <c r="A83" s="32">
        <v>18</v>
      </c>
      <c r="B83" s="94" t="s">
        <v>112</v>
      </c>
      <c r="C83" s="23"/>
      <c r="D83" s="22"/>
      <c r="E83" s="67"/>
      <c r="F83" s="95">
        <v>1</v>
      </c>
      <c r="G83" s="13">
        <v>5243</v>
      </c>
      <c r="H83" s="86">
        <f>G83*F83/1000</f>
        <v>5.2430000000000003</v>
      </c>
      <c r="I83" s="13">
        <f>G83*1</f>
        <v>5243</v>
      </c>
    </row>
    <row r="84" spans="1:9" ht="15.75" customHeight="1">
      <c r="A84" s="219" t="s">
        <v>140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17</v>
      </c>
      <c r="B85" s="113" t="s">
        <v>114</v>
      </c>
      <c r="C85" s="156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18</v>
      </c>
      <c r="B86" s="39" t="s">
        <v>76</v>
      </c>
      <c r="C86" s="156"/>
      <c r="D86" s="103"/>
      <c r="E86" s="148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I86+I85+I79+I74+I63+I55+I50+I44+I43+I42+I41+I40+I39+I38+I26+I18+I17+I16</f>
        <v>117795.48270733334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19.5" customHeight="1">
      <c r="A89" s="32">
        <v>19</v>
      </c>
      <c r="B89" s="51" t="s">
        <v>215</v>
      </c>
      <c r="C89" s="52" t="s">
        <v>106</v>
      </c>
      <c r="D89" s="39"/>
      <c r="E89" s="17"/>
      <c r="F89" s="36"/>
      <c r="G89" s="36">
        <v>70</v>
      </c>
      <c r="H89" s="102">
        <f t="shared" ref="H89" si="7">G89*F89/1000</f>
        <v>0</v>
      </c>
      <c r="I89" s="13">
        <f>G89*1</f>
        <v>70</v>
      </c>
    </row>
    <row r="90" spans="1:9" ht="15.75" customHeight="1">
      <c r="A90" s="32">
        <v>20</v>
      </c>
      <c r="B90" s="51" t="s">
        <v>203</v>
      </c>
      <c r="C90" s="52" t="s">
        <v>166</v>
      </c>
      <c r="D90" s="14"/>
      <c r="E90" s="18"/>
      <c r="F90" s="13"/>
      <c r="G90" s="36">
        <v>273</v>
      </c>
      <c r="H90" s="86">
        <f t="shared" ref="H90" si="8">G90*F90/1000</f>
        <v>0</v>
      </c>
      <c r="I90" s="13">
        <f>G90*12</f>
        <v>3276</v>
      </c>
    </row>
    <row r="91" spans="1:9" ht="15.75" customHeight="1">
      <c r="A91" s="32">
        <v>21</v>
      </c>
      <c r="B91" s="51" t="s">
        <v>234</v>
      </c>
      <c r="C91" s="52" t="s">
        <v>167</v>
      </c>
      <c r="D91" s="103"/>
      <c r="E91" s="36"/>
      <c r="F91" s="36">
        <f>(3+4+15+15+15+5+20+20+15+10+15+15+7+6+15+3+10+10+15+7+20+3)/3</f>
        <v>82.666666666666671</v>
      </c>
      <c r="G91" s="36">
        <v>26095.37</v>
      </c>
      <c r="H91" s="102">
        <f t="shared" ref="H91:H95" si="9">G91*F91/1000</f>
        <v>2157.2172533333332</v>
      </c>
      <c r="I91" s="13">
        <f>G91*0.02</f>
        <v>521.90739999999994</v>
      </c>
    </row>
    <row r="92" spans="1:9" ht="27.75" customHeight="1">
      <c r="A92" s="32">
        <v>22</v>
      </c>
      <c r="B92" s="51" t="s">
        <v>204</v>
      </c>
      <c r="C92" s="106" t="s">
        <v>106</v>
      </c>
      <c r="D92" s="39" t="s">
        <v>347</v>
      </c>
      <c r="E92" s="17"/>
      <c r="F92" s="36">
        <v>13</v>
      </c>
      <c r="G92" s="36">
        <v>1133.92</v>
      </c>
      <c r="H92" s="102">
        <f t="shared" si="9"/>
        <v>14.740960000000001</v>
      </c>
      <c r="I92" s="13">
        <f>G92*3</f>
        <v>3401.76</v>
      </c>
    </row>
    <row r="93" spans="1:9" ht="15.75" customHeight="1">
      <c r="A93" s="32">
        <v>23</v>
      </c>
      <c r="B93" s="51" t="s">
        <v>224</v>
      </c>
      <c r="C93" s="52" t="s">
        <v>82</v>
      </c>
      <c r="D93" s="103" t="s">
        <v>346</v>
      </c>
      <c r="E93" s="36"/>
      <c r="F93" s="36">
        <v>2</v>
      </c>
      <c r="G93" s="36">
        <v>214.07</v>
      </c>
      <c r="H93" s="36">
        <f t="shared" si="9"/>
        <v>0.42813999999999997</v>
      </c>
      <c r="I93" s="13">
        <f>G93*2</f>
        <v>428.14</v>
      </c>
    </row>
    <row r="94" spans="1:9" ht="15" customHeight="1">
      <c r="A94" s="32">
        <v>24</v>
      </c>
      <c r="B94" s="51" t="s">
        <v>345</v>
      </c>
      <c r="C94" s="106" t="s">
        <v>54</v>
      </c>
      <c r="D94" s="39"/>
      <c r="E94" s="17"/>
      <c r="F94" s="36">
        <v>0.05</v>
      </c>
      <c r="G94" s="36">
        <v>74.430000000000007</v>
      </c>
      <c r="H94" s="102">
        <f t="shared" si="9"/>
        <v>3.7215000000000008E-3</v>
      </c>
      <c r="I94" s="13">
        <f>G94*0.5</f>
        <v>37.215000000000003</v>
      </c>
    </row>
    <row r="95" spans="1:9" ht="13.5" customHeight="1">
      <c r="A95" s="32">
        <v>25</v>
      </c>
      <c r="B95" s="159" t="s">
        <v>335</v>
      </c>
      <c r="C95" s="158" t="s">
        <v>93</v>
      </c>
      <c r="D95" s="39"/>
      <c r="E95" s="17"/>
      <c r="F95" s="36">
        <v>3</v>
      </c>
      <c r="G95" s="36">
        <v>3587.49</v>
      </c>
      <c r="H95" s="102">
        <f t="shared" si="9"/>
        <v>10.762469999999999</v>
      </c>
      <c r="I95" s="13">
        <f>G95*0.06</f>
        <v>215.24939999999998</v>
      </c>
    </row>
    <row r="96" spans="1:9" ht="15.75" customHeight="1">
      <c r="A96" s="32"/>
      <c r="B96" s="45" t="s">
        <v>51</v>
      </c>
      <c r="C96" s="41"/>
      <c r="D96" s="48"/>
      <c r="E96" s="41">
        <v>1</v>
      </c>
      <c r="F96" s="41"/>
      <c r="G96" s="41"/>
      <c r="H96" s="41"/>
      <c r="I96" s="34">
        <f>SUM(I89:I95)</f>
        <v>7950.2718000000004</v>
      </c>
    </row>
    <row r="97" spans="1:9">
      <c r="A97" s="32"/>
      <c r="B97" s="47" t="s">
        <v>77</v>
      </c>
      <c r="C97" s="15"/>
      <c r="D97" s="15"/>
      <c r="E97" s="42"/>
      <c r="F97" s="42"/>
      <c r="G97" s="43"/>
      <c r="H97" s="43"/>
      <c r="I97" s="17">
        <v>0</v>
      </c>
    </row>
    <row r="98" spans="1:9">
      <c r="A98" s="49"/>
      <c r="B98" s="46" t="s">
        <v>158</v>
      </c>
      <c r="C98" s="35"/>
      <c r="D98" s="35"/>
      <c r="E98" s="35"/>
      <c r="F98" s="35"/>
      <c r="G98" s="35"/>
      <c r="H98" s="35"/>
      <c r="I98" s="44">
        <f>I87+I96</f>
        <v>125745.75450733335</v>
      </c>
    </row>
    <row r="99" spans="1:9" ht="15.75">
      <c r="A99" s="222" t="s">
        <v>348</v>
      </c>
      <c r="B99" s="222"/>
      <c r="C99" s="222"/>
      <c r="D99" s="222"/>
      <c r="E99" s="222"/>
      <c r="F99" s="222"/>
      <c r="G99" s="222"/>
      <c r="H99" s="222"/>
      <c r="I99" s="222"/>
    </row>
    <row r="100" spans="1:9" ht="15.75" customHeight="1">
      <c r="A100" s="58"/>
      <c r="B100" s="223" t="s">
        <v>349</v>
      </c>
      <c r="C100" s="223"/>
      <c r="D100" s="223"/>
      <c r="E100" s="223"/>
      <c r="F100" s="223"/>
      <c r="G100" s="223"/>
      <c r="H100" s="70"/>
      <c r="I100" s="3"/>
    </row>
    <row r="101" spans="1:9">
      <c r="A101" s="98"/>
      <c r="B101" s="224" t="s">
        <v>6</v>
      </c>
      <c r="C101" s="224"/>
      <c r="D101" s="224"/>
      <c r="E101" s="224"/>
      <c r="F101" s="224"/>
      <c r="G101" s="224"/>
      <c r="H101" s="27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25" t="s">
        <v>7</v>
      </c>
      <c r="B103" s="225"/>
      <c r="C103" s="225"/>
      <c r="D103" s="225"/>
      <c r="E103" s="225"/>
      <c r="F103" s="225"/>
      <c r="G103" s="225"/>
      <c r="H103" s="225"/>
      <c r="I103" s="225"/>
    </row>
    <row r="104" spans="1:9" ht="15.75">
      <c r="A104" s="225" t="s">
        <v>8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6" t="s">
        <v>60</v>
      </c>
      <c r="B105" s="226"/>
      <c r="C105" s="226"/>
      <c r="D105" s="226"/>
      <c r="E105" s="226"/>
      <c r="F105" s="226"/>
      <c r="G105" s="226"/>
      <c r="H105" s="226"/>
      <c r="I105" s="226"/>
    </row>
    <row r="106" spans="1:9" ht="15.75">
      <c r="A106" s="11"/>
    </row>
    <row r="107" spans="1:9" ht="15.75">
      <c r="A107" s="227" t="s">
        <v>9</v>
      </c>
      <c r="B107" s="227"/>
      <c r="C107" s="227"/>
      <c r="D107" s="227"/>
      <c r="E107" s="227"/>
      <c r="F107" s="227"/>
      <c r="G107" s="227"/>
      <c r="H107" s="227"/>
      <c r="I107" s="227"/>
    </row>
    <row r="108" spans="1:9" ht="15.75" customHeight="1">
      <c r="A108" s="4"/>
    </row>
    <row r="109" spans="1:9" ht="15.75" customHeight="1">
      <c r="B109" s="100" t="s">
        <v>10</v>
      </c>
      <c r="C109" s="228" t="s">
        <v>135</v>
      </c>
      <c r="D109" s="228"/>
      <c r="E109" s="228"/>
      <c r="F109" s="68"/>
      <c r="I109" s="101"/>
    </row>
    <row r="110" spans="1:9" ht="15.75" customHeight="1">
      <c r="A110" s="98"/>
      <c r="C110" s="224" t="s">
        <v>11</v>
      </c>
      <c r="D110" s="224"/>
      <c r="E110" s="224"/>
      <c r="F110" s="27"/>
      <c r="I110" s="99" t="s">
        <v>12</v>
      </c>
    </row>
    <row r="111" spans="1:9" ht="15.75" customHeight="1">
      <c r="A111" s="28"/>
      <c r="C111" s="12"/>
      <c r="D111" s="12"/>
      <c r="G111" s="12"/>
      <c r="H111" s="12"/>
    </row>
    <row r="112" spans="1:9" ht="15.75">
      <c r="B112" s="100" t="s">
        <v>13</v>
      </c>
      <c r="C112" s="229"/>
      <c r="D112" s="229"/>
      <c r="E112" s="229"/>
      <c r="F112" s="69"/>
      <c r="I112" s="101"/>
    </row>
    <row r="113" spans="1:9">
      <c r="A113" s="98"/>
      <c r="C113" s="218" t="s">
        <v>11</v>
      </c>
      <c r="D113" s="218"/>
      <c r="E113" s="218"/>
      <c r="F113" s="98"/>
      <c r="I113" s="99" t="s">
        <v>12</v>
      </c>
    </row>
    <row r="114" spans="1:9" ht="15.75">
      <c r="A114" s="4" t="s">
        <v>14</v>
      </c>
    </row>
    <row r="115" spans="1:9">
      <c r="A115" s="233" t="s">
        <v>15</v>
      </c>
      <c r="B115" s="233"/>
      <c r="C115" s="233"/>
      <c r="D115" s="233"/>
      <c r="E115" s="233"/>
      <c r="F115" s="233"/>
      <c r="G115" s="233"/>
      <c r="H115" s="233"/>
      <c r="I115" s="233"/>
    </row>
    <row r="116" spans="1:9" ht="45" customHeight="1">
      <c r="A116" s="234" t="s">
        <v>16</v>
      </c>
      <c r="B116" s="234"/>
      <c r="C116" s="234"/>
      <c r="D116" s="234"/>
      <c r="E116" s="234"/>
      <c r="F116" s="234"/>
      <c r="G116" s="234"/>
      <c r="H116" s="234"/>
      <c r="I116" s="234"/>
    </row>
    <row r="117" spans="1:9" ht="30" customHeight="1">
      <c r="A117" s="234" t="s">
        <v>17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21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15" customHeight="1">
      <c r="A119" s="234" t="s">
        <v>20</v>
      </c>
      <c r="B119" s="234"/>
      <c r="C119" s="234"/>
      <c r="D119" s="234"/>
      <c r="E119" s="234"/>
      <c r="F119" s="234"/>
      <c r="G119" s="234"/>
      <c r="H119" s="234"/>
      <c r="I119" s="234"/>
    </row>
  </sheetData>
  <autoFilter ref="I12:I60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5:U65"/>
    <mergeCell ref="C113:E113"/>
    <mergeCell ref="A88:I88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4:I84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W125"/>
  <sheetViews>
    <sheetView view="pageBreakPreview" topLeftCell="A83" zoomScale="60" workbookViewId="0">
      <selection activeCell="A111" sqref="A111:I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148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208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43524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258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142</v>
      </c>
      <c r="I36" s="13"/>
      <c r="J36" s="26"/>
    </row>
    <row r="37" spans="1:14" ht="15.75" customHeight="1">
      <c r="A37" s="32">
        <v>5</v>
      </c>
      <c r="B37" s="160" t="s">
        <v>26</v>
      </c>
      <c r="C37" s="114" t="s">
        <v>32</v>
      </c>
      <c r="D37" s="113"/>
      <c r="E37" s="148"/>
      <c r="F37" s="149">
        <v>5</v>
      </c>
      <c r="G37" s="149">
        <v>2083</v>
      </c>
      <c r="H37" s="75">
        <f t="shared" ref="H37:H42" si="3">SUM(F37*G37/1000)</f>
        <v>10.414999999999999</v>
      </c>
      <c r="I37" s="13">
        <f>G37*4.6</f>
        <v>9581.7999999999993</v>
      </c>
      <c r="J37" s="26"/>
    </row>
    <row r="38" spans="1:14" ht="15.75" customHeight="1">
      <c r="A38" s="32">
        <v>6</v>
      </c>
      <c r="B38" s="160" t="s">
        <v>105</v>
      </c>
      <c r="C38" s="161" t="s">
        <v>29</v>
      </c>
      <c r="D38" s="113" t="s">
        <v>253</v>
      </c>
      <c r="E38" s="148">
        <v>153</v>
      </c>
      <c r="F38" s="162">
        <f>E38*30/1000</f>
        <v>4.59</v>
      </c>
      <c r="G38" s="149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3" t="s">
        <v>66</v>
      </c>
      <c r="C39" s="114" t="s">
        <v>29</v>
      </c>
      <c r="D39" s="113" t="s">
        <v>254</v>
      </c>
      <c r="E39" s="149">
        <v>153</v>
      </c>
      <c r="F39" s="162">
        <f>SUM(E39*155/1000)</f>
        <v>23.715</v>
      </c>
      <c r="G39" s="149">
        <v>478.42</v>
      </c>
      <c r="H39" s="75">
        <f t="shared" si="3"/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47.25" customHeight="1">
      <c r="A40" s="32">
        <v>8</v>
      </c>
      <c r="B40" s="113" t="s">
        <v>81</v>
      </c>
      <c r="C40" s="114" t="s">
        <v>87</v>
      </c>
      <c r="D40" s="71" t="s">
        <v>255</v>
      </c>
      <c r="E40" s="149">
        <v>25</v>
      </c>
      <c r="F40" s="162">
        <f>SUM(E40*35/1000)</f>
        <v>0.875</v>
      </c>
      <c r="G40" s="149">
        <v>7915.6</v>
      </c>
      <c r="H40" s="75">
        <f t="shared" si="3"/>
        <v>6.9261500000000007</v>
      </c>
      <c r="I40" s="13">
        <f>F40/6*G40</f>
        <v>1154.3583333333333</v>
      </c>
      <c r="J40" s="26"/>
      <c r="L40" s="19"/>
      <c r="M40" s="20"/>
      <c r="N40" s="21"/>
    </row>
    <row r="41" spans="1:14" ht="15.75" customHeight="1">
      <c r="A41" s="32">
        <v>9</v>
      </c>
      <c r="B41" s="113" t="s">
        <v>88</v>
      </c>
      <c r="C41" s="114" t="s">
        <v>87</v>
      </c>
      <c r="D41" s="113" t="s">
        <v>256</v>
      </c>
      <c r="E41" s="149">
        <v>153</v>
      </c>
      <c r="F41" s="162">
        <f>SUM(E41*45/1000)</f>
        <v>6.8849999999999998</v>
      </c>
      <c r="G41" s="149">
        <v>584.74</v>
      </c>
      <c r="H41" s="75">
        <f t="shared" si="3"/>
        <v>4.0259348999999993</v>
      </c>
      <c r="I41" s="13">
        <f>F41/7.5*G41</f>
        <v>536.79131999999993</v>
      </c>
      <c r="J41" s="26"/>
      <c r="L41" s="19"/>
      <c r="M41" s="20"/>
      <c r="N41" s="21"/>
    </row>
    <row r="42" spans="1:14" ht="15.75" customHeight="1">
      <c r="A42" s="123">
        <v>10</v>
      </c>
      <c r="B42" s="160" t="s">
        <v>68</v>
      </c>
      <c r="C42" s="161" t="s">
        <v>33</v>
      </c>
      <c r="D42" s="113"/>
      <c r="E42" s="151"/>
      <c r="F42" s="162">
        <v>0.9</v>
      </c>
      <c r="G42" s="162">
        <v>800</v>
      </c>
      <c r="H42" s="83">
        <f t="shared" si="3"/>
        <v>0.72</v>
      </c>
      <c r="I42" s="91">
        <f>F42/7.5*G42</f>
        <v>96.000000000000014</v>
      </c>
      <c r="J42" s="26"/>
      <c r="L42" s="19"/>
      <c r="M42" s="20"/>
      <c r="N42" s="21"/>
    </row>
    <row r="43" spans="1:14" ht="32.25" customHeight="1">
      <c r="A43" s="32">
        <v>11</v>
      </c>
      <c r="B43" s="160" t="s">
        <v>175</v>
      </c>
      <c r="C43" s="161" t="s">
        <v>29</v>
      </c>
      <c r="D43" s="160" t="s">
        <v>257</v>
      </c>
      <c r="E43" s="151">
        <v>4.2</v>
      </c>
      <c r="F43" s="162">
        <f>E43*12/1000</f>
        <v>5.0400000000000007E-2</v>
      </c>
      <c r="G43" s="162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4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4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4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4"/>
        <v>5.6732994999999988</v>
      </c>
      <c r="I48" s="13">
        <v>0</v>
      </c>
      <c r="J48" s="26"/>
      <c r="L48" s="19"/>
      <c r="M48" s="20"/>
      <c r="N48" s="21"/>
    </row>
    <row r="49" spans="1:101" ht="15.75" customHeight="1">
      <c r="A49" s="32">
        <v>12</v>
      </c>
      <c r="B49" s="113" t="s">
        <v>55</v>
      </c>
      <c r="C49" s="114" t="s">
        <v>87</v>
      </c>
      <c r="D49" s="113" t="s">
        <v>258</v>
      </c>
      <c r="E49" s="148">
        <v>3988</v>
      </c>
      <c r="F49" s="149">
        <f>SUM(E49*5/1000)</f>
        <v>19.940000000000001</v>
      </c>
      <c r="G49" s="36">
        <v>1655.27</v>
      </c>
      <c r="H49" s="75">
        <f t="shared" si="4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101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4"/>
        <v>9.6792748</v>
      </c>
      <c r="I50" s="13">
        <f t="shared" ref="I50:I51" si="5">F50/5*G50</f>
        <v>1935.8549599999999</v>
      </c>
      <c r="J50" s="26"/>
      <c r="L50" s="19"/>
      <c r="M50" s="20"/>
      <c r="N50" s="21"/>
    </row>
    <row r="51" spans="1:101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 t="shared" si="5"/>
        <v>327.65879999999999</v>
      </c>
      <c r="J51" s="26"/>
      <c r="L51" s="19"/>
      <c r="M51" s="20"/>
      <c r="N51" s="21"/>
    </row>
    <row r="52" spans="1:101" ht="15.75" hidden="1" customHeight="1">
      <c r="A52" s="123">
        <v>18</v>
      </c>
      <c r="B52" s="80" t="s">
        <v>38</v>
      </c>
      <c r="C52" s="81" t="s">
        <v>39</v>
      </c>
      <c r="D52" s="80" t="s">
        <v>42</v>
      </c>
      <c r="E52" s="82">
        <v>1</v>
      </c>
      <c r="F52" s="85">
        <v>0.02</v>
      </c>
      <c r="G52" s="91">
        <v>5652.13</v>
      </c>
      <c r="H52" s="83">
        <f t="shared" si="4"/>
        <v>0.11304260000000001</v>
      </c>
      <c r="I52" s="91">
        <f>F52/2*G52</f>
        <v>56.521300000000004</v>
      </c>
      <c r="J52" s="26"/>
      <c r="L52" s="19"/>
      <c r="M52" s="20"/>
      <c r="N52" s="21"/>
    </row>
    <row r="53" spans="1:101" s="177" customFormat="1" ht="17.25" customHeight="1">
      <c r="A53" s="32">
        <v>13</v>
      </c>
      <c r="B53" s="113" t="s">
        <v>41</v>
      </c>
      <c r="C53" s="114" t="s">
        <v>106</v>
      </c>
      <c r="D53" s="198">
        <v>43507</v>
      </c>
      <c r="E53" s="148">
        <v>240</v>
      </c>
      <c r="F53" s="149">
        <f>SUM(E53)*1</f>
        <v>240</v>
      </c>
      <c r="G53" s="37">
        <v>89.59</v>
      </c>
      <c r="H53" s="13">
        <f t="shared" si="4"/>
        <v>21.501600000000003</v>
      </c>
      <c r="I53" s="13">
        <f>E53*G53/3</f>
        <v>7167.2000000000007</v>
      </c>
      <c r="J53" s="178"/>
      <c r="K53" s="179"/>
      <c r="L53" s="180"/>
      <c r="M53" s="181"/>
      <c r="N53" s="182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</row>
    <row r="54" spans="1:101" s="177" customFormat="1" ht="15" customHeight="1">
      <c r="A54" s="32">
        <v>14</v>
      </c>
      <c r="B54" s="113" t="s">
        <v>177</v>
      </c>
      <c r="C54" s="114" t="s">
        <v>106</v>
      </c>
      <c r="D54" s="198" t="s">
        <v>258</v>
      </c>
      <c r="E54" s="148">
        <v>5</v>
      </c>
      <c r="F54" s="170">
        <v>60</v>
      </c>
      <c r="G54" s="37">
        <v>903.71</v>
      </c>
      <c r="H54" s="13"/>
      <c r="I54" s="13">
        <f>G54*F54/12</f>
        <v>4518.55</v>
      </c>
      <c r="J54" s="183"/>
      <c r="K54" s="9"/>
      <c r="L54" s="19"/>
      <c r="M54" s="20"/>
      <c r="N54" s="21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</row>
    <row r="55" spans="1:101" ht="15.75" customHeight="1">
      <c r="A55" s="235" t="s">
        <v>139</v>
      </c>
      <c r="B55" s="236"/>
      <c r="C55" s="236"/>
      <c r="D55" s="236"/>
      <c r="E55" s="236"/>
      <c r="F55" s="236"/>
      <c r="G55" s="236"/>
      <c r="H55" s="236"/>
      <c r="I55" s="237"/>
      <c r="J55" s="26"/>
      <c r="L55" s="19"/>
      <c r="M55" s="20"/>
      <c r="N55" s="21"/>
    </row>
    <row r="56" spans="1:101" ht="15.75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101" ht="31.5" hidden="1" customHeight="1">
      <c r="A57" s="32">
        <v>18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G57*0.315</f>
        <v>487.39319999999998</v>
      </c>
      <c r="J57" s="26"/>
      <c r="L57" s="19"/>
    </row>
    <row r="58" spans="1:101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101" ht="15.75" customHeight="1">
      <c r="A59" s="32">
        <v>15</v>
      </c>
      <c r="B59" s="107" t="s">
        <v>130</v>
      </c>
      <c r="C59" s="108" t="s">
        <v>52</v>
      </c>
      <c r="D59" s="107" t="s">
        <v>258</v>
      </c>
      <c r="E59" s="109">
        <v>6</v>
      </c>
      <c r="F59" s="112">
        <f>E59*6/100</f>
        <v>0.36</v>
      </c>
      <c r="G59" s="36">
        <v>2110.4699999999998</v>
      </c>
      <c r="H59" s="84">
        <f>G59*F59/1000</f>
        <v>0.75976919999999992</v>
      </c>
      <c r="I59" s="13">
        <f>F59/4*G59</f>
        <v>189.94229999999999</v>
      </c>
    </row>
    <row r="60" spans="1:101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101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101" ht="15.75" customHeight="1">
      <c r="A62" s="32">
        <v>16</v>
      </c>
      <c r="B62" s="107" t="s">
        <v>132</v>
      </c>
      <c r="C62" s="108" t="s">
        <v>25</v>
      </c>
      <c r="D62" s="107" t="s">
        <v>259</v>
      </c>
      <c r="E62" s="109">
        <v>200</v>
      </c>
      <c r="F62" s="110">
        <f>E62*12</f>
        <v>2400</v>
      </c>
      <c r="G62" s="111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101" ht="15.75" hidden="1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101" ht="15.75" hidden="1" customHeight="1">
      <c r="A64" s="32">
        <v>21</v>
      </c>
      <c r="B64" s="14" t="s">
        <v>46</v>
      </c>
      <c r="C64" s="16" t="s">
        <v>106</v>
      </c>
      <c r="D64" s="71" t="s">
        <v>65</v>
      </c>
      <c r="E64" s="18">
        <v>15</v>
      </c>
      <c r="F64" s="74">
        <v>15</v>
      </c>
      <c r="G64" s="13">
        <v>222.4</v>
      </c>
      <c r="H64" s="86">
        <f t="shared" ref="H64:H80" si="6">SUM(F64*G64/1000)</f>
        <v>3.3359999999999999</v>
      </c>
      <c r="I64" s="13">
        <f>G64*5</f>
        <v>1112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6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6"/>
        <v>57.150201600000003</v>
      </c>
      <c r="I66" s="13">
        <f>F66*G66</f>
        <v>57150.2016</v>
      </c>
    </row>
    <row r="67" spans="1:21" ht="15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6"/>
        <v>4.4505465599999994</v>
      </c>
      <c r="I67" s="13">
        <f t="shared" ref="I67:I71" si="7">F67*G67</f>
        <v>4450.5465599999998</v>
      </c>
    </row>
    <row r="68" spans="1:21" ht="15.7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6"/>
        <v>94.395665000000008</v>
      </c>
      <c r="I68" s="13">
        <f t="shared" si="7"/>
        <v>94395.665000000008</v>
      </c>
    </row>
    <row r="69" spans="1:21" ht="15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6"/>
        <v>2.6512199999999999</v>
      </c>
      <c r="I69" s="13">
        <f t="shared" si="7"/>
        <v>2651.22</v>
      </c>
    </row>
    <row r="70" spans="1:21" ht="15.7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6"/>
        <v>2.4733800000000001</v>
      </c>
      <c r="I70" s="13">
        <f t="shared" si="7"/>
        <v>2473.38</v>
      </c>
    </row>
    <row r="71" spans="1:21" ht="21.7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6"/>
        <v>0.24940000000000001</v>
      </c>
      <c r="I71" s="13">
        <f t="shared" si="7"/>
        <v>249.4</v>
      </c>
    </row>
    <row r="72" spans="1:21" ht="21.75" customHeight="1">
      <c r="A72" s="32"/>
      <c r="B72" s="175" t="s">
        <v>181</v>
      </c>
      <c r="C72" s="156"/>
      <c r="D72" s="39"/>
      <c r="E72" s="17"/>
      <c r="F72" s="111"/>
      <c r="G72" s="36"/>
      <c r="H72" s="86"/>
      <c r="I72" s="13"/>
    </row>
    <row r="73" spans="1:21" ht="33.75" customHeight="1">
      <c r="A73" s="32">
        <v>17</v>
      </c>
      <c r="B73" s="39" t="s">
        <v>182</v>
      </c>
      <c r="C73" s="158" t="s">
        <v>183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8" customHeight="1">
      <c r="A74" s="32"/>
      <c r="B74" s="176" t="s">
        <v>70</v>
      </c>
      <c r="C74" s="16"/>
      <c r="D74" s="14"/>
      <c r="E74" s="18"/>
      <c r="F74" s="13"/>
      <c r="G74" s="13"/>
      <c r="H74" s="86" t="s">
        <v>142</v>
      </c>
      <c r="I74" s="13"/>
    </row>
    <row r="75" spans="1:21" ht="15.75" hidden="1" customHeight="1">
      <c r="A75" s="32"/>
      <c r="B75" s="14" t="s">
        <v>71</v>
      </c>
      <c r="C75" s="16" t="s">
        <v>73</v>
      </c>
      <c r="D75" s="14"/>
      <c r="E75" s="18">
        <v>10</v>
      </c>
      <c r="F75" s="13">
        <v>1</v>
      </c>
      <c r="G75" s="13">
        <v>501.62</v>
      </c>
      <c r="H75" s="86">
        <f t="shared" si="6"/>
        <v>0.50161999999999995</v>
      </c>
      <c r="I75" s="13">
        <v>0</v>
      </c>
    </row>
    <row r="76" spans="1:21" ht="16.5" hidden="1" customHeight="1">
      <c r="A76" s="32"/>
      <c r="B76" s="14" t="s">
        <v>72</v>
      </c>
      <c r="C76" s="16" t="s">
        <v>31</v>
      </c>
      <c r="D76" s="14"/>
      <c r="E76" s="18">
        <v>3</v>
      </c>
      <c r="F76" s="66">
        <v>3</v>
      </c>
      <c r="G76" s="13">
        <v>852.99</v>
      </c>
      <c r="H76" s="86">
        <f>F76*G76/1000</f>
        <v>2.5589700000000004</v>
      </c>
      <c r="I76" s="13">
        <v>0</v>
      </c>
    </row>
    <row r="77" spans="1:21" ht="21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36" customHeight="1">
      <c r="A78" s="32">
        <v>18</v>
      </c>
      <c r="B78" s="39" t="s">
        <v>188</v>
      </c>
      <c r="C78" s="156" t="s">
        <v>106</v>
      </c>
      <c r="D78" s="39" t="s">
        <v>259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.75" hidden="1" customHeight="1">
      <c r="A79" s="32"/>
      <c r="B79" s="89" t="s">
        <v>74</v>
      </c>
      <c r="C79" s="16"/>
      <c r="D79" s="14"/>
      <c r="E79" s="18"/>
      <c r="F79" s="13"/>
      <c r="G79" s="13" t="s">
        <v>142</v>
      </c>
      <c r="H79" s="86" t="s">
        <v>142</v>
      </c>
      <c r="I79" s="13"/>
    </row>
    <row r="80" spans="1:21" ht="17.25" hidden="1" customHeight="1">
      <c r="A80" s="32"/>
      <c r="B80" s="47" t="s">
        <v>147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6"/>
        <v>3.311328</v>
      </c>
      <c r="I80" s="13">
        <v>0</v>
      </c>
    </row>
    <row r="81" spans="1:9" ht="15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189.18586606</v>
      </c>
      <c r="I81" s="77"/>
    </row>
    <row r="82" spans="1:9" ht="15.75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9" t="s">
        <v>140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19</v>
      </c>
      <c r="B84" s="113" t="s">
        <v>114</v>
      </c>
      <c r="C84" s="156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20</v>
      </c>
      <c r="B85" s="39" t="s">
        <v>76</v>
      </c>
      <c r="C85" s="156"/>
      <c r="D85" s="103"/>
      <c r="E85" s="148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I85+I84+I78+I73+I62+I59+I54+I49+I43+I42+I41+I40+I39+I38+I37+I26+I18+I17+I16+I53</f>
        <v>132234.82500733336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 ht="32.25" customHeight="1">
      <c r="A88" s="32">
        <v>21</v>
      </c>
      <c r="B88" s="159" t="s">
        <v>209</v>
      </c>
      <c r="C88" s="158" t="s">
        <v>210</v>
      </c>
      <c r="D88" s="39"/>
      <c r="E88" s="17"/>
      <c r="F88" s="36">
        <v>37</v>
      </c>
      <c r="G88" s="36">
        <v>2114.96</v>
      </c>
      <c r="H88" s="102">
        <f t="shared" ref="H88:H95" si="8">G88*F88/1000</f>
        <v>78.253520000000009</v>
      </c>
      <c r="I88" s="13">
        <f>G88*1</f>
        <v>2114.96</v>
      </c>
    </row>
    <row r="89" spans="1:9" ht="16.5" customHeight="1">
      <c r="A89" s="32">
        <v>22</v>
      </c>
      <c r="B89" s="51" t="s">
        <v>80</v>
      </c>
      <c r="C89" s="52" t="s">
        <v>106</v>
      </c>
      <c r="D89" s="103"/>
      <c r="E89" s="36"/>
      <c r="F89" s="36">
        <v>7</v>
      </c>
      <c r="G89" s="36">
        <v>207.55</v>
      </c>
      <c r="H89" s="102">
        <f t="shared" si="8"/>
        <v>1.4528500000000002</v>
      </c>
      <c r="I89" s="13">
        <f>G89*3</f>
        <v>622.65000000000009</v>
      </c>
    </row>
    <row r="90" spans="1:9" ht="30.75" customHeight="1">
      <c r="A90" s="32">
        <v>23</v>
      </c>
      <c r="B90" s="51" t="s">
        <v>211</v>
      </c>
      <c r="C90" s="106" t="s">
        <v>106</v>
      </c>
      <c r="D90" s="39"/>
      <c r="E90" s="17"/>
      <c r="F90" s="36">
        <v>3</v>
      </c>
      <c r="G90" s="36">
        <v>909</v>
      </c>
      <c r="H90" s="102">
        <f t="shared" si="8"/>
        <v>2.7269999999999999</v>
      </c>
      <c r="I90" s="13">
        <f>G90*1</f>
        <v>909</v>
      </c>
    </row>
    <row r="91" spans="1:9" ht="30.75" customHeight="1">
      <c r="A91" s="32">
        <v>24</v>
      </c>
      <c r="B91" s="51" t="s">
        <v>212</v>
      </c>
      <c r="C91" s="52" t="s">
        <v>79</v>
      </c>
      <c r="D91" s="14"/>
      <c r="E91" s="18"/>
      <c r="F91" s="13">
        <v>240</v>
      </c>
      <c r="G91" s="36">
        <v>897.29</v>
      </c>
      <c r="H91" s="86">
        <f t="shared" si="8"/>
        <v>215.34959999999998</v>
      </c>
      <c r="I91" s="13">
        <f>G91*0.5</f>
        <v>448.64499999999998</v>
      </c>
    </row>
    <row r="92" spans="1:9" ht="15.75" customHeight="1">
      <c r="A92" s="32">
        <v>25</v>
      </c>
      <c r="B92" s="51" t="s">
        <v>213</v>
      </c>
      <c r="C92" s="52" t="s">
        <v>106</v>
      </c>
      <c r="D92" s="103"/>
      <c r="E92" s="36"/>
      <c r="F92" s="36">
        <v>1</v>
      </c>
      <c r="G92" s="36">
        <v>160</v>
      </c>
      <c r="H92" s="102">
        <f t="shared" si="8"/>
        <v>0.16</v>
      </c>
      <c r="I92" s="13">
        <f>G92*1</f>
        <v>160</v>
      </c>
    </row>
    <row r="93" spans="1:9" ht="15.75" customHeight="1">
      <c r="A93" s="32">
        <v>26</v>
      </c>
      <c r="B93" s="51" t="s">
        <v>214</v>
      </c>
      <c r="C93" s="52" t="s">
        <v>106</v>
      </c>
      <c r="D93" s="103"/>
      <c r="E93" s="36"/>
      <c r="F93" s="36">
        <v>1</v>
      </c>
      <c r="G93" s="36">
        <v>235</v>
      </c>
      <c r="H93" s="102">
        <f t="shared" si="8"/>
        <v>0.23499999999999999</v>
      </c>
      <c r="I93" s="13">
        <f>G93*1</f>
        <v>235</v>
      </c>
    </row>
    <row r="94" spans="1:9" ht="31.5" customHeight="1">
      <c r="A94" s="32">
        <v>27</v>
      </c>
      <c r="B94" s="51" t="s">
        <v>215</v>
      </c>
      <c r="C94" s="52" t="s">
        <v>106</v>
      </c>
      <c r="D94" s="39"/>
      <c r="E94" s="17"/>
      <c r="F94" s="36">
        <v>8</v>
      </c>
      <c r="G94" s="36">
        <v>70</v>
      </c>
      <c r="H94" s="102">
        <f t="shared" si="8"/>
        <v>0.56000000000000005</v>
      </c>
      <c r="I94" s="13">
        <f>G94*1</f>
        <v>70</v>
      </c>
    </row>
    <row r="95" spans="1:9" ht="17.25" customHeight="1">
      <c r="A95" s="32">
        <v>28</v>
      </c>
      <c r="B95" s="51" t="s">
        <v>216</v>
      </c>
      <c r="C95" s="52" t="s">
        <v>106</v>
      </c>
      <c r="D95" s="39"/>
      <c r="E95" s="17"/>
      <c r="F95" s="36">
        <v>1</v>
      </c>
      <c r="G95" s="36">
        <v>239</v>
      </c>
      <c r="H95" s="102">
        <f t="shared" si="8"/>
        <v>0.23899999999999999</v>
      </c>
      <c r="I95" s="13">
        <f>G95*1</f>
        <v>239</v>
      </c>
    </row>
    <row r="96" spans="1:9" ht="15.75" customHeight="1">
      <c r="A96" s="32">
        <v>29</v>
      </c>
      <c r="B96" s="51" t="s">
        <v>203</v>
      </c>
      <c r="C96" s="52" t="s">
        <v>166</v>
      </c>
      <c r="D96" s="47"/>
      <c r="E96" s="13"/>
      <c r="F96" s="13">
        <v>2</v>
      </c>
      <c r="G96" s="36">
        <v>273</v>
      </c>
      <c r="H96" s="102">
        <f>G96*F96/1000</f>
        <v>0.54600000000000004</v>
      </c>
      <c r="I96" s="13">
        <f>G96*7</f>
        <v>1911</v>
      </c>
    </row>
    <row r="97" spans="1:9" ht="15.75" customHeight="1">
      <c r="A97" s="32">
        <v>30</v>
      </c>
      <c r="B97" s="51" t="s">
        <v>217</v>
      </c>
      <c r="C97" s="52" t="s">
        <v>106</v>
      </c>
      <c r="D97" s="47"/>
      <c r="E97" s="13"/>
      <c r="F97" s="13"/>
      <c r="G97" s="36">
        <v>30</v>
      </c>
      <c r="H97" s="102"/>
      <c r="I97" s="13">
        <f>G97*1</f>
        <v>30</v>
      </c>
    </row>
    <row r="98" spans="1:9" ht="30.75" customHeight="1">
      <c r="A98" s="32">
        <v>31</v>
      </c>
      <c r="B98" s="51" t="s">
        <v>195</v>
      </c>
      <c r="C98" s="52" t="s">
        <v>145</v>
      </c>
      <c r="D98" s="47"/>
      <c r="E98" s="13"/>
      <c r="F98" s="13"/>
      <c r="G98" s="36">
        <v>561.86</v>
      </c>
      <c r="H98" s="102"/>
      <c r="I98" s="13">
        <f>G98*2</f>
        <v>1123.72</v>
      </c>
    </row>
    <row r="99" spans="1:9" ht="17.25" customHeight="1">
      <c r="A99" s="32">
        <v>32</v>
      </c>
      <c r="B99" s="51" t="s">
        <v>218</v>
      </c>
      <c r="C99" s="52" t="s">
        <v>29</v>
      </c>
      <c r="D99" s="47"/>
      <c r="E99" s="13"/>
      <c r="F99" s="13"/>
      <c r="G99" s="36">
        <v>1160.81</v>
      </c>
      <c r="H99" s="102"/>
      <c r="I99" s="13">
        <f>G99*0.0507</f>
        <v>58.853067000000003</v>
      </c>
    </row>
    <row r="100" spans="1:9" ht="32.25" customHeight="1">
      <c r="A100" s="32">
        <v>33</v>
      </c>
      <c r="B100" s="51" t="s">
        <v>219</v>
      </c>
      <c r="C100" s="106" t="s">
        <v>166</v>
      </c>
      <c r="D100" s="47"/>
      <c r="E100" s="13"/>
      <c r="F100" s="13"/>
      <c r="G100" s="36">
        <v>1465</v>
      </c>
      <c r="H100" s="102"/>
      <c r="I100" s="13">
        <f>G100*8</f>
        <v>11720</v>
      </c>
    </row>
    <row r="101" spans="1:9" ht="15" customHeight="1">
      <c r="A101" s="32">
        <v>34</v>
      </c>
      <c r="B101" s="51" t="s">
        <v>224</v>
      </c>
      <c r="C101" s="52" t="s">
        <v>82</v>
      </c>
      <c r="D101" s="47"/>
      <c r="E101" s="13"/>
      <c r="F101" s="13"/>
      <c r="G101" s="36">
        <v>214.07</v>
      </c>
      <c r="H101" s="102"/>
      <c r="I101" s="13">
        <f>G101*1</f>
        <v>214.07</v>
      </c>
    </row>
    <row r="102" spans="1:9" ht="15.75" customHeight="1">
      <c r="A102" s="32"/>
      <c r="B102" s="45" t="s">
        <v>51</v>
      </c>
      <c r="C102" s="41"/>
      <c r="D102" s="48"/>
      <c r="E102" s="41">
        <v>1</v>
      </c>
      <c r="F102" s="41"/>
      <c r="G102" s="41"/>
      <c r="H102" s="41"/>
      <c r="I102" s="34">
        <f>SUM(I88:I101)</f>
        <v>19856.898067000002</v>
      </c>
    </row>
    <row r="103" spans="1:9">
      <c r="A103" s="32"/>
      <c r="B103" s="47" t="s">
        <v>77</v>
      </c>
      <c r="C103" s="15"/>
      <c r="D103" s="15"/>
      <c r="E103" s="42"/>
      <c r="F103" s="42"/>
      <c r="G103" s="43"/>
      <c r="H103" s="43"/>
      <c r="I103" s="17">
        <v>0</v>
      </c>
    </row>
    <row r="104" spans="1:9">
      <c r="A104" s="49"/>
      <c r="B104" s="46" t="s">
        <v>158</v>
      </c>
      <c r="C104" s="35"/>
      <c r="D104" s="35"/>
      <c r="E104" s="35"/>
      <c r="F104" s="35"/>
      <c r="G104" s="35"/>
      <c r="H104" s="35"/>
      <c r="I104" s="44">
        <f>I86+I102</f>
        <v>152091.72307433336</v>
      </c>
    </row>
    <row r="105" spans="1:9" ht="15.75">
      <c r="A105" s="222" t="s">
        <v>277</v>
      </c>
      <c r="B105" s="222"/>
      <c r="C105" s="222"/>
      <c r="D105" s="222"/>
      <c r="E105" s="222"/>
      <c r="F105" s="222"/>
      <c r="G105" s="222"/>
      <c r="H105" s="222"/>
      <c r="I105" s="222"/>
    </row>
    <row r="106" spans="1:9" ht="15.75" customHeight="1">
      <c r="A106" s="58"/>
      <c r="B106" s="223" t="s">
        <v>278</v>
      </c>
      <c r="C106" s="223"/>
      <c r="D106" s="223"/>
      <c r="E106" s="223"/>
      <c r="F106" s="223"/>
      <c r="G106" s="223"/>
      <c r="H106" s="70"/>
      <c r="I106" s="3"/>
    </row>
    <row r="107" spans="1:9">
      <c r="A107" s="55"/>
      <c r="B107" s="224" t="s">
        <v>6</v>
      </c>
      <c r="C107" s="224"/>
      <c r="D107" s="224"/>
      <c r="E107" s="224"/>
      <c r="F107" s="224"/>
      <c r="G107" s="224"/>
      <c r="H107" s="27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25" t="s">
        <v>7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15.75">
      <c r="A110" s="225" t="s">
        <v>8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15.75">
      <c r="A111" s="226" t="s">
        <v>60</v>
      </c>
      <c r="B111" s="226"/>
      <c r="C111" s="226"/>
      <c r="D111" s="226"/>
      <c r="E111" s="226"/>
      <c r="F111" s="226"/>
      <c r="G111" s="226"/>
      <c r="H111" s="226"/>
      <c r="I111" s="226"/>
    </row>
    <row r="112" spans="1:9" ht="15.75">
      <c r="A112" s="11"/>
    </row>
    <row r="113" spans="1:9" ht="15.75">
      <c r="A113" s="227" t="s">
        <v>9</v>
      </c>
      <c r="B113" s="227"/>
      <c r="C113" s="227"/>
      <c r="D113" s="227"/>
      <c r="E113" s="227"/>
      <c r="F113" s="227"/>
      <c r="G113" s="227"/>
      <c r="H113" s="227"/>
      <c r="I113" s="227"/>
    </row>
    <row r="114" spans="1:9" ht="15.75" customHeight="1">
      <c r="A114" s="4"/>
    </row>
    <row r="115" spans="1:9" ht="15.75" customHeight="1">
      <c r="B115" s="56" t="s">
        <v>10</v>
      </c>
      <c r="C115" s="228" t="s">
        <v>135</v>
      </c>
      <c r="D115" s="228"/>
      <c r="E115" s="228"/>
      <c r="F115" s="68"/>
      <c r="I115" s="54"/>
    </row>
    <row r="116" spans="1:9" ht="15.75" customHeight="1">
      <c r="A116" s="55"/>
      <c r="C116" s="224" t="s">
        <v>11</v>
      </c>
      <c r="D116" s="224"/>
      <c r="E116" s="224"/>
      <c r="F116" s="27"/>
      <c r="I116" s="53" t="s">
        <v>12</v>
      </c>
    </row>
    <row r="117" spans="1:9" ht="15.75" customHeight="1">
      <c r="A117" s="28"/>
      <c r="C117" s="12"/>
      <c r="D117" s="12"/>
      <c r="G117" s="12"/>
      <c r="H117" s="12"/>
    </row>
    <row r="118" spans="1:9" ht="15.75">
      <c r="B118" s="56" t="s">
        <v>13</v>
      </c>
      <c r="C118" s="229"/>
      <c r="D118" s="229"/>
      <c r="E118" s="229"/>
      <c r="F118" s="69"/>
      <c r="I118" s="54"/>
    </row>
    <row r="119" spans="1:9">
      <c r="A119" s="55"/>
      <c r="C119" s="218" t="s">
        <v>11</v>
      </c>
      <c r="D119" s="218"/>
      <c r="E119" s="218"/>
      <c r="F119" s="55"/>
      <c r="I119" s="53" t="s">
        <v>12</v>
      </c>
    </row>
    <row r="120" spans="1:9" ht="15.75">
      <c r="A120" s="4" t="s">
        <v>14</v>
      </c>
    </row>
    <row r="121" spans="1:9">
      <c r="A121" s="233" t="s">
        <v>15</v>
      </c>
      <c r="B121" s="233"/>
      <c r="C121" s="233"/>
      <c r="D121" s="233"/>
      <c r="E121" s="233"/>
      <c r="F121" s="233"/>
      <c r="G121" s="233"/>
      <c r="H121" s="233"/>
      <c r="I121" s="233"/>
    </row>
    <row r="122" spans="1:9" ht="45" customHeight="1">
      <c r="A122" s="234" t="s">
        <v>16</v>
      </c>
      <c r="B122" s="234"/>
      <c r="C122" s="234"/>
      <c r="D122" s="234"/>
      <c r="E122" s="234"/>
      <c r="F122" s="234"/>
      <c r="G122" s="234"/>
      <c r="H122" s="234"/>
      <c r="I122" s="234"/>
    </row>
    <row r="123" spans="1:9" ht="30" customHeight="1">
      <c r="A123" s="234" t="s">
        <v>17</v>
      </c>
      <c r="B123" s="234"/>
      <c r="C123" s="234"/>
      <c r="D123" s="234"/>
      <c r="E123" s="234"/>
      <c r="F123" s="234"/>
      <c r="G123" s="234"/>
      <c r="H123" s="234"/>
      <c r="I123" s="234"/>
    </row>
    <row r="124" spans="1:9" ht="30" customHeight="1">
      <c r="A124" s="234" t="s">
        <v>21</v>
      </c>
      <c r="B124" s="234"/>
      <c r="C124" s="234"/>
      <c r="D124" s="234"/>
      <c r="E124" s="234"/>
      <c r="F124" s="234"/>
      <c r="G124" s="234"/>
      <c r="H124" s="234"/>
      <c r="I124" s="234"/>
    </row>
    <row r="125" spans="1:9" ht="15" customHeight="1">
      <c r="A125" s="234" t="s">
        <v>20</v>
      </c>
      <c r="B125" s="234"/>
      <c r="C125" s="234"/>
      <c r="D125" s="234"/>
      <c r="E125" s="234"/>
      <c r="F125" s="234"/>
      <c r="G125" s="234"/>
      <c r="H125" s="234"/>
      <c r="I125" s="234"/>
    </row>
  </sheetData>
  <autoFilter ref="I12:I59"/>
  <mergeCells count="29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7:I27"/>
    <mergeCell ref="A44:I44"/>
    <mergeCell ref="A55:I55"/>
    <mergeCell ref="A105:I105"/>
    <mergeCell ref="B106:G106"/>
    <mergeCell ref="B107:G107"/>
    <mergeCell ref="A109:I109"/>
    <mergeCell ref="A110:I110"/>
    <mergeCell ref="A87:I87"/>
    <mergeCell ref="R64:U64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0" zoomScale="60" workbookViewId="0">
      <selection activeCell="J109" sqref="J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149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220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43555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258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142</v>
      </c>
      <c r="I36" s="13"/>
      <c r="J36" s="26"/>
    </row>
    <row r="37" spans="1:14" ht="15.75" customHeight="1">
      <c r="A37" s="32">
        <v>5</v>
      </c>
      <c r="B37" s="160" t="s">
        <v>26</v>
      </c>
      <c r="C37" s="114" t="s">
        <v>32</v>
      </c>
      <c r="D37" s="113"/>
      <c r="E37" s="148"/>
      <c r="F37" s="149">
        <v>5</v>
      </c>
      <c r="G37" s="149">
        <v>2083</v>
      </c>
      <c r="H37" s="75">
        <f t="shared" ref="H37:H43" si="3">SUM(F37*G37/1000)</f>
        <v>10.414999999999999</v>
      </c>
      <c r="I37" s="13">
        <f>G37*1.5</f>
        <v>3124.5</v>
      </c>
      <c r="J37" s="26"/>
    </row>
    <row r="38" spans="1:14" ht="15.75" customHeight="1">
      <c r="A38" s="32">
        <v>6</v>
      </c>
      <c r="B38" s="160" t="s">
        <v>105</v>
      </c>
      <c r="C38" s="161" t="s">
        <v>29</v>
      </c>
      <c r="D38" s="113" t="s">
        <v>253</v>
      </c>
      <c r="E38" s="148">
        <v>153</v>
      </c>
      <c r="F38" s="162">
        <f>E38*30/1000</f>
        <v>4.59</v>
      </c>
      <c r="G38" s="149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customHeight="1">
      <c r="A40" s="32">
        <v>7</v>
      </c>
      <c r="B40" s="113" t="s">
        <v>66</v>
      </c>
      <c r="C40" s="114" t="s">
        <v>29</v>
      </c>
      <c r="D40" s="113" t="s">
        <v>254</v>
      </c>
      <c r="E40" s="149">
        <v>153</v>
      </c>
      <c r="F40" s="162">
        <f>SUM(E40*155/1000)</f>
        <v>23.715</v>
      </c>
      <c r="G40" s="149">
        <v>478.42</v>
      </c>
      <c r="H40" s="75">
        <f t="shared" si="3"/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7.25" customHeight="1">
      <c r="A41" s="32">
        <v>8</v>
      </c>
      <c r="B41" s="113" t="s">
        <v>81</v>
      </c>
      <c r="C41" s="114" t="s">
        <v>87</v>
      </c>
      <c r="D41" s="113" t="s">
        <v>255</v>
      </c>
      <c r="E41" s="149">
        <v>25</v>
      </c>
      <c r="F41" s="162">
        <f>SUM(E41*35/1000)</f>
        <v>0.875</v>
      </c>
      <c r="G41" s="149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customHeight="1">
      <c r="A42" s="32">
        <v>9</v>
      </c>
      <c r="B42" s="113" t="s">
        <v>88</v>
      </c>
      <c r="C42" s="114" t="s">
        <v>87</v>
      </c>
      <c r="D42" s="113" t="s">
        <v>256</v>
      </c>
      <c r="E42" s="149">
        <v>153</v>
      </c>
      <c r="F42" s="162">
        <f>SUM(E42*45/1000)</f>
        <v>6.8849999999999998</v>
      </c>
      <c r="G42" s="149">
        <v>584.74</v>
      </c>
      <c r="H42" s="75">
        <f t="shared" si="3"/>
        <v>4.0259348999999993</v>
      </c>
      <c r="I42" s="13">
        <f>(F42/7.5*1.5)*G42</f>
        <v>805.18697999999983</v>
      </c>
      <c r="J42" s="26"/>
      <c r="L42" s="19"/>
      <c r="M42" s="20"/>
      <c r="N42" s="21"/>
    </row>
    <row r="43" spans="1:14" ht="15.75" customHeight="1">
      <c r="A43" s="123">
        <v>10</v>
      </c>
      <c r="B43" s="163" t="s">
        <v>68</v>
      </c>
      <c r="C43" s="164" t="s">
        <v>33</v>
      </c>
      <c r="D43" s="163"/>
      <c r="E43" s="165"/>
      <c r="F43" s="166">
        <v>0.9</v>
      </c>
      <c r="G43" s="166">
        <v>800</v>
      </c>
      <c r="H43" s="83">
        <f t="shared" si="3"/>
        <v>0.72</v>
      </c>
      <c r="I43" s="91">
        <f>(F43/7.5*1.5)*G43</f>
        <v>144.00000000000003</v>
      </c>
      <c r="J43" s="26"/>
      <c r="L43" s="19"/>
      <c r="M43" s="20"/>
      <c r="N43" s="21"/>
    </row>
    <row r="44" spans="1:14" ht="34.5" customHeight="1">
      <c r="A44" s="32">
        <v>11</v>
      </c>
      <c r="B44" s="160" t="s">
        <v>175</v>
      </c>
      <c r="C44" s="161" t="s">
        <v>29</v>
      </c>
      <c r="D44" s="160" t="s">
        <v>257</v>
      </c>
      <c r="E44" s="151">
        <v>4.2</v>
      </c>
      <c r="F44" s="162">
        <f>E44*12/1000</f>
        <v>5.0400000000000007E-2</v>
      </c>
      <c r="G44" s="162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9.5" customHeight="1">
      <c r="A45" s="215" t="s">
        <v>138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21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4.2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26.2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21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21.75" hidden="1" customHeight="1">
      <c r="A50" s="32">
        <v>17</v>
      </c>
      <c r="B50" s="71" t="s">
        <v>55</v>
      </c>
      <c r="C50" s="72" t="s">
        <v>87</v>
      </c>
      <c r="D50" s="71" t="s">
        <v>146</v>
      </c>
      <c r="E50" s="73">
        <v>3988</v>
      </c>
      <c r="F50" s="74">
        <f>SUM(E50*5/1000)</f>
        <v>19.940000000000001</v>
      </c>
      <c r="G50" s="13">
        <v>1142.7</v>
      </c>
      <c r="H50" s="75">
        <f t="shared" si="4"/>
        <v>22.785438000000003</v>
      </c>
      <c r="I50" s="13">
        <f>F50/5*G50</f>
        <v>4557.0876000000007</v>
      </c>
      <c r="J50" s="26"/>
      <c r="L50" s="19"/>
      <c r="M50" s="20"/>
      <c r="N50" s="21"/>
    </row>
    <row r="51" spans="1:22" ht="18.7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23.2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8.75" hidden="1" customHeight="1">
      <c r="A53" s="32">
        <v>17</v>
      </c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22.5" hidden="1" customHeight="1">
      <c r="A54" s="123">
        <v>17</v>
      </c>
      <c r="B54" s="80" t="s">
        <v>41</v>
      </c>
      <c r="C54" s="81" t="s">
        <v>106</v>
      </c>
      <c r="D54" s="80" t="s">
        <v>69</v>
      </c>
      <c r="E54" s="82">
        <v>236</v>
      </c>
      <c r="F54" s="85">
        <f>SUM(E54)*3</f>
        <v>708</v>
      </c>
      <c r="G54" s="91">
        <v>65.67</v>
      </c>
      <c r="H54" s="83">
        <f t="shared" si="4"/>
        <v>46.49436</v>
      </c>
      <c r="I54" s="91">
        <f>E54*G54</f>
        <v>15498.12</v>
      </c>
      <c r="J54" s="26"/>
      <c r="L54" s="19"/>
      <c r="M54" s="20"/>
      <c r="N54" s="21"/>
    </row>
    <row r="55" spans="1:22" ht="22.5" customHeight="1">
      <c r="A55" s="32">
        <v>12</v>
      </c>
      <c r="B55" s="113" t="s">
        <v>177</v>
      </c>
      <c r="C55" s="114" t="s">
        <v>106</v>
      </c>
      <c r="D55" s="113" t="s">
        <v>259</v>
      </c>
      <c r="E55" s="148">
        <v>5</v>
      </c>
      <c r="F55" s="149">
        <v>60</v>
      </c>
      <c r="G55" s="154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137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18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customHeight="1">
      <c r="A60" s="32">
        <v>13</v>
      </c>
      <c r="B60" s="107" t="s">
        <v>130</v>
      </c>
      <c r="C60" s="108" t="s">
        <v>52</v>
      </c>
      <c r="D60" s="107" t="s">
        <v>258</v>
      </c>
      <c r="E60" s="109">
        <v>6</v>
      </c>
      <c r="F60" s="112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107" t="s">
        <v>132</v>
      </c>
      <c r="C63" s="108" t="s">
        <v>25</v>
      </c>
      <c r="D63" s="107" t="s">
        <v>259</v>
      </c>
      <c r="E63" s="109">
        <v>200</v>
      </c>
      <c r="F63" s="110">
        <f>E63*12</f>
        <v>2400</v>
      </c>
      <c r="G63" s="111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21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3">
        <v>222.4</v>
      </c>
      <c r="H65" s="86">
        <f t="shared" ref="H65:H81" si="5">SUM(F65*G65/1000)</f>
        <v>3.3359999999999999</v>
      </c>
      <c r="I65" s="13">
        <f>G65*2</f>
        <v>444.8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1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17.25" customHeight="1">
      <c r="A73" s="32"/>
      <c r="B73" s="175" t="s">
        <v>181</v>
      </c>
      <c r="C73" s="156"/>
      <c r="D73" s="39"/>
      <c r="E73" s="17"/>
      <c r="F73" s="111"/>
      <c r="G73" s="36"/>
      <c r="H73" s="86"/>
      <c r="I73" s="13"/>
    </row>
    <row r="74" spans="1:21" ht="32.25" customHeight="1">
      <c r="A74" s="32">
        <v>15</v>
      </c>
      <c r="B74" s="39" t="s">
        <v>182</v>
      </c>
      <c r="C74" s="158" t="s">
        <v>183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6.5" customHeight="1">
      <c r="A75" s="32"/>
      <c r="B75" s="184" t="s">
        <v>70</v>
      </c>
      <c r="C75" s="16"/>
      <c r="D75" s="14"/>
      <c r="E75" s="18"/>
      <c r="F75" s="13"/>
      <c r="G75" s="13"/>
      <c r="H75" s="86" t="s">
        <v>142</v>
      </c>
      <c r="I75" s="13"/>
    </row>
    <row r="76" spans="1:21" ht="15.75" customHeight="1">
      <c r="A76" s="32">
        <v>16</v>
      </c>
      <c r="B76" s="39" t="s">
        <v>71</v>
      </c>
      <c r="C76" s="156" t="s">
        <v>73</v>
      </c>
      <c r="D76" s="39" t="s">
        <v>145</v>
      </c>
      <c r="E76" s="17">
        <v>7</v>
      </c>
      <c r="F76" s="36">
        <f>E76/10</f>
        <v>0.7</v>
      </c>
      <c r="G76" s="36">
        <v>684.19</v>
      </c>
      <c r="H76" s="86">
        <f t="shared" si="5"/>
        <v>0.478933</v>
      </c>
      <c r="I76" s="13">
        <f>G76*0.1</f>
        <v>68.419000000000011</v>
      </c>
    </row>
    <row r="77" spans="1:21" ht="18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7.2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17</v>
      </c>
      <c r="B79" s="39" t="s">
        <v>188</v>
      </c>
      <c r="C79" s="156" t="s">
        <v>106</v>
      </c>
      <c r="D79" s="39" t="s">
        <v>259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0.25" hidden="1" customHeight="1">
      <c r="A80" s="32"/>
      <c r="B80" s="89" t="s">
        <v>74</v>
      </c>
      <c r="C80" s="16"/>
      <c r="D80" s="14"/>
      <c r="E80" s="18"/>
      <c r="F80" s="13"/>
      <c r="G80" s="13" t="s">
        <v>142</v>
      </c>
      <c r="H80" s="86" t="s">
        <v>142</v>
      </c>
      <c r="I80" s="13"/>
    </row>
    <row r="81" spans="1:9" ht="21" hidden="1" customHeight="1">
      <c r="A81" s="32"/>
      <c r="B81" s="47" t="s">
        <v>147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19.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189.16317906</v>
      </c>
      <c r="I82" s="77"/>
    </row>
    <row r="83" spans="1:9" ht="21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136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18</v>
      </c>
      <c r="B85" s="113" t="s">
        <v>114</v>
      </c>
      <c r="C85" s="156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19</v>
      </c>
      <c r="B86" s="39" t="s">
        <v>76</v>
      </c>
      <c r="C86" s="156"/>
      <c r="D86" s="103"/>
      <c r="E86" s="148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I86+I85+I79+I76+I74+I63+I60+I55+I44+I43+I42+I41+I40+I38+I37+I26+I18+I17+I16</f>
        <v>112393.92290733334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29.25" customHeight="1">
      <c r="A89" s="32">
        <v>20</v>
      </c>
      <c r="B89" s="159" t="s">
        <v>209</v>
      </c>
      <c r="C89" s="158" t="s">
        <v>210</v>
      </c>
      <c r="D89" s="14"/>
      <c r="E89" s="18"/>
      <c r="F89" s="13"/>
      <c r="G89" s="36">
        <v>2114.96</v>
      </c>
      <c r="H89" s="86">
        <f t="shared" ref="H89:H96" si="7">G89*F89/1000</f>
        <v>0</v>
      </c>
      <c r="I89" s="13">
        <f>G89*1</f>
        <v>2114.96</v>
      </c>
    </row>
    <row r="90" spans="1:9" ht="15.75" customHeight="1">
      <c r="A90" s="32">
        <v>21</v>
      </c>
      <c r="B90" s="51" t="s">
        <v>80</v>
      </c>
      <c r="C90" s="52" t="s">
        <v>106</v>
      </c>
      <c r="D90" s="14"/>
      <c r="E90" s="18"/>
      <c r="F90" s="13"/>
      <c r="G90" s="36">
        <v>207.55</v>
      </c>
      <c r="H90" s="86">
        <f t="shared" si="7"/>
        <v>0</v>
      </c>
      <c r="I90" s="13">
        <f>G90*1</f>
        <v>207.55</v>
      </c>
    </row>
    <row r="91" spans="1:9" ht="30" customHeight="1">
      <c r="A91" s="32">
        <v>22</v>
      </c>
      <c r="B91" s="51" t="s">
        <v>195</v>
      </c>
      <c r="C91" s="52" t="s">
        <v>145</v>
      </c>
      <c r="D91" s="14"/>
      <c r="E91" s="18"/>
      <c r="F91" s="13"/>
      <c r="G91" s="36">
        <v>561.86</v>
      </c>
      <c r="H91" s="86">
        <f t="shared" si="7"/>
        <v>0</v>
      </c>
      <c r="I91" s="91">
        <f>G91*1</f>
        <v>561.86</v>
      </c>
    </row>
    <row r="92" spans="1:9" ht="30.75" customHeight="1">
      <c r="A92" s="32">
        <v>23</v>
      </c>
      <c r="B92" s="51" t="s">
        <v>221</v>
      </c>
      <c r="C92" s="106" t="s">
        <v>166</v>
      </c>
      <c r="D92" s="39"/>
      <c r="E92" s="17"/>
      <c r="F92" s="36"/>
      <c r="G92" s="36">
        <v>1367</v>
      </c>
      <c r="H92" s="102">
        <f t="shared" si="7"/>
        <v>0</v>
      </c>
      <c r="I92" s="13">
        <f>G92*8</f>
        <v>10936</v>
      </c>
    </row>
    <row r="93" spans="1:9" ht="34.5" customHeight="1">
      <c r="A93" s="32">
        <v>24</v>
      </c>
      <c r="B93" s="51" t="s">
        <v>222</v>
      </c>
      <c r="C93" s="52" t="s">
        <v>145</v>
      </c>
      <c r="D93" s="103"/>
      <c r="E93" s="36"/>
      <c r="F93" s="36"/>
      <c r="G93" s="36">
        <v>644.72</v>
      </c>
      <c r="H93" s="102">
        <f t="shared" si="7"/>
        <v>0</v>
      </c>
      <c r="I93" s="13">
        <f>G93*6</f>
        <v>3868.32</v>
      </c>
    </row>
    <row r="94" spans="1:9" ht="33" customHeight="1">
      <c r="A94" s="32">
        <v>25</v>
      </c>
      <c r="B94" s="51" t="s">
        <v>133</v>
      </c>
      <c r="C94" s="52" t="s">
        <v>37</v>
      </c>
      <c r="D94" s="39"/>
      <c r="E94" s="17"/>
      <c r="F94" s="36"/>
      <c r="G94" s="36">
        <v>3914.31</v>
      </c>
      <c r="H94" s="102">
        <f t="shared" si="7"/>
        <v>0</v>
      </c>
      <c r="I94" s="13">
        <f>G94*0.02</f>
        <v>78.286199999999994</v>
      </c>
    </row>
    <row r="95" spans="1:9" ht="15.75" customHeight="1">
      <c r="A95" s="32">
        <v>26</v>
      </c>
      <c r="B95" s="51" t="s">
        <v>223</v>
      </c>
      <c r="C95" s="52" t="s">
        <v>82</v>
      </c>
      <c r="D95" s="103"/>
      <c r="E95" s="36"/>
      <c r="F95" s="36"/>
      <c r="G95" s="36">
        <v>259.52999999999997</v>
      </c>
      <c r="H95" s="102">
        <f t="shared" si="7"/>
        <v>0</v>
      </c>
      <c r="I95" s="13">
        <f>G95*1</f>
        <v>259.52999999999997</v>
      </c>
    </row>
    <row r="96" spans="1:9" ht="15.75" customHeight="1">
      <c r="A96" s="32">
        <v>27</v>
      </c>
      <c r="B96" s="115" t="s">
        <v>169</v>
      </c>
      <c r="C96" s="52" t="s">
        <v>106</v>
      </c>
      <c r="D96" s="103"/>
      <c r="E96" s="36"/>
      <c r="F96" s="36"/>
      <c r="G96" s="36">
        <v>207.32</v>
      </c>
      <c r="H96" s="102">
        <f t="shared" si="7"/>
        <v>0</v>
      </c>
      <c r="I96" s="13">
        <f>G96*1</f>
        <v>207.32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SUM(I89:I96)</f>
        <v>18233.8262</v>
      </c>
    </row>
    <row r="98" spans="1:9">
      <c r="A98" s="32"/>
      <c r="B98" s="47" t="s">
        <v>77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49"/>
      <c r="B99" s="46" t="s">
        <v>158</v>
      </c>
      <c r="C99" s="35"/>
      <c r="D99" s="35"/>
      <c r="E99" s="35"/>
      <c r="F99" s="35"/>
      <c r="G99" s="35"/>
      <c r="H99" s="35"/>
      <c r="I99" s="44">
        <f>I87+I97</f>
        <v>130627.74910733334</v>
      </c>
    </row>
    <row r="100" spans="1:9" ht="15.75">
      <c r="A100" s="222" t="s">
        <v>279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58"/>
      <c r="B101" s="223" t="s">
        <v>280</v>
      </c>
      <c r="C101" s="223"/>
      <c r="D101" s="223"/>
      <c r="E101" s="223"/>
      <c r="F101" s="223"/>
      <c r="G101" s="223"/>
      <c r="H101" s="70"/>
      <c r="I101" s="3"/>
    </row>
    <row r="102" spans="1:9">
      <c r="A102" s="64"/>
      <c r="B102" s="224" t="s">
        <v>6</v>
      </c>
      <c r="C102" s="224"/>
      <c r="D102" s="224"/>
      <c r="E102" s="224"/>
      <c r="F102" s="224"/>
      <c r="G102" s="224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5" t="s">
        <v>7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6" t="s">
        <v>60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11"/>
    </row>
    <row r="108" spans="1:9" ht="15.75">
      <c r="A108" s="227" t="s">
        <v>9</v>
      </c>
      <c r="B108" s="227"/>
      <c r="C108" s="227"/>
      <c r="D108" s="227"/>
      <c r="E108" s="227"/>
      <c r="F108" s="227"/>
      <c r="G108" s="227"/>
      <c r="H108" s="227"/>
      <c r="I108" s="227"/>
    </row>
    <row r="109" spans="1:9" ht="15.75" customHeight="1">
      <c r="A109" s="4"/>
    </row>
    <row r="110" spans="1:9" ht="15.75" customHeight="1">
      <c r="B110" s="61" t="s">
        <v>10</v>
      </c>
      <c r="C110" s="228" t="s">
        <v>135</v>
      </c>
      <c r="D110" s="228"/>
      <c r="E110" s="228"/>
      <c r="F110" s="68"/>
      <c r="I110" s="63"/>
    </row>
    <row r="111" spans="1:9" ht="15.75" customHeight="1">
      <c r="A111" s="64"/>
      <c r="C111" s="224" t="s">
        <v>11</v>
      </c>
      <c r="D111" s="224"/>
      <c r="E111" s="224"/>
      <c r="F111" s="27"/>
      <c r="I111" s="62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61" t="s">
        <v>13</v>
      </c>
      <c r="C113" s="229"/>
      <c r="D113" s="229"/>
      <c r="E113" s="229"/>
      <c r="F113" s="69"/>
      <c r="I113" s="63"/>
    </row>
    <row r="114" spans="1:9">
      <c r="A114" s="64"/>
      <c r="C114" s="218" t="s">
        <v>11</v>
      </c>
      <c r="D114" s="218"/>
      <c r="E114" s="218"/>
      <c r="F114" s="64"/>
      <c r="I114" s="62" t="s">
        <v>12</v>
      </c>
    </row>
    <row r="115" spans="1:9" ht="15.75">
      <c r="A115" s="4" t="s">
        <v>14</v>
      </c>
    </row>
    <row r="116" spans="1:9">
      <c r="A116" s="233" t="s">
        <v>15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45" customHeight="1">
      <c r="A117" s="234" t="s">
        <v>16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17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21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15" customHeight="1">
      <c r="A120" s="234" t="s">
        <v>20</v>
      </c>
      <c r="B120" s="234"/>
      <c r="C120" s="234"/>
      <c r="D120" s="234"/>
      <c r="E120" s="234"/>
      <c r="F120" s="234"/>
      <c r="G120" s="234"/>
      <c r="H120" s="234"/>
      <c r="I120" s="234"/>
    </row>
  </sheetData>
  <autoFilter ref="I12:I60"/>
  <mergeCells count="29">
    <mergeCell ref="R65:U65"/>
    <mergeCell ref="A84:I84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45:I45"/>
    <mergeCell ref="A56:I56"/>
    <mergeCell ref="A88:I88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J6" sqref="J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150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225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43585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258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6.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142</v>
      </c>
      <c r="I36" s="13"/>
      <c r="J36" s="26"/>
    </row>
    <row r="37" spans="1:14" ht="15.75" customHeight="1">
      <c r="A37" s="32">
        <v>5</v>
      </c>
      <c r="B37" s="160" t="s">
        <v>26</v>
      </c>
      <c r="C37" s="114" t="s">
        <v>32</v>
      </c>
      <c r="D37" s="113"/>
      <c r="E37" s="148"/>
      <c r="F37" s="149">
        <v>5</v>
      </c>
      <c r="G37" s="149">
        <v>2083</v>
      </c>
      <c r="H37" s="75">
        <f t="shared" ref="H37:H43" si="3">SUM(F37*G37/1000)</f>
        <v>10.414999999999999</v>
      </c>
      <c r="I37" s="13">
        <f>G37*2.5</f>
        <v>5207.5</v>
      </c>
      <c r="J37" s="26"/>
    </row>
    <row r="38" spans="1:14" ht="15.75" customHeight="1">
      <c r="A38" s="32">
        <v>6</v>
      </c>
      <c r="B38" s="160" t="s">
        <v>105</v>
      </c>
      <c r="C38" s="161" t="s">
        <v>29</v>
      </c>
      <c r="D38" s="113" t="s">
        <v>253</v>
      </c>
      <c r="E38" s="148">
        <v>153</v>
      </c>
      <c r="F38" s="162">
        <f>E38*30/1000</f>
        <v>4.59</v>
      </c>
      <c r="G38" s="149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hidden="1" customHeight="1">
      <c r="A39" s="32">
        <v>12</v>
      </c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7.25" customHeight="1">
      <c r="A40" s="32">
        <v>7</v>
      </c>
      <c r="B40" s="113" t="s">
        <v>66</v>
      </c>
      <c r="C40" s="114" t="s">
        <v>29</v>
      </c>
      <c r="D40" s="113" t="s">
        <v>254</v>
      </c>
      <c r="E40" s="149">
        <v>153</v>
      </c>
      <c r="F40" s="162">
        <f>SUM(E40*155/1000)</f>
        <v>23.715</v>
      </c>
      <c r="G40" s="149">
        <v>478.42</v>
      </c>
      <c r="H40" s="75">
        <f t="shared" si="3"/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customHeight="1">
      <c r="A41" s="32">
        <v>8</v>
      </c>
      <c r="B41" s="113" t="s">
        <v>81</v>
      </c>
      <c r="C41" s="114" t="s">
        <v>87</v>
      </c>
      <c r="D41" s="113" t="s">
        <v>255</v>
      </c>
      <c r="E41" s="149">
        <v>25</v>
      </c>
      <c r="F41" s="162">
        <f>SUM(E41*35/1000)</f>
        <v>0.875</v>
      </c>
      <c r="G41" s="149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customHeight="1">
      <c r="A42" s="32">
        <v>9</v>
      </c>
      <c r="B42" s="113" t="s">
        <v>88</v>
      </c>
      <c r="C42" s="114" t="s">
        <v>87</v>
      </c>
      <c r="D42" s="113" t="s">
        <v>256</v>
      </c>
      <c r="E42" s="149">
        <v>153</v>
      </c>
      <c r="F42" s="162">
        <f>SUM(E42*45/1000)</f>
        <v>6.8849999999999998</v>
      </c>
      <c r="G42" s="149">
        <v>584.74</v>
      </c>
      <c r="H42" s="75">
        <f t="shared" si="3"/>
        <v>4.0259348999999993</v>
      </c>
      <c r="I42" s="13">
        <f>(F42/7.5*1.5)*G42</f>
        <v>805.18697999999983</v>
      </c>
      <c r="J42" s="26"/>
      <c r="L42" s="19"/>
      <c r="M42" s="20"/>
      <c r="N42" s="21"/>
    </row>
    <row r="43" spans="1:14" ht="15.75" customHeight="1">
      <c r="A43" s="32">
        <v>10</v>
      </c>
      <c r="B43" s="163" t="s">
        <v>68</v>
      </c>
      <c r="C43" s="164" t="s">
        <v>33</v>
      </c>
      <c r="D43" s="163"/>
      <c r="E43" s="165"/>
      <c r="F43" s="166">
        <v>0.9</v>
      </c>
      <c r="G43" s="166">
        <v>800</v>
      </c>
      <c r="H43" s="83">
        <f t="shared" si="3"/>
        <v>0.72</v>
      </c>
      <c r="I43" s="91">
        <f>(F43/7.5*1.5)*G43</f>
        <v>144.00000000000003</v>
      </c>
      <c r="J43" s="26"/>
      <c r="L43" s="19"/>
      <c r="M43" s="20"/>
      <c r="N43" s="21"/>
    </row>
    <row r="44" spans="1:14" ht="30.75" customHeight="1">
      <c r="A44" s="32">
        <v>11</v>
      </c>
      <c r="B44" s="160" t="s">
        <v>175</v>
      </c>
      <c r="C44" s="161" t="s">
        <v>29</v>
      </c>
      <c r="D44" s="160" t="s">
        <v>257</v>
      </c>
      <c r="E44" s="151">
        <v>4.2</v>
      </c>
      <c r="F44" s="162">
        <f>E44*12/1000</f>
        <v>5.0400000000000007E-2</v>
      </c>
      <c r="G44" s="162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6.5" customHeight="1">
      <c r="A45" s="215" t="s">
        <v>138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27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28.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29.2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26.2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24" hidden="1" customHeight="1">
      <c r="A50" s="32">
        <v>17</v>
      </c>
      <c r="B50" s="71" t="s">
        <v>55</v>
      </c>
      <c r="C50" s="72" t="s">
        <v>87</v>
      </c>
      <c r="D50" s="71" t="s">
        <v>146</v>
      </c>
      <c r="E50" s="73">
        <v>3988</v>
      </c>
      <c r="F50" s="74">
        <f>SUM(E50*5/1000)</f>
        <v>19.940000000000001</v>
      </c>
      <c r="G50" s="13">
        <v>1142.7</v>
      </c>
      <c r="H50" s="75">
        <f t="shared" si="4"/>
        <v>22.785438000000003</v>
      </c>
      <c r="I50" s="13">
        <f>F50/5*G50</f>
        <v>4557.0876000000007</v>
      </c>
      <c r="J50" s="26"/>
      <c r="L50" s="19"/>
      <c r="M50" s="20"/>
      <c r="N50" s="21"/>
    </row>
    <row r="51" spans="1:22" ht="25.5" hidden="1" customHeight="1">
      <c r="A51" s="32">
        <v>18</v>
      </c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f>F51/2*G51</f>
        <v>4839.6373999999996</v>
      </c>
      <c r="J51" s="26"/>
      <c r="L51" s="19"/>
      <c r="M51" s="20"/>
      <c r="N51" s="21"/>
    </row>
    <row r="52" spans="1:22" ht="21" hidden="1" customHeight="1">
      <c r="A52" s="32">
        <v>19</v>
      </c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f>F52/2*G52</f>
        <v>819.14699999999993</v>
      </c>
      <c r="J52" s="26"/>
      <c r="L52" s="19"/>
      <c r="M52" s="20"/>
      <c r="N52" s="21"/>
    </row>
    <row r="53" spans="1:22" ht="21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7.25" hidden="1" customHeight="1">
      <c r="A54" s="123">
        <v>20</v>
      </c>
      <c r="B54" s="80" t="s">
        <v>41</v>
      </c>
      <c r="C54" s="81" t="s">
        <v>106</v>
      </c>
      <c r="D54" s="80" t="s">
        <v>69</v>
      </c>
      <c r="E54" s="82">
        <v>236</v>
      </c>
      <c r="F54" s="85">
        <f>SUM(E54)*3</f>
        <v>708</v>
      </c>
      <c r="G54" s="91">
        <v>65.67</v>
      </c>
      <c r="H54" s="83">
        <f t="shared" si="4"/>
        <v>46.49436</v>
      </c>
      <c r="I54" s="91">
        <f>E54*G54</f>
        <v>15498.12</v>
      </c>
      <c r="J54" s="26"/>
      <c r="L54" s="19"/>
      <c r="M54" s="20"/>
      <c r="N54" s="21"/>
    </row>
    <row r="55" spans="1:22" ht="17.25" customHeight="1">
      <c r="A55" s="32">
        <v>12</v>
      </c>
      <c r="B55" s="113" t="s">
        <v>177</v>
      </c>
      <c r="C55" s="114" t="s">
        <v>106</v>
      </c>
      <c r="D55" s="113" t="s">
        <v>259</v>
      </c>
      <c r="E55" s="148">
        <v>5</v>
      </c>
      <c r="F55" s="149">
        <v>60</v>
      </c>
      <c r="G55" s="154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139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0" t="s">
        <v>130</v>
      </c>
      <c r="C60" s="81" t="s">
        <v>52</v>
      </c>
      <c r="D60" s="80" t="s">
        <v>40</v>
      </c>
      <c r="E60" s="82">
        <v>6</v>
      </c>
      <c r="F60" s="83">
        <f>E60*4/100</f>
        <v>0.24</v>
      </c>
      <c r="G60" s="13">
        <v>1547.28</v>
      </c>
      <c r="H60" s="84">
        <f>G60*F60/1000</f>
        <v>0.37134719999999999</v>
      </c>
      <c r="I60" s="13">
        <f>F60/4*G60</f>
        <v>92.836799999999997</v>
      </c>
    </row>
    <row r="61" spans="1:22" ht="15.75" customHeight="1">
      <c r="A61" s="32">
        <v>13</v>
      </c>
      <c r="B61" s="107" t="s">
        <v>130</v>
      </c>
      <c r="C61" s="108" t="s">
        <v>52</v>
      </c>
      <c r="D61" s="107" t="s">
        <v>258</v>
      </c>
      <c r="E61" s="109">
        <v>6</v>
      </c>
      <c r="F61" s="112">
        <f>E61*6/100</f>
        <v>0.36</v>
      </c>
      <c r="G61" s="36">
        <v>2110.4699999999998</v>
      </c>
      <c r="H61" s="84">
        <f>G61*F61/1000</f>
        <v>0.75976919999999992</v>
      </c>
      <c r="I61" s="13">
        <f>F61/4*G61</f>
        <v>189.94229999999999</v>
      </c>
    </row>
    <row r="62" spans="1:22" ht="15.75" customHeight="1">
      <c r="A62" s="32"/>
      <c r="B62" s="93" t="s">
        <v>44</v>
      </c>
      <c r="C62" s="81"/>
      <c r="D62" s="80"/>
      <c r="E62" s="82"/>
      <c r="F62" s="83"/>
      <c r="G62" s="13"/>
      <c r="H62" s="84"/>
      <c r="I62" s="13"/>
    </row>
    <row r="63" spans="1:22" ht="15.75" hidden="1" customHeight="1">
      <c r="A63" s="32">
        <v>22</v>
      </c>
      <c r="B63" s="80" t="s">
        <v>131</v>
      </c>
      <c r="C63" s="81" t="s">
        <v>52</v>
      </c>
      <c r="D63" s="80" t="s">
        <v>53</v>
      </c>
      <c r="E63" s="82">
        <v>997</v>
      </c>
      <c r="F63" s="83">
        <v>9.9700000000000006</v>
      </c>
      <c r="G63" s="13">
        <v>793.61</v>
      </c>
      <c r="H63" s="84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14</v>
      </c>
      <c r="B64" s="107" t="s">
        <v>132</v>
      </c>
      <c r="C64" s="108" t="s">
        <v>25</v>
      </c>
      <c r="D64" s="107" t="s">
        <v>259</v>
      </c>
      <c r="E64" s="109">
        <v>200</v>
      </c>
      <c r="F64" s="110">
        <f>E64*12</f>
        <v>2400</v>
      </c>
      <c r="G64" s="111">
        <v>1.4</v>
      </c>
      <c r="H64" s="83">
        <f>F64*G64/1000</f>
        <v>3.36</v>
      </c>
      <c r="I64" s="13">
        <f>F64/12*G64</f>
        <v>280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93" t="s">
        <v>45</v>
      </c>
      <c r="C65" s="81"/>
      <c r="D65" s="80"/>
      <c r="E65" s="82"/>
      <c r="F65" s="85"/>
      <c r="G65" s="85"/>
      <c r="H65" s="83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>
        <v>24</v>
      </c>
      <c r="B66" s="14" t="s">
        <v>46</v>
      </c>
      <c r="C66" s="16" t="s">
        <v>106</v>
      </c>
      <c r="D66" s="71" t="s">
        <v>65</v>
      </c>
      <c r="E66" s="18">
        <v>15</v>
      </c>
      <c r="F66" s="74">
        <v>15</v>
      </c>
      <c r="G66" s="13">
        <v>222.4</v>
      </c>
      <c r="H66" s="86">
        <f t="shared" ref="H66:H82" si="5">SUM(F66*G66/1000)</f>
        <v>3.3359999999999999</v>
      </c>
      <c r="I66" s="13">
        <f>G66</f>
        <v>222.4</v>
      </c>
      <c r="J66" s="5"/>
      <c r="K66" s="5"/>
      <c r="L66" s="5"/>
      <c r="M66" s="5"/>
      <c r="N66" s="5"/>
      <c r="O66" s="5"/>
      <c r="P66" s="5"/>
      <c r="Q66" s="5"/>
      <c r="R66" s="218"/>
      <c r="S66" s="218"/>
      <c r="T66" s="218"/>
      <c r="U66" s="218"/>
    </row>
    <row r="67" spans="1:21" ht="15.75" hidden="1" customHeight="1">
      <c r="A67" s="32">
        <v>25</v>
      </c>
      <c r="B67" s="14" t="s">
        <v>47</v>
      </c>
      <c r="C67" s="16" t="s">
        <v>106</v>
      </c>
      <c r="D67" s="71" t="s">
        <v>65</v>
      </c>
      <c r="E67" s="18">
        <v>10</v>
      </c>
      <c r="F67" s="74">
        <v>10</v>
      </c>
      <c r="G67" s="13">
        <v>76.25</v>
      </c>
      <c r="H67" s="86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108</v>
      </c>
      <c r="D68" s="14" t="s">
        <v>53</v>
      </c>
      <c r="E68" s="73">
        <v>28608</v>
      </c>
      <c r="F68" s="13">
        <f>SUM(E68/100)</f>
        <v>286.08</v>
      </c>
      <c r="G68" s="13">
        <v>199.77</v>
      </c>
      <c r="H68" s="86">
        <f t="shared" si="5"/>
        <v>57.150201600000003</v>
      </c>
      <c r="I68" s="13">
        <f>F68*G68</f>
        <v>57150.2016</v>
      </c>
    </row>
    <row r="69" spans="1:21" ht="15.75" hidden="1" customHeight="1">
      <c r="A69" s="32"/>
      <c r="B69" s="14" t="s">
        <v>49</v>
      </c>
      <c r="C69" s="16" t="s">
        <v>109</v>
      </c>
      <c r="D69" s="14"/>
      <c r="E69" s="73">
        <v>28608</v>
      </c>
      <c r="F69" s="13">
        <f>SUM(E69/1000)</f>
        <v>28.608000000000001</v>
      </c>
      <c r="G69" s="13">
        <v>155.57</v>
      </c>
      <c r="H69" s="86">
        <f t="shared" si="5"/>
        <v>4.4505465599999994</v>
      </c>
      <c r="I69" s="13">
        <f t="shared" ref="I69:I73" si="6">F69*G69</f>
        <v>4450.5465599999998</v>
      </c>
    </row>
    <row r="70" spans="1:21" ht="15.75" hidden="1" customHeight="1">
      <c r="A70" s="32"/>
      <c r="B70" s="14" t="s">
        <v>50</v>
      </c>
      <c r="C70" s="16" t="s">
        <v>75</v>
      </c>
      <c r="D70" s="14" t="s">
        <v>53</v>
      </c>
      <c r="E70" s="73">
        <v>4550</v>
      </c>
      <c r="F70" s="13">
        <f>SUM(E70/100)</f>
        <v>45.5</v>
      </c>
      <c r="G70" s="13">
        <v>2074.63</v>
      </c>
      <c r="H70" s="86">
        <f t="shared" si="5"/>
        <v>94.395665000000008</v>
      </c>
      <c r="I70" s="13">
        <f t="shared" si="6"/>
        <v>94395.665000000008</v>
      </c>
    </row>
    <row r="71" spans="1:21" ht="15.75" hidden="1" customHeight="1">
      <c r="A71" s="32"/>
      <c r="B71" s="87" t="s">
        <v>110</v>
      </c>
      <c r="C71" s="16" t="s">
        <v>33</v>
      </c>
      <c r="D71" s="14"/>
      <c r="E71" s="73">
        <v>58.5</v>
      </c>
      <c r="F71" s="13">
        <f>SUM(E71)</f>
        <v>58.5</v>
      </c>
      <c r="G71" s="13">
        <v>45.32</v>
      </c>
      <c r="H71" s="86">
        <f t="shared" si="5"/>
        <v>2.6512199999999999</v>
      </c>
      <c r="I71" s="13">
        <f t="shared" si="6"/>
        <v>2651.22</v>
      </c>
    </row>
    <row r="72" spans="1:21" ht="15.75" hidden="1" customHeight="1">
      <c r="A72" s="32"/>
      <c r="B72" s="87" t="s">
        <v>111</v>
      </c>
      <c r="C72" s="16" t="s">
        <v>33</v>
      </c>
      <c r="D72" s="14"/>
      <c r="E72" s="73">
        <v>58.5</v>
      </c>
      <c r="F72" s="13">
        <f>SUM(E72)</f>
        <v>58.5</v>
      </c>
      <c r="G72" s="13">
        <v>42.28</v>
      </c>
      <c r="H72" s="86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56</v>
      </c>
      <c r="C73" s="16" t="s">
        <v>57</v>
      </c>
      <c r="D73" s="14" t="s">
        <v>53</v>
      </c>
      <c r="E73" s="18">
        <v>5</v>
      </c>
      <c r="F73" s="74">
        <v>5</v>
      </c>
      <c r="G73" s="13">
        <v>49.88</v>
      </c>
      <c r="H73" s="86">
        <f t="shared" si="5"/>
        <v>0.24940000000000001</v>
      </c>
      <c r="I73" s="13">
        <f t="shared" si="6"/>
        <v>249.4</v>
      </c>
    </row>
    <row r="74" spans="1:21" ht="20.25" customHeight="1">
      <c r="A74" s="32"/>
      <c r="B74" s="175" t="s">
        <v>181</v>
      </c>
      <c r="C74" s="156"/>
      <c r="D74" s="39"/>
      <c r="E74" s="17"/>
      <c r="F74" s="111"/>
      <c r="G74" s="36"/>
      <c r="H74" s="86"/>
      <c r="I74" s="13"/>
    </row>
    <row r="75" spans="1:21" ht="32.25" customHeight="1">
      <c r="A75" s="32">
        <v>15</v>
      </c>
      <c r="B75" s="39" t="s">
        <v>182</v>
      </c>
      <c r="C75" s="158" t="s">
        <v>183</v>
      </c>
      <c r="D75" s="39"/>
      <c r="E75" s="17">
        <v>6980.3</v>
      </c>
      <c r="F75" s="36">
        <f>E75*12</f>
        <v>83763.600000000006</v>
      </c>
      <c r="G75" s="36">
        <v>2.37</v>
      </c>
      <c r="H75" s="86"/>
      <c r="I75" s="13">
        <f>G75*F75/12</f>
        <v>16543.311000000002</v>
      </c>
    </row>
    <row r="76" spans="1:21" ht="18.75" customHeight="1">
      <c r="A76" s="32"/>
      <c r="B76" s="59" t="s">
        <v>70</v>
      </c>
      <c r="C76" s="16"/>
      <c r="D76" s="14"/>
      <c r="E76" s="18"/>
      <c r="F76" s="13"/>
      <c r="G76" s="13"/>
      <c r="H76" s="86" t="s">
        <v>142</v>
      </c>
      <c r="I76" s="13"/>
    </row>
    <row r="77" spans="1:21" ht="19.5" hidden="1" customHeight="1">
      <c r="A77" s="32">
        <v>25</v>
      </c>
      <c r="B77" s="14" t="s">
        <v>71</v>
      </c>
      <c r="C77" s="16" t="s">
        <v>73</v>
      </c>
      <c r="D77" s="14"/>
      <c r="E77" s="18">
        <v>10</v>
      </c>
      <c r="F77" s="13">
        <v>1</v>
      </c>
      <c r="G77" s="13">
        <v>501.62</v>
      </c>
      <c r="H77" s="86">
        <f t="shared" si="5"/>
        <v>0.50161999999999995</v>
      </c>
      <c r="I77" s="13">
        <f>G77*0.3</f>
        <v>150.48599999999999</v>
      </c>
    </row>
    <row r="78" spans="1:21" ht="21" hidden="1" customHeight="1">
      <c r="A78" s="32"/>
      <c r="B78" s="14" t="s">
        <v>72</v>
      </c>
      <c r="C78" s="16" t="s">
        <v>31</v>
      </c>
      <c r="D78" s="14"/>
      <c r="E78" s="18">
        <v>3</v>
      </c>
      <c r="F78" s="66">
        <v>3</v>
      </c>
      <c r="G78" s="13">
        <v>852.99</v>
      </c>
      <c r="H78" s="86">
        <f>F78*G78/1000</f>
        <v>2.5589700000000004</v>
      </c>
      <c r="I78" s="13">
        <v>0</v>
      </c>
    </row>
    <row r="79" spans="1:21" ht="24.75" hidden="1" customHeight="1">
      <c r="A79" s="32"/>
      <c r="B79" s="14" t="s">
        <v>113</v>
      </c>
      <c r="C79" s="16" t="s">
        <v>31</v>
      </c>
      <c r="D79" s="14"/>
      <c r="E79" s="18">
        <v>1</v>
      </c>
      <c r="F79" s="13">
        <v>1</v>
      </c>
      <c r="G79" s="13">
        <v>358.51</v>
      </c>
      <c r="H79" s="86">
        <f>G79*F79/1000</f>
        <v>0.35851</v>
      </c>
      <c r="I79" s="13">
        <v>0</v>
      </c>
    </row>
    <row r="80" spans="1:21" ht="30" customHeight="1">
      <c r="A80" s="32">
        <v>16</v>
      </c>
      <c r="B80" s="39" t="s">
        <v>188</v>
      </c>
      <c r="C80" s="156" t="s">
        <v>106</v>
      </c>
      <c r="D80" s="39" t="s">
        <v>258</v>
      </c>
      <c r="E80" s="17">
        <v>2</v>
      </c>
      <c r="F80" s="36">
        <v>24</v>
      </c>
      <c r="G80" s="36">
        <v>55.55</v>
      </c>
      <c r="H80" s="86"/>
      <c r="I80" s="13">
        <f>G80*2</f>
        <v>111.1</v>
      </c>
    </row>
    <row r="81" spans="1:9" ht="18.75" hidden="1" customHeight="1">
      <c r="A81" s="32"/>
      <c r="B81" s="89" t="s">
        <v>74</v>
      </c>
      <c r="C81" s="16"/>
      <c r="D81" s="14"/>
      <c r="E81" s="18"/>
      <c r="F81" s="13"/>
      <c r="G81" s="13" t="s">
        <v>142</v>
      </c>
      <c r="H81" s="86" t="s">
        <v>142</v>
      </c>
      <c r="I81" s="13"/>
    </row>
    <row r="82" spans="1:9" ht="21.75" hidden="1" customHeight="1">
      <c r="A82" s="32"/>
      <c r="B82" s="47" t="s">
        <v>147</v>
      </c>
      <c r="C82" s="16" t="s">
        <v>75</v>
      </c>
      <c r="D82" s="14"/>
      <c r="E82" s="18"/>
      <c r="F82" s="13">
        <v>1.2</v>
      </c>
      <c r="G82" s="13">
        <v>2759.44</v>
      </c>
      <c r="H82" s="86">
        <f t="shared" si="5"/>
        <v>3.311328</v>
      </c>
      <c r="I82" s="13">
        <v>0</v>
      </c>
    </row>
    <row r="83" spans="1:9" ht="18.7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SUM(H58:H82)</f>
        <v>189.55721326</v>
      </c>
      <c r="I83" s="77"/>
    </row>
    <row r="84" spans="1:9" ht="18" hidden="1" customHeight="1">
      <c r="A84" s="32">
        <v>25</v>
      </c>
      <c r="B84" s="94" t="s">
        <v>112</v>
      </c>
      <c r="C84" s="23"/>
      <c r="D84" s="22"/>
      <c r="E84" s="67"/>
      <c r="F84" s="95">
        <v>1</v>
      </c>
      <c r="G84" s="38">
        <v>24989.1</v>
      </c>
      <c r="H84" s="86">
        <f>G84*F84/1000</f>
        <v>24.989099999999997</v>
      </c>
      <c r="I84" s="13">
        <f>G84</f>
        <v>24989.1</v>
      </c>
    </row>
    <row r="85" spans="1:9" ht="15.75" customHeight="1">
      <c r="A85" s="219" t="s">
        <v>140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17</v>
      </c>
      <c r="B86" s="113" t="s">
        <v>114</v>
      </c>
      <c r="C86" s="156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18</v>
      </c>
      <c r="B87" s="39" t="s">
        <v>76</v>
      </c>
      <c r="C87" s="156"/>
      <c r="D87" s="103"/>
      <c r="E87" s="148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I87+I86+I80+I75+I64+I61+I55+I44+I43+I42+I41+I40+I38+I37+I26+I18+I17+I16</f>
        <v>114408.50390733335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15.75" customHeight="1">
      <c r="A90" s="32">
        <v>19</v>
      </c>
      <c r="B90" s="51" t="s">
        <v>80</v>
      </c>
      <c r="C90" s="52" t="s">
        <v>106</v>
      </c>
      <c r="D90" s="39"/>
      <c r="E90" s="17"/>
      <c r="F90" s="36">
        <v>8</v>
      </c>
      <c r="G90" s="36">
        <v>207.55</v>
      </c>
      <c r="H90" s="102">
        <f>G90*F90/1000</f>
        <v>1.6604000000000001</v>
      </c>
      <c r="I90" s="13">
        <f>G90*1</f>
        <v>207.55</v>
      </c>
    </row>
    <row r="91" spans="1:9" ht="16.5" customHeight="1">
      <c r="A91" s="32">
        <v>20</v>
      </c>
      <c r="B91" s="51" t="s">
        <v>203</v>
      </c>
      <c r="C91" s="52" t="s">
        <v>166</v>
      </c>
      <c r="D91" s="39"/>
      <c r="E91" s="17"/>
      <c r="F91" s="36">
        <v>47.5</v>
      </c>
      <c r="G91" s="36">
        <v>273</v>
      </c>
      <c r="H91" s="102">
        <f t="shared" ref="H91:H92" si="7">G91*F91/1000</f>
        <v>12.967499999999999</v>
      </c>
      <c r="I91" s="13">
        <f>G91*8</f>
        <v>2184</v>
      </c>
    </row>
    <row r="92" spans="1:9" ht="15.75" customHeight="1">
      <c r="A92" s="32">
        <v>21</v>
      </c>
      <c r="B92" s="51" t="s">
        <v>226</v>
      </c>
      <c r="C92" s="52" t="s">
        <v>168</v>
      </c>
      <c r="D92" s="14"/>
      <c r="E92" s="18"/>
      <c r="F92" s="13">
        <v>1080</v>
      </c>
      <c r="G92" s="36">
        <v>26095.37</v>
      </c>
      <c r="H92" s="86">
        <f t="shared" si="7"/>
        <v>28182.999599999999</v>
      </c>
      <c r="I92" s="13">
        <f>G92*0.02</f>
        <v>521.90739999999994</v>
      </c>
    </row>
    <row r="93" spans="1:9" ht="30.75" customHeight="1">
      <c r="A93" s="32">
        <v>22</v>
      </c>
      <c r="B93" s="51" t="s">
        <v>221</v>
      </c>
      <c r="C93" s="106" t="s">
        <v>166</v>
      </c>
      <c r="D93" s="39" t="s">
        <v>227</v>
      </c>
      <c r="E93" s="36"/>
      <c r="F93" s="36">
        <f>(3+4+15+15+15+5+20+20+15+10+15+15+7+6+15+3)/3</f>
        <v>61</v>
      </c>
      <c r="G93" s="36">
        <v>1367</v>
      </c>
      <c r="H93" s="102">
        <f>G93*F93/1000</f>
        <v>83.387</v>
      </c>
      <c r="I93" s="13">
        <f>G93*12</f>
        <v>16404</v>
      </c>
    </row>
    <row r="94" spans="1:9" ht="17.25" customHeight="1">
      <c r="A94" s="32">
        <v>23</v>
      </c>
      <c r="B94" s="115" t="s">
        <v>169</v>
      </c>
      <c r="C94" s="52" t="s">
        <v>106</v>
      </c>
      <c r="D94" s="103"/>
      <c r="E94" s="36"/>
      <c r="F94" s="36">
        <v>26</v>
      </c>
      <c r="G94" s="36">
        <v>207.32</v>
      </c>
      <c r="H94" s="102">
        <f t="shared" ref="H94" si="8">G94*F94/1000</f>
        <v>5.39032</v>
      </c>
      <c r="I94" s="13">
        <f>G94*2</f>
        <v>414.64</v>
      </c>
    </row>
    <row r="95" spans="1:9" ht="33" customHeight="1">
      <c r="A95" s="32">
        <v>24</v>
      </c>
      <c r="B95" s="159" t="s">
        <v>229</v>
      </c>
      <c r="C95" s="186" t="s">
        <v>210</v>
      </c>
      <c r="D95" s="103"/>
      <c r="E95" s="36"/>
      <c r="F95" s="36"/>
      <c r="G95" s="127">
        <v>441.25</v>
      </c>
      <c r="H95" s="102"/>
      <c r="I95" s="13">
        <f>G95*1</f>
        <v>441.25</v>
      </c>
    </row>
    <row r="96" spans="1:9" ht="17.25" customHeight="1">
      <c r="A96" s="32">
        <v>25</v>
      </c>
      <c r="B96" s="51" t="s">
        <v>232</v>
      </c>
      <c r="C96" s="52" t="s">
        <v>233</v>
      </c>
      <c r="D96" s="103"/>
      <c r="E96" s="36"/>
      <c r="F96" s="36"/>
      <c r="G96" s="127">
        <v>45</v>
      </c>
      <c r="H96" s="102"/>
      <c r="I96" s="13">
        <f>G96*25</f>
        <v>1125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SUM(I90:I96)</f>
        <v>21298.347399999999</v>
      </c>
    </row>
    <row r="98" spans="1:9">
      <c r="A98" s="32"/>
      <c r="B98" s="47" t="s">
        <v>77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49"/>
      <c r="B99" s="46" t="s">
        <v>158</v>
      </c>
      <c r="C99" s="35"/>
      <c r="D99" s="35"/>
      <c r="E99" s="35"/>
      <c r="F99" s="35"/>
      <c r="G99" s="35"/>
      <c r="H99" s="35"/>
      <c r="I99" s="44">
        <f>I88+I97</f>
        <v>135706.85130733333</v>
      </c>
    </row>
    <row r="100" spans="1:9" ht="15.75">
      <c r="A100" s="222" t="s">
        <v>281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58"/>
      <c r="B101" s="223" t="s">
        <v>282</v>
      </c>
      <c r="C101" s="223"/>
      <c r="D101" s="223"/>
      <c r="E101" s="223"/>
      <c r="F101" s="223"/>
      <c r="G101" s="223"/>
      <c r="H101" s="70"/>
      <c r="I101" s="3"/>
    </row>
    <row r="102" spans="1:9">
      <c r="A102" s="64"/>
      <c r="B102" s="224" t="s">
        <v>6</v>
      </c>
      <c r="C102" s="224"/>
      <c r="D102" s="224"/>
      <c r="E102" s="224"/>
      <c r="F102" s="224"/>
      <c r="G102" s="224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5" t="s">
        <v>7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6" t="s">
        <v>60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11"/>
    </row>
    <row r="108" spans="1:9" ht="15.75">
      <c r="A108" s="227" t="s">
        <v>9</v>
      </c>
      <c r="B108" s="227"/>
      <c r="C108" s="227"/>
      <c r="D108" s="227"/>
      <c r="E108" s="227"/>
      <c r="F108" s="227"/>
      <c r="G108" s="227"/>
      <c r="H108" s="227"/>
      <c r="I108" s="227"/>
    </row>
    <row r="109" spans="1:9" ht="15.75" customHeight="1">
      <c r="A109" s="4"/>
    </row>
    <row r="110" spans="1:9" ht="15.75" customHeight="1">
      <c r="B110" s="61" t="s">
        <v>10</v>
      </c>
      <c r="C110" s="228" t="s">
        <v>135</v>
      </c>
      <c r="D110" s="228"/>
      <c r="E110" s="228"/>
      <c r="F110" s="68"/>
      <c r="I110" s="63"/>
    </row>
    <row r="111" spans="1:9" ht="15.75" customHeight="1">
      <c r="A111" s="64"/>
      <c r="C111" s="224" t="s">
        <v>11</v>
      </c>
      <c r="D111" s="224"/>
      <c r="E111" s="224"/>
      <c r="F111" s="27"/>
      <c r="I111" s="62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61" t="s">
        <v>13</v>
      </c>
      <c r="C113" s="229"/>
      <c r="D113" s="229"/>
      <c r="E113" s="229"/>
      <c r="F113" s="69"/>
      <c r="I113" s="63"/>
    </row>
    <row r="114" spans="1:9">
      <c r="A114" s="64"/>
      <c r="C114" s="218" t="s">
        <v>11</v>
      </c>
      <c r="D114" s="218"/>
      <c r="E114" s="218"/>
      <c r="F114" s="64"/>
      <c r="I114" s="62" t="s">
        <v>12</v>
      </c>
    </row>
    <row r="115" spans="1:9" ht="15.75">
      <c r="A115" s="4" t="s">
        <v>14</v>
      </c>
    </row>
    <row r="116" spans="1:9">
      <c r="A116" s="233" t="s">
        <v>15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45" customHeight="1">
      <c r="A117" s="234" t="s">
        <v>16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17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21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15" customHeight="1">
      <c r="A120" s="234" t="s">
        <v>20</v>
      </c>
      <c r="B120" s="234"/>
      <c r="C120" s="234"/>
      <c r="D120" s="234"/>
      <c r="E120" s="234"/>
      <c r="F120" s="234"/>
      <c r="G120" s="234"/>
      <c r="H120" s="234"/>
      <c r="I120" s="234"/>
    </row>
  </sheetData>
  <autoFilter ref="I12:I60"/>
  <mergeCells count="29">
    <mergeCell ref="R66:U66"/>
    <mergeCell ref="A85:I85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45:I45"/>
    <mergeCell ref="A56:I56"/>
    <mergeCell ref="A89:I89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30"/>
  <sheetViews>
    <sheetView workbookViewId="0">
      <selection activeCell="F7" sqref="F1:F104857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151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230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43616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18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customHeight="1">
      <c r="A19" s="32">
        <v>4</v>
      </c>
      <c r="B19" s="113" t="s">
        <v>92</v>
      </c>
      <c r="C19" s="114" t="s">
        <v>93</v>
      </c>
      <c r="D19" s="113" t="s">
        <v>260</v>
      </c>
      <c r="E19" s="148">
        <v>28.2</v>
      </c>
      <c r="F19" s="149">
        <f>SUM(E19/10)</f>
        <v>2.82</v>
      </c>
      <c r="G19" s="149">
        <v>232.1</v>
      </c>
      <c r="H19" s="75">
        <f t="shared" ref="H19:H25" si="1">SUM(F19*G19/1000)</f>
        <v>0.65452199999999994</v>
      </c>
      <c r="I19" s="13">
        <f>F19/1*G19</f>
        <v>654.52199999999993</v>
      </c>
      <c r="J19" s="25"/>
      <c r="K19" s="8"/>
      <c r="L19" s="8"/>
      <c r="M19" s="8"/>
    </row>
    <row r="20" spans="1:13" ht="15.75" customHeight="1">
      <c r="A20" s="32">
        <v>5</v>
      </c>
      <c r="B20" s="113" t="s">
        <v>95</v>
      </c>
      <c r="C20" s="114" t="s">
        <v>85</v>
      </c>
      <c r="D20" s="113" t="s">
        <v>258</v>
      </c>
      <c r="E20" s="148">
        <v>30.6</v>
      </c>
      <c r="F20" s="149">
        <f>SUM(E20*2/100)</f>
        <v>0.61199999999999999</v>
      </c>
      <c r="G20" s="149">
        <v>297.19</v>
      </c>
      <c r="H20" s="75">
        <f t="shared" si="1"/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customHeight="1">
      <c r="A21" s="32">
        <v>6</v>
      </c>
      <c r="B21" s="113" t="s">
        <v>96</v>
      </c>
      <c r="C21" s="114" t="s">
        <v>85</v>
      </c>
      <c r="D21" s="113" t="s">
        <v>258</v>
      </c>
      <c r="E21" s="148">
        <v>10.06</v>
      </c>
      <c r="F21" s="149">
        <f>SUM(E21*2/100)</f>
        <v>0.20120000000000002</v>
      </c>
      <c r="G21" s="149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customHeight="1">
      <c r="A22" s="32">
        <v>7</v>
      </c>
      <c r="B22" s="113" t="s">
        <v>97</v>
      </c>
      <c r="C22" s="114" t="s">
        <v>52</v>
      </c>
      <c r="D22" s="113" t="s">
        <v>260</v>
      </c>
      <c r="E22" s="148">
        <v>769.2</v>
      </c>
      <c r="F22" s="149">
        <f>SUM(E22/100)</f>
        <v>7.6920000000000002</v>
      </c>
      <c r="G22" s="149">
        <v>367.27</v>
      </c>
      <c r="H22" s="75">
        <f t="shared" si="1"/>
        <v>2.8250408400000002</v>
      </c>
      <c r="I22" s="13">
        <f>F22*G22</f>
        <v>2825.0408400000001</v>
      </c>
      <c r="J22" s="25"/>
      <c r="K22" s="8"/>
      <c r="L22" s="8"/>
      <c r="M22" s="8"/>
    </row>
    <row r="23" spans="1:13" ht="15.75" customHeight="1">
      <c r="A23" s="32">
        <v>8</v>
      </c>
      <c r="B23" s="113" t="s">
        <v>98</v>
      </c>
      <c r="C23" s="114" t="s">
        <v>52</v>
      </c>
      <c r="D23" s="113" t="s">
        <v>261</v>
      </c>
      <c r="E23" s="150">
        <v>90</v>
      </c>
      <c r="F23" s="149">
        <f>SUM(E23/100)</f>
        <v>0.9</v>
      </c>
      <c r="G23" s="149">
        <v>60.41</v>
      </c>
      <c r="H23" s="75">
        <f t="shared" si="1"/>
        <v>5.4369000000000001E-2</v>
      </c>
      <c r="I23" s="13">
        <f>F23*G23</f>
        <v>54.369</v>
      </c>
      <c r="J23" s="25"/>
      <c r="K23" s="8"/>
      <c r="L23" s="8"/>
      <c r="M23" s="8"/>
    </row>
    <row r="24" spans="1:13" ht="15.75" customHeight="1">
      <c r="A24" s="32">
        <v>9</v>
      </c>
      <c r="B24" s="113" t="s">
        <v>171</v>
      </c>
      <c r="C24" s="114" t="s">
        <v>52</v>
      </c>
      <c r="D24" s="113" t="s">
        <v>259</v>
      </c>
      <c r="E24" s="148">
        <v>30</v>
      </c>
      <c r="F24" s="149">
        <f>E24*1/100</f>
        <v>0.3</v>
      </c>
      <c r="G24" s="149">
        <v>294.77999999999997</v>
      </c>
      <c r="H24" s="75">
        <f t="shared" si="1"/>
        <v>8.8433999999999985E-2</v>
      </c>
      <c r="I24" s="13">
        <f>F24/1*G24</f>
        <v>88.433999999999983</v>
      </c>
      <c r="J24" s="25"/>
      <c r="K24" s="8"/>
      <c r="L24" s="8"/>
      <c r="M24" s="8"/>
    </row>
    <row r="25" spans="1:13" ht="15.75" customHeight="1">
      <c r="A25" s="32">
        <v>10</v>
      </c>
      <c r="B25" s="113" t="s">
        <v>100</v>
      </c>
      <c r="C25" s="114" t="s">
        <v>52</v>
      </c>
      <c r="D25" s="113" t="s">
        <v>258</v>
      </c>
      <c r="E25" s="148">
        <v>21.6</v>
      </c>
      <c r="F25" s="149">
        <f>SUM(E25*1/100)</f>
        <v>0.21600000000000003</v>
      </c>
      <c r="G25" s="149">
        <v>710.37</v>
      </c>
      <c r="H25" s="75">
        <f t="shared" si="1"/>
        <v>0.15343992000000004</v>
      </c>
      <c r="I25" s="13">
        <f>F25/1*G25</f>
        <v>153.43992000000003</v>
      </c>
      <c r="J25" s="25"/>
      <c r="K25" s="8"/>
      <c r="L25" s="8"/>
      <c r="M25" s="8"/>
    </row>
    <row r="26" spans="1:13" ht="15.75" customHeight="1">
      <c r="A26" s="32">
        <v>11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12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4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13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customHeight="1">
      <c r="A31" s="32">
        <v>14</v>
      </c>
      <c r="B31" s="113" t="s">
        <v>27</v>
      </c>
      <c r="C31" s="114" t="s">
        <v>87</v>
      </c>
      <c r="D31" s="113" t="s">
        <v>259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15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si="2"/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2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customHeight="1">
      <c r="A45" s="32">
        <v>16</v>
      </c>
      <c r="B45" s="113" t="s">
        <v>126</v>
      </c>
      <c r="C45" s="114" t="s">
        <v>87</v>
      </c>
      <c r="D45" s="113" t="s">
        <v>258</v>
      </c>
      <c r="E45" s="148">
        <v>1895</v>
      </c>
      <c r="F45" s="149">
        <f>SUM(E45*2/1000)</f>
        <v>3.79</v>
      </c>
      <c r="G45" s="36">
        <v>1158.7</v>
      </c>
      <c r="H45" s="75">
        <f t="shared" ref="H45:H53" si="5">SUM(F45*G45/1000)</f>
        <v>4.3914729999999995</v>
      </c>
      <c r="I45" s="13">
        <f>F45/2*G45</f>
        <v>2195.7365</v>
      </c>
      <c r="J45" s="26"/>
      <c r="L45" s="19"/>
      <c r="M45" s="20"/>
      <c r="N45" s="21"/>
    </row>
    <row r="46" spans="1:14" ht="15.75" customHeight="1">
      <c r="A46" s="32">
        <v>17</v>
      </c>
      <c r="B46" s="113" t="s">
        <v>34</v>
      </c>
      <c r="C46" s="114" t="s">
        <v>87</v>
      </c>
      <c r="D46" s="113" t="s">
        <v>258</v>
      </c>
      <c r="E46" s="148">
        <v>118.2</v>
      </c>
      <c r="F46" s="149">
        <f>E46*2/1000</f>
        <v>0.2364</v>
      </c>
      <c r="G46" s="36">
        <v>790.38</v>
      </c>
      <c r="H46" s="75">
        <f t="shared" si="5"/>
        <v>0.18684583199999999</v>
      </c>
      <c r="I46" s="13">
        <f t="shared" ref="I46:I48" si="6">F46/2*G46</f>
        <v>93.422916000000001</v>
      </c>
      <c r="J46" s="26"/>
      <c r="L46" s="19"/>
      <c r="M46" s="20"/>
      <c r="N46" s="21"/>
    </row>
    <row r="47" spans="1:14" ht="15.75" customHeight="1">
      <c r="A47" s="32">
        <v>18</v>
      </c>
      <c r="B47" s="113" t="s">
        <v>35</v>
      </c>
      <c r="C47" s="114" t="s">
        <v>87</v>
      </c>
      <c r="D47" s="113" t="s">
        <v>258</v>
      </c>
      <c r="E47" s="148">
        <v>4675</v>
      </c>
      <c r="F47" s="149">
        <f>SUM(E47*2/1000)</f>
        <v>9.35</v>
      </c>
      <c r="G47" s="36">
        <v>790.38</v>
      </c>
      <c r="H47" s="75">
        <f t="shared" si="5"/>
        <v>7.390053</v>
      </c>
      <c r="I47" s="13">
        <f t="shared" si="6"/>
        <v>3695.0264999999999</v>
      </c>
      <c r="J47" s="26"/>
      <c r="L47" s="19"/>
      <c r="M47" s="20"/>
      <c r="N47" s="21"/>
    </row>
    <row r="48" spans="1:14" ht="15.75" customHeight="1">
      <c r="A48" s="32">
        <v>19</v>
      </c>
      <c r="B48" s="113" t="s">
        <v>36</v>
      </c>
      <c r="C48" s="114" t="s">
        <v>87</v>
      </c>
      <c r="D48" s="113" t="s">
        <v>258</v>
      </c>
      <c r="E48" s="148">
        <v>4675</v>
      </c>
      <c r="F48" s="149">
        <f>SUM(E48*2/1000)</f>
        <v>9.35</v>
      </c>
      <c r="G48" s="36">
        <v>827.65</v>
      </c>
      <c r="H48" s="75">
        <f t="shared" si="5"/>
        <v>7.7385274999999991</v>
      </c>
      <c r="I48" s="13">
        <f t="shared" si="6"/>
        <v>3869.2637499999996</v>
      </c>
      <c r="J48" s="26"/>
      <c r="L48" s="19"/>
      <c r="M48" s="20"/>
      <c r="N48" s="21"/>
    </row>
    <row r="49" spans="1:22" ht="15.75" customHeight="1">
      <c r="A49" s="32">
        <v>20</v>
      </c>
      <c r="B49" s="113" t="s">
        <v>55</v>
      </c>
      <c r="C49" s="114" t="s">
        <v>87</v>
      </c>
      <c r="D49" s="113" t="s">
        <v>258</v>
      </c>
      <c r="E49" s="148">
        <v>3988</v>
      </c>
      <c r="F49" s="149">
        <f>SUM(E49*5/1000)</f>
        <v>19.940000000000001</v>
      </c>
      <c r="G49" s="36">
        <v>1655.27</v>
      </c>
      <c r="H49" s="75">
        <f t="shared" si="5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4.5" customHeight="1">
      <c r="A50" s="32">
        <v>21</v>
      </c>
      <c r="B50" s="113" t="s">
        <v>89</v>
      </c>
      <c r="C50" s="114" t="s">
        <v>87</v>
      </c>
      <c r="D50" s="113" t="s">
        <v>258</v>
      </c>
      <c r="E50" s="148">
        <v>3988</v>
      </c>
      <c r="F50" s="149">
        <f>SUM(E50*2/1000)</f>
        <v>7.976</v>
      </c>
      <c r="G50" s="36">
        <v>1655.27</v>
      </c>
      <c r="H50" s="75">
        <f t="shared" si="5"/>
        <v>13.202433520000001</v>
      </c>
      <c r="I50" s="13">
        <f>3.988*G50</f>
        <v>6601.2167600000002</v>
      </c>
      <c r="J50" s="26"/>
      <c r="L50" s="19"/>
      <c r="M50" s="20"/>
      <c r="N50" s="21"/>
    </row>
    <row r="51" spans="1:22" ht="31.5" customHeight="1">
      <c r="A51" s="32">
        <v>22</v>
      </c>
      <c r="B51" s="113" t="s">
        <v>90</v>
      </c>
      <c r="C51" s="114" t="s">
        <v>37</v>
      </c>
      <c r="D51" s="113" t="s">
        <v>258</v>
      </c>
      <c r="E51" s="148">
        <v>30</v>
      </c>
      <c r="F51" s="149">
        <f>SUM(E51*2/100)</f>
        <v>0.6</v>
      </c>
      <c r="G51" s="36">
        <v>3724.37</v>
      </c>
      <c r="H51" s="75">
        <f>SUM(F51*G51/1000)</f>
        <v>2.2346219999999999</v>
      </c>
      <c r="I51" s="13">
        <f>G51*0.3</f>
        <v>1117.3109999999999</v>
      </c>
      <c r="J51" s="26"/>
      <c r="L51" s="19"/>
      <c r="M51" s="20"/>
      <c r="N51" s="21"/>
    </row>
    <row r="52" spans="1:22" ht="15" customHeight="1">
      <c r="A52" s="32">
        <v>23</v>
      </c>
      <c r="B52" s="113" t="s">
        <v>38</v>
      </c>
      <c r="C52" s="114" t="s">
        <v>39</v>
      </c>
      <c r="D52" s="113" t="s">
        <v>258</v>
      </c>
      <c r="E52" s="148">
        <v>1</v>
      </c>
      <c r="F52" s="149">
        <v>0.02</v>
      </c>
      <c r="G52" s="36">
        <v>7709.44</v>
      </c>
      <c r="H52" s="75">
        <f t="shared" si="5"/>
        <v>0.15418879999999999</v>
      </c>
      <c r="I52" s="13">
        <f>G52*0.01</f>
        <v>77.094399999999993</v>
      </c>
      <c r="J52" s="26"/>
      <c r="L52" s="19"/>
      <c r="M52" s="20"/>
      <c r="N52" s="21"/>
    </row>
    <row r="53" spans="1:22" ht="19.5" customHeight="1">
      <c r="A53" s="123">
        <v>24</v>
      </c>
      <c r="B53" s="113" t="s">
        <v>41</v>
      </c>
      <c r="C53" s="114" t="s">
        <v>106</v>
      </c>
      <c r="D53" s="198">
        <v>43612</v>
      </c>
      <c r="E53" s="148">
        <v>240</v>
      </c>
      <c r="F53" s="149">
        <f>SUM(E53)*1</f>
        <v>240</v>
      </c>
      <c r="G53" s="37">
        <v>89.59</v>
      </c>
      <c r="H53" s="83">
        <f t="shared" si="5"/>
        <v>21.501600000000003</v>
      </c>
      <c r="I53" s="91">
        <f>E53*G53/3</f>
        <v>7167.2000000000007</v>
      </c>
      <c r="J53" s="26"/>
      <c r="L53" s="19"/>
      <c r="M53" s="20"/>
      <c r="N53" s="21"/>
    </row>
    <row r="54" spans="1:22" ht="19.5" customHeight="1">
      <c r="A54" s="32">
        <v>25</v>
      </c>
      <c r="B54" s="113" t="s">
        <v>177</v>
      </c>
      <c r="C54" s="114" t="s">
        <v>106</v>
      </c>
      <c r="D54" s="113" t="s">
        <v>259</v>
      </c>
      <c r="E54" s="148">
        <v>5</v>
      </c>
      <c r="F54" s="149">
        <v>60</v>
      </c>
      <c r="G54" s="154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139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26</v>
      </c>
      <c r="B62" s="80" t="s">
        <v>132</v>
      </c>
      <c r="C62" s="81" t="s">
        <v>25</v>
      </c>
      <c r="D62" s="80" t="s">
        <v>259</v>
      </c>
      <c r="E62" s="82">
        <v>394</v>
      </c>
      <c r="F62" s="85">
        <f>E62*12</f>
        <v>4728</v>
      </c>
      <c r="G62" s="66">
        <v>1.4</v>
      </c>
      <c r="H62" s="83">
        <f>F62*G62/1000</f>
        <v>6.6192000000000002</v>
      </c>
      <c r="I62" s="13">
        <f>2400/12*G62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2">
        <v>27</v>
      </c>
      <c r="B64" s="14" t="s">
        <v>46</v>
      </c>
      <c r="C64" s="16" t="s">
        <v>106</v>
      </c>
      <c r="D64" s="71" t="s">
        <v>65</v>
      </c>
      <c r="E64" s="18">
        <v>15</v>
      </c>
      <c r="F64" s="74">
        <v>15</v>
      </c>
      <c r="G64" s="13">
        <v>222.4</v>
      </c>
      <c r="H64" s="86">
        <f t="shared" ref="H64:H80" si="7">SUM(F64*G64/1000)</f>
        <v>3.3359999999999999</v>
      </c>
      <c r="I64" s="13">
        <f>G64*4</f>
        <v>889.6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7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>
        <v>28</v>
      </c>
      <c r="B66" s="155" t="s">
        <v>48</v>
      </c>
      <c r="C66" s="167" t="s">
        <v>108</v>
      </c>
      <c r="D66" s="39" t="s">
        <v>53</v>
      </c>
      <c r="E66" s="148">
        <v>17600</v>
      </c>
      <c r="F66" s="37">
        <f>SUM(E66/100)</f>
        <v>176</v>
      </c>
      <c r="G66" s="36">
        <v>289.37</v>
      </c>
      <c r="H66" s="86">
        <f t="shared" si="7"/>
        <v>50.929120000000005</v>
      </c>
      <c r="I66" s="13">
        <f>F66*G66</f>
        <v>50929.120000000003</v>
      </c>
    </row>
    <row r="67" spans="1:21" ht="15.75" hidden="1" customHeight="1">
      <c r="A67" s="32">
        <v>29</v>
      </c>
      <c r="B67" s="155" t="s">
        <v>49</v>
      </c>
      <c r="C67" s="156" t="s">
        <v>109</v>
      </c>
      <c r="D67" s="39"/>
      <c r="E67" s="148">
        <v>17600</v>
      </c>
      <c r="F67" s="36">
        <f>SUM(E67/1000)</f>
        <v>17.600000000000001</v>
      </c>
      <c r="G67" s="36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15.75" hidden="1" customHeight="1">
      <c r="A68" s="32">
        <v>30</v>
      </c>
      <c r="B68" s="155" t="s">
        <v>50</v>
      </c>
      <c r="C68" s="156" t="s">
        <v>75</v>
      </c>
      <c r="D68" s="39" t="s">
        <v>53</v>
      </c>
      <c r="E68" s="148">
        <v>4150</v>
      </c>
      <c r="F68" s="36">
        <f>SUM(E68/100)</f>
        <v>41.5</v>
      </c>
      <c r="G68" s="36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15.75" hidden="1" customHeight="1">
      <c r="A69" s="32">
        <v>31</v>
      </c>
      <c r="B69" s="189" t="s">
        <v>110</v>
      </c>
      <c r="C69" s="156" t="s">
        <v>33</v>
      </c>
      <c r="D69" s="39"/>
      <c r="E69" s="148">
        <v>13</v>
      </c>
      <c r="F69" s="36">
        <f>SUM(E69)</f>
        <v>13</v>
      </c>
      <c r="G69" s="36">
        <v>44.31</v>
      </c>
      <c r="H69" s="86">
        <f t="shared" si="7"/>
        <v>0.57602999999999993</v>
      </c>
      <c r="I69" s="13">
        <f t="shared" si="8"/>
        <v>576.03</v>
      </c>
    </row>
    <row r="70" spans="1:21" ht="15.75" hidden="1" customHeight="1">
      <c r="A70" s="32">
        <v>32</v>
      </c>
      <c r="B70" s="189" t="s">
        <v>111</v>
      </c>
      <c r="C70" s="156" t="s">
        <v>33</v>
      </c>
      <c r="D70" s="39"/>
      <c r="E70" s="148">
        <v>13</v>
      </c>
      <c r="F70" s="36">
        <f>SUM(E70)</f>
        <v>13</v>
      </c>
      <c r="G70" s="36">
        <v>47.79</v>
      </c>
      <c r="H70" s="86">
        <f t="shared" si="7"/>
        <v>0.62126999999999999</v>
      </c>
      <c r="I70" s="13">
        <f t="shared" si="8"/>
        <v>621.27</v>
      </c>
    </row>
    <row r="71" spans="1:21" ht="22.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7"/>
        <v>0.24940000000000001</v>
      </c>
      <c r="I71" s="13">
        <f t="shared" si="8"/>
        <v>249.4</v>
      </c>
    </row>
    <row r="72" spans="1:21" ht="22.5" customHeight="1">
      <c r="A72" s="32"/>
      <c r="B72" s="175" t="s">
        <v>181</v>
      </c>
      <c r="C72" s="156"/>
      <c r="D72" s="39"/>
      <c r="E72" s="17"/>
      <c r="F72" s="111"/>
      <c r="G72" s="36"/>
      <c r="H72" s="86"/>
      <c r="I72" s="13"/>
    </row>
    <row r="73" spans="1:21" ht="36.75" customHeight="1">
      <c r="A73" s="32">
        <v>27</v>
      </c>
      <c r="B73" s="39" t="s">
        <v>182</v>
      </c>
      <c r="C73" s="158" t="s">
        <v>183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187" t="s">
        <v>70</v>
      </c>
      <c r="C74" s="16"/>
      <c r="D74" s="14"/>
      <c r="E74" s="18"/>
      <c r="F74" s="13"/>
      <c r="G74" s="13"/>
      <c r="H74" s="86" t="s">
        <v>142</v>
      </c>
      <c r="I74" s="13"/>
    </row>
    <row r="75" spans="1:21" ht="14.25" hidden="1" customHeight="1">
      <c r="A75" s="32">
        <v>33</v>
      </c>
      <c r="B75" s="14" t="s">
        <v>71</v>
      </c>
      <c r="C75" s="16" t="s">
        <v>73</v>
      </c>
      <c r="D75" s="14"/>
      <c r="E75" s="18">
        <v>10</v>
      </c>
      <c r="F75" s="13">
        <v>1</v>
      </c>
      <c r="G75" s="13">
        <v>501.62</v>
      </c>
      <c r="H75" s="86">
        <f t="shared" si="7"/>
        <v>0.50161999999999995</v>
      </c>
      <c r="I75" s="13">
        <f>G75*0.2</f>
        <v>100.32400000000001</v>
      </c>
    </row>
    <row r="76" spans="1:21" ht="15.75" customHeight="1">
      <c r="A76" s="32">
        <v>28</v>
      </c>
      <c r="B76" s="39" t="s">
        <v>72</v>
      </c>
      <c r="C76" s="156" t="s">
        <v>31</v>
      </c>
      <c r="D76" s="39" t="s">
        <v>145</v>
      </c>
      <c r="E76" s="190">
        <v>1</v>
      </c>
      <c r="F76" s="111">
        <v>1</v>
      </c>
      <c r="G76" s="36">
        <v>1163.47</v>
      </c>
      <c r="H76" s="86">
        <f>F76*G76/1000</f>
        <v>1.16347</v>
      </c>
      <c r="I76" s="13">
        <f>G76*1</f>
        <v>1163.47</v>
      </c>
    </row>
    <row r="77" spans="1:21" ht="19.5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29.25" customHeight="1">
      <c r="A78" s="32">
        <v>29</v>
      </c>
      <c r="B78" s="39" t="s">
        <v>188</v>
      </c>
      <c r="C78" s="156" t="s">
        <v>106</v>
      </c>
      <c r="D78" s="39" t="s">
        <v>259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" hidden="1" customHeight="1">
      <c r="A79" s="32"/>
      <c r="B79" s="89" t="s">
        <v>74</v>
      </c>
      <c r="C79" s="16"/>
      <c r="D79" s="14"/>
      <c r="E79" s="18"/>
      <c r="F79" s="13"/>
      <c r="G79" s="13" t="s">
        <v>142</v>
      </c>
      <c r="H79" s="86" t="s">
        <v>142</v>
      </c>
      <c r="I79" s="13"/>
    </row>
    <row r="80" spans="1:21" ht="20.25" hidden="1" customHeight="1">
      <c r="A80" s="32"/>
      <c r="B80" s="47" t="s">
        <v>147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7"/>
        <v>3.311328</v>
      </c>
      <c r="I80" s="13">
        <v>0</v>
      </c>
    </row>
    <row r="81" spans="1:9" ht="21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203.06858090000003</v>
      </c>
      <c r="I81" s="77"/>
    </row>
    <row r="82" spans="1:9" ht="12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9" t="s">
        <v>140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30</v>
      </c>
      <c r="B84" s="113" t="s">
        <v>114</v>
      </c>
      <c r="C84" s="156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31</v>
      </c>
      <c r="B85" s="39" t="s">
        <v>76</v>
      </c>
      <c r="C85" s="156"/>
      <c r="D85" s="103"/>
      <c r="E85" s="148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I85+I84+I78+I76+I73+I62+I54+I53+I52+I51+I50+I49+I48+I47+I46+I45+I32+I31+I30+I29+I26+I25+I24+I23+I22+I21+I20+I19+I18+I17+I16</f>
        <v>153393.54639893334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 ht="27.75" customHeight="1">
      <c r="A88" s="32">
        <v>32</v>
      </c>
      <c r="B88" s="51" t="s">
        <v>231</v>
      </c>
      <c r="C88" s="52" t="s">
        <v>106</v>
      </c>
      <c r="D88" s="14"/>
      <c r="E88" s="18"/>
      <c r="F88" s="13">
        <v>1440</v>
      </c>
      <c r="G88" s="36">
        <v>646.79999999999995</v>
      </c>
      <c r="H88" s="86">
        <f t="shared" ref="H88" si="9">G88*F88/1000</f>
        <v>931.39199999999994</v>
      </c>
      <c r="I88" s="13">
        <f>G88*2</f>
        <v>1293.5999999999999</v>
      </c>
    </row>
    <row r="89" spans="1:9" ht="15.75" customHeight="1">
      <c r="A89" s="32">
        <v>33</v>
      </c>
      <c r="B89" s="51" t="s">
        <v>80</v>
      </c>
      <c r="C89" s="52" t="s">
        <v>106</v>
      </c>
      <c r="D89" s="103"/>
      <c r="E89" s="36"/>
      <c r="F89" s="36">
        <f>(3+4+15+15+15+5+20+20+15+10+15+15+7+6+15+3)/3</f>
        <v>61</v>
      </c>
      <c r="G89" s="36">
        <v>207.55</v>
      </c>
      <c r="H89" s="102">
        <f>G89*F89/1000</f>
        <v>12.660550000000001</v>
      </c>
      <c r="I89" s="13">
        <f>G89*2</f>
        <v>415.1</v>
      </c>
    </row>
    <row r="90" spans="1:9" ht="15.75" customHeight="1">
      <c r="A90" s="32">
        <v>34</v>
      </c>
      <c r="B90" s="51" t="s">
        <v>214</v>
      </c>
      <c r="C90" s="52" t="s">
        <v>106</v>
      </c>
      <c r="D90" s="47"/>
      <c r="E90" s="13"/>
      <c r="F90" s="13">
        <v>1</v>
      </c>
      <c r="G90" s="36">
        <v>235</v>
      </c>
      <c r="H90" s="86">
        <f t="shared" ref="H90:H91" si="10">G90*F90/1000</f>
        <v>0.23499999999999999</v>
      </c>
      <c r="I90" s="13">
        <f>G90*2</f>
        <v>470</v>
      </c>
    </row>
    <row r="91" spans="1:9" ht="15.75" customHeight="1">
      <c r="A91" s="32">
        <v>35</v>
      </c>
      <c r="B91" s="51" t="s">
        <v>215</v>
      </c>
      <c r="C91" s="52" t="s">
        <v>106</v>
      </c>
      <c r="D91" s="47"/>
      <c r="E91" s="13"/>
      <c r="F91" s="13">
        <v>3</v>
      </c>
      <c r="G91" s="36">
        <v>70</v>
      </c>
      <c r="H91" s="86">
        <f t="shared" si="10"/>
        <v>0.21</v>
      </c>
      <c r="I91" s="13">
        <f>G91*1</f>
        <v>70</v>
      </c>
    </row>
    <row r="92" spans="1:9" ht="15.75" customHeight="1">
      <c r="A92" s="32">
        <v>36</v>
      </c>
      <c r="B92" s="51" t="s">
        <v>203</v>
      </c>
      <c r="C92" s="52" t="s">
        <v>166</v>
      </c>
      <c r="D92" s="47"/>
      <c r="E92" s="13"/>
      <c r="F92" s="13"/>
      <c r="G92" s="36">
        <v>273</v>
      </c>
      <c r="H92" s="86"/>
      <c r="I92" s="13">
        <f>G92*13</f>
        <v>3549</v>
      </c>
    </row>
    <row r="93" spans="1:9" ht="15.75" customHeight="1">
      <c r="A93" s="32">
        <v>37</v>
      </c>
      <c r="B93" s="51" t="s">
        <v>191</v>
      </c>
      <c r="C93" s="52" t="s">
        <v>192</v>
      </c>
      <c r="D93" s="47"/>
      <c r="E93" s="13"/>
      <c r="F93" s="13"/>
      <c r="G93" s="36">
        <v>218</v>
      </c>
      <c r="H93" s="86"/>
      <c r="I93" s="13">
        <f>G93*1</f>
        <v>218</v>
      </c>
    </row>
    <row r="94" spans="1:9" ht="15.75" customHeight="1">
      <c r="A94" s="32">
        <v>38</v>
      </c>
      <c r="B94" s="51" t="s">
        <v>232</v>
      </c>
      <c r="C94" s="52" t="s">
        <v>233</v>
      </c>
      <c r="D94" s="47"/>
      <c r="E94" s="13"/>
      <c r="F94" s="13"/>
      <c r="G94" s="36">
        <v>45</v>
      </c>
      <c r="H94" s="86"/>
      <c r="I94" s="13">
        <f>G94*50</f>
        <v>2250</v>
      </c>
    </row>
    <row r="95" spans="1:9" ht="15.75" customHeight="1">
      <c r="A95" s="32">
        <v>39</v>
      </c>
      <c r="B95" s="51" t="s">
        <v>234</v>
      </c>
      <c r="C95" s="52" t="s">
        <v>167</v>
      </c>
      <c r="D95" s="47"/>
      <c r="E95" s="13"/>
      <c r="F95" s="13"/>
      <c r="G95" s="36">
        <v>26095.37</v>
      </c>
      <c r="H95" s="86"/>
      <c r="I95" s="13">
        <f>G95*0.02</f>
        <v>521.90739999999994</v>
      </c>
    </row>
    <row r="96" spans="1:9" ht="32.25" customHeight="1">
      <c r="A96" s="32">
        <v>40</v>
      </c>
      <c r="B96" s="51" t="s">
        <v>204</v>
      </c>
      <c r="C96" s="106" t="s">
        <v>106</v>
      </c>
      <c r="D96" s="47"/>
      <c r="E96" s="13"/>
      <c r="F96" s="13"/>
      <c r="G96" s="36">
        <v>1133.92</v>
      </c>
      <c r="H96" s="86"/>
      <c r="I96" s="13">
        <f>G96*9</f>
        <v>10205.280000000001</v>
      </c>
    </row>
    <row r="97" spans="1:9" ht="15.75" customHeight="1">
      <c r="A97" s="32">
        <v>41</v>
      </c>
      <c r="B97" s="51" t="s">
        <v>205</v>
      </c>
      <c r="C97" s="106" t="s">
        <v>106</v>
      </c>
      <c r="D97" s="47"/>
      <c r="E97" s="13"/>
      <c r="F97" s="13"/>
      <c r="G97" s="36">
        <v>27.36</v>
      </c>
      <c r="H97" s="86"/>
      <c r="I97" s="13">
        <f>G97*4</f>
        <v>109.44</v>
      </c>
    </row>
    <row r="98" spans="1:9" ht="15.75" customHeight="1">
      <c r="A98" s="32">
        <v>42</v>
      </c>
      <c r="B98" s="188" t="s">
        <v>235</v>
      </c>
      <c r="C98" s="106" t="s">
        <v>106</v>
      </c>
      <c r="D98" s="47"/>
      <c r="E98" s="13"/>
      <c r="F98" s="13"/>
      <c r="G98" s="36">
        <v>125</v>
      </c>
      <c r="H98" s="86"/>
      <c r="I98" s="13">
        <f>G98*4</f>
        <v>500</v>
      </c>
    </row>
    <row r="99" spans="1:9" ht="30" customHeight="1">
      <c r="A99" s="32">
        <v>43</v>
      </c>
      <c r="B99" s="51" t="s">
        <v>133</v>
      </c>
      <c r="C99" s="52" t="s">
        <v>37</v>
      </c>
      <c r="D99" s="48"/>
      <c r="E99" s="41">
        <v>1</v>
      </c>
      <c r="F99" s="41"/>
      <c r="G99" s="36">
        <v>3914.31</v>
      </c>
      <c r="H99" s="41"/>
      <c r="I99" s="18">
        <f>G99*0.03</f>
        <v>117.4293</v>
      </c>
    </row>
    <row r="100" spans="1:9">
      <c r="A100" s="32">
        <v>44</v>
      </c>
      <c r="B100" s="51" t="s">
        <v>224</v>
      </c>
      <c r="C100" s="52" t="s">
        <v>82</v>
      </c>
      <c r="D100" s="15"/>
      <c r="E100" s="42"/>
      <c r="F100" s="42"/>
      <c r="G100" s="36">
        <v>214.07</v>
      </c>
      <c r="H100" s="43"/>
      <c r="I100" s="17">
        <f>G100*1</f>
        <v>214.07</v>
      </c>
    </row>
    <row r="101" spans="1:9" ht="30">
      <c r="A101" s="32">
        <v>45</v>
      </c>
      <c r="B101" s="51" t="s">
        <v>236</v>
      </c>
      <c r="C101" s="52" t="s">
        <v>106</v>
      </c>
      <c r="D101" s="15"/>
      <c r="E101" s="42"/>
      <c r="F101" s="42"/>
      <c r="G101" s="36">
        <v>2510.73</v>
      </c>
      <c r="H101" s="43"/>
      <c r="I101" s="17">
        <f>G101*1</f>
        <v>2510.73</v>
      </c>
    </row>
    <row r="102" spans="1:9">
      <c r="A102" s="32">
        <v>46</v>
      </c>
      <c r="B102" s="51" t="s">
        <v>164</v>
      </c>
      <c r="C102" s="52" t="s">
        <v>165</v>
      </c>
      <c r="D102" s="15"/>
      <c r="E102" s="42"/>
      <c r="F102" s="42"/>
      <c r="G102" s="36">
        <v>8102.62</v>
      </c>
      <c r="H102" s="43"/>
      <c r="I102" s="17">
        <f>G102*0.01</f>
        <v>81.026200000000003</v>
      </c>
    </row>
    <row r="103" spans="1:9" ht="30">
      <c r="A103" s="32">
        <v>47</v>
      </c>
      <c r="B103" s="51" t="s">
        <v>211</v>
      </c>
      <c r="C103" s="106" t="s">
        <v>106</v>
      </c>
      <c r="D103" s="15"/>
      <c r="E103" s="42"/>
      <c r="F103" s="42"/>
      <c r="G103" s="127">
        <v>909</v>
      </c>
      <c r="H103" s="43"/>
      <c r="I103" s="17">
        <f>G103*1</f>
        <v>909</v>
      </c>
    </row>
    <row r="104" spans="1:9">
      <c r="A104" s="32">
        <v>48</v>
      </c>
      <c r="B104" s="192" t="s">
        <v>237</v>
      </c>
      <c r="C104" s="106" t="s">
        <v>106</v>
      </c>
      <c r="D104" s="15"/>
      <c r="E104" s="42"/>
      <c r="F104" s="42"/>
      <c r="G104" s="36">
        <v>98</v>
      </c>
      <c r="H104" s="43"/>
      <c r="I104" s="17">
        <f>G104*1</f>
        <v>98</v>
      </c>
    </row>
    <row r="105" spans="1:9">
      <c r="A105" s="32">
        <v>49</v>
      </c>
      <c r="B105" s="192" t="s">
        <v>238</v>
      </c>
      <c r="C105" s="106" t="s">
        <v>106</v>
      </c>
      <c r="D105" s="15"/>
      <c r="E105" s="42"/>
      <c r="F105" s="42"/>
      <c r="G105" s="36">
        <v>22</v>
      </c>
      <c r="H105" s="43"/>
      <c r="I105" s="17">
        <f>G105*1</f>
        <v>22</v>
      </c>
    </row>
    <row r="106" spans="1:9">
      <c r="A106" s="32">
        <v>50</v>
      </c>
      <c r="B106" s="51" t="s">
        <v>239</v>
      </c>
      <c r="C106" s="52" t="s">
        <v>106</v>
      </c>
      <c r="D106" s="15"/>
      <c r="E106" s="42"/>
      <c r="F106" s="42"/>
      <c r="G106" s="127">
        <v>412.8</v>
      </c>
      <c r="H106" s="43"/>
      <c r="I106" s="17">
        <f>G106*1</f>
        <v>412.8</v>
      </c>
    </row>
    <row r="107" spans="1:9">
      <c r="A107" s="32"/>
      <c r="B107" s="45" t="s">
        <v>51</v>
      </c>
      <c r="C107" s="41"/>
      <c r="D107" s="48"/>
      <c r="E107" s="41">
        <v>1</v>
      </c>
      <c r="F107" s="41"/>
      <c r="G107" s="41"/>
      <c r="H107" s="41"/>
      <c r="I107" s="34">
        <f>SUM(I88:I106)</f>
        <v>23967.382899999997</v>
      </c>
    </row>
    <row r="108" spans="1:9">
      <c r="A108" s="32"/>
      <c r="B108" s="47" t="s">
        <v>77</v>
      </c>
      <c r="C108" s="15"/>
      <c r="D108" s="15"/>
      <c r="E108" s="42"/>
      <c r="F108" s="42"/>
      <c r="G108" s="43"/>
      <c r="H108" s="43"/>
      <c r="I108" s="17">
        <v>0</v>
      </c>
    </row>
    <row r="109" spans="1:9">
      <c r="A109" s="49"/>
      <c r="B109" s="46" t="s">
        <v>158</v>
      </c>
      <c r="C109" s="35"/>
      <c r="D109" s="35"/>
      <c r="E109" s="35"/>
      <c r="F109" s="35"/>
      <c r="G109" s="35"/>
      <c r="H109" s="35"/>
      <c r="I109" s="44">
        <f>I86+I107</f>
        <v>177360.92929893333</v>
      </c>
    </row>
    <row r="110" spans="1:9" ht="15.75">
      <c r="A110" s="222" t="s">
        <v>291</v>
      </c>
      <c r="B110" s="222"/>
      <c r="C110" s="222"/>
      <c r="D110" s="222"/>
      <c r="E110" s="222"/>
      <c r="F110" s="222"/>
      <c r="G110" s="222"/>
      <c r="H110" s="222"/>
      <c r="I110" s="222"/>
    </row>
    <row r="111" spans="1:9" ht="15.75" customHeight="1">
      <c r="A111" s="58"/>
      <c r="B111" s="223" t="s">
        <v>292</v>
      </c>
      <c r="C111" s="223"/>
      <c r="D111" s="223"/>
      <c r="E111" s="223"/>
      <c r="F111" s="223"/>
      <c r="G111" s="223"/>
      <c r="H111" s="70"/>
      <c r="I111" s="3"/>
    </row>
    <row r="112" spans="1:9">
      <c r="A112" s="64"/>
      <c r="B112" s="224" t="s">
        <v>6</v>
      </c>
      <c r="C112" s="224"/>
      <c r="D112" s="224"/>
      <c r="E112" s="224"/>
      <c r="F112" s="224"/>
      <c r="G112" s="224"/>
      <c r="H112" s="27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25" t="s">
        <v>7</v>
      </c>
      <c r="B114" s="225"/>
      <c r="C114" s="225"/>
      <c r="D114" s="225"/>
      <c r="E114" s="225"/>
      <c r="F114" s="225"/>
      <c r="G114" s="225"/>
      <c r="H114" s="225"/>
      <c r="I114" s="225"/>
    </row>
    <row r="115" spans="1:9" ht="15.75">
      <c r="A115" s="225" t="s">
        <v>8</v>
      </c>
      <c r="B115" s="225"/>
      <c r="C115" s="225"/>
      <c r="D115" s="225"/>
      <c r="E115" s="225"/>
      <c r="F115" s="225"/>
      <c r="G115" s="225"/>
      <c r="H115" s="225"/>
      <c r="I115" s="225"/>
    </row>
    <row r="116" spans="1:9" ht="15.75">
      <c r="A116" s="226" t="s">
        <v>60</v>
      </c>
      <c r="B116" s="226"/>
      <c r="C116" s="226"/>
      <c r="D116" s="226"/>
      <c r="E116" s="226"/>
      <c r="F116" s="226"/>
      <c r="G116" s="226"/>
      <c r="H116" s="226"/>
      <c r="I116" s="226"/>
    </row>
    <row r="117" spans="1:9" ht="15.75">
      <c r="A117" s="11"/>
    </row>
    <row r="118" spans="1:9" ht="15.75">
      <c r="A118" s="227" t="s">
        <v>9</v>
      </c>
      <c r="B118" s="227"/>
      <c r="C118" s="227"/>
      <c r="D118" s="227"/>
      <c r="E118" s="227"/>
      <c r="F118" s="227"/>
      <c r="G118" s="227"/>
      <c r="H118" s="227"/>
      <c r="I118" s="227"/>
    </row>
    <row r="119" spans="1:9" ht="15.75" customHeight="1">
      <c r="A119" s="4"/>
    </row>
    <row r="120" spans="1:9" ht="15.75" customHeight="1">
      <c r="B120" s="61" t="s">
        <v>10</v>
      </c>
      <c r="C120" s="228" t="s">
        <v>135</v>
      </c>
      <c r="D120" s="228"/>
      <c r="E120" s="228"/>
      <c r="F120" s="68"/>
      <c r="I120" s="63"/>
    </row>
    <row r="121" spans="1:9" ht="15.75" customHeight="1">
      <c r="A121" s="64"/>
      <c r="C121" s="224" t="s">
        <v>11</v>
      </c>
      <c r="D121" s="224"/>
      <c r="E121" s="224"/>
      <c r="F121" s="27"/>
      <c r="I121" s="62" t="s">
        <v>12</v>
      </c>
    </row>
    <row r="122" spans="1:9" ht="15.75" customHeight="1">
      <c r="A122" s="28"/>
      <c r="C122" s="12"/>
      <c r="D122" s="12"/>
      <c r="G122" s="12"/>
      <c r="H122" s="12"/>
    </row>
    <row r="123" spans="1:9" ht="15.75">
      <c r="B123" s="61" t="s">
        <v>13</v>
      </c>
      <c r="C123" s="229"/>
      <c r="D123" s="229"/>
      <c r="E123" s="229"/>
      <c r="F123" s="69"/>
      <c r="I123" s="63"/>
    </row>
    <row r="124" spans="1:9">
      <c r="A124" s="64"/>
      <c r="C124" s="218" t="s">
        <v>11</v>
      </c>
      <c r="D124" s="218"/>
      <c r="E124" s="218"/>
      <c r="F124" s="64"/>
      <c r="I124" s="62" t="s">
        <v>12</v>
      </c>
    </row>
    <row r="125" spans="1:9" ht="15.75">
      <c r="A125" s="4" t="s">
        <v>14</v>
      </c>
    </row>
    <row r="126" spans="1:9">
      <c r="A126" s="233" t="s">
        <v>15</v>
      </c>
      <c r="B126" s="233"/>
      <c r="C126" s="233"/>
      <c r="D126" s="233"/>
      <c r="E126" s="233"/>
      <c r="F126" s="233"/>
      <c r="G126" s="233"/>
      <c r="H126" s="233"/>
      <c r="I126" s="233"/>
    </row>
    <row r="127" spans="1:9" ht="45" customHeight="1">
      <c r="A127" s="234" t="s">
        <v>16</v>
      </c>
      <c r="B127" s="234"/>
      <c r="C127" s="234"/>
      <c r="D127" s="234"/>
      <c r="E127" s="234"/>
      <c r="F127" s="234"/>
      <c r="G127" s="234"/>
      <c r="H127" s="234"/>
      <c r="I127" s="234"/>
    </row>
    <row r="128" spans="1:9" ht="30" customHeight="1">
      <c r="A128" s="234" t="s">
        <v>17</v>
      </c>
      <c r="B128" s="234"/>
      <c r="C128" s="234"/>
      <c r="D128" s="234"/>
      <c r="E128" s="234"/>
      <c r="F128" s="234"/>
      <c r="G128" s="234"/>
      <c r="H128" s="234"/>
      <c r="I128" s="234"/>
    </row>
    <row r="129" spans="1:9" ht="30" customHeight="1">
      <c r="A129" s="234" t="s">
        <v>21</v>
      </c>
      <c r="B129" s="234"/>
      <c r="C129" s="234"/>
      <c r="D129" s="234"/>
      <c r="E129" s="234"/>
      <c r="F129" s="234"/>
      <c r="G129" s="234"/>
      <c r="H129" s="234"/>
      <c r="I129" s="234"/>
    </row>
    <row r="130" spans="1:9" ht="15" customHeight="1">
      <c r="A130" s="234" t="s">
        <v>20</v>
      </c>
      <c r="B130" s="234"/>
      <c r="C130" s="234"/>
      <c r="D130" s="234"/>
      <c r="E130" s="234"/>
      <c r="F130" s="234"/>
      <c r="G130" s="234"/>
      <c r="H130" s="234"/>
      <c r="I130" s="234"/>
    </row>
  </sheetData>
  <autoFilter ref="I12:I59"/>
  <mergeCells count="29">
    <mergeCell ref="R64:U64"/>
    <mergeCell ref="A83:I83"/>
    <mergeCell ref="A3:I3"/>
    <mergeCell ref="A4:I4"/>
    <mergeCell ref="A5:I5"/>
    <mergeCell ref="A8:I8"/>
    <mergeCell ref="A10:I10"/>
    <mergeCell ref="A14:I14"/>
    <mergeCell ref="A116:I116"/>
    <mergeCell ref="A15:I15"/>
    <mergeCell ref="A27:I27"/>
    <mergeCell ref="A44:I44"/>
    <mergeCell ref="A55:I55"/>
    <mergeCell ref="A87:I87"/>
    <mergeCell ref="A110:I110"/>
    <mergeCell ref="B111:G111"/>
    <mergeCell ref="B112:G112"/>
    <mergeCell ref="A114:I114"/>
    <mergeCell ref="A115:I115"/>
    <mergeCell ref="A127:I127"/>
    <mergeCell ref="A128:I128"/>
    <mergeCell ref="A129:I129"/>
    <mergeCell ref="A130:I130"/>
    <mergeCell ref="A118:I118"/>
    <mergeCell ref="C120:E120"/>
    <mergeCell ref="C121:E121"/>
    <mergeCell ref="C123:E123"/>
    <mergeCell ref="C124:E124"/>
    <mergeCell ref="A126:I126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9"/>
  <sheetViews>
    <sheetView workbookViewId="0">
      <selection activeCell="J116" sqref="J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240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43646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3" t="s">
        <v>27</v>
      </c>
      <c r="C31" s="114" t="s">
        <v>87</v>
      </c>
      <c r="D31" s="113" t="s">
        <v>53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146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123">
        <v>18</v>
      </c>
      <c r="B53" s="80" t="s">
        <v>41</v>
      </c>
      <c r="C53" s="81" t="s">
        <v>106</v>
      </c>
      <c r="D53" s="80" t="s">
        <v>69</v>
      </c>
      <c r="E53" s="82">
        <v>236</v>
      </c>
      <c r="F53" s="85">
        <f>SUM(E53)*3</f>
        <v>708</v>
      </c>
      <c r="G53" s="91">
        <v>65.67</v>
      </c>
      <c r="H53" s="83">
        <f t="shared" si="5"/>
        <v>46.49436</v>
      </c>
      <c r="I53" s="91">
        <f>E53*G53</f>
        <v>15498.12</v>
      </c>
      <c r="J53" s="26"/>
      <c r="L53" s="19"/>
      <c r="M53" s="20"/>
      <c r="N53" s="21"/>
    </row>
    <row r="54" spans="1:22" ht="15.75" customHeight="1">
      <c r="A54" s="32">
        <v>8</v>
      </c>
      <c r="B54" s="113" t="s">
        <v>177</v>
      </c>
      <c r="C54" s="114" t="s">
        <v>106</v>
      </c>
      <c r="D54" s="113" t="s">
        <v>259</v>
      </c>
      <c r="E54" s="148">
        <v>5</v>
      </c>
      <c r="F54" s="149">
        <v>60</v>
      </c>
      <c r="G54" s="154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139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9</v>
      </c>
      <c r="B62" s="80" t="s">
        <v>132</v>
      </c>
      <c r="C62" s="81" t="s">
        <v>25</v>
      </c>
      <c r="D62" s="80" t="s">
        <v>259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customHeight="1">
      <c r="A64" s="32">
        <v>10</v>
      </c>
      <c r="B64" s="155" t="s">
        <v>46</v>
      </c>
      <c r="C64" s="156" t="s">
        <v>106</v>
      </c>
      <c r="D64" s="39" t="s">
        <v>258</v>
      </c>
      <c r="E64" s="17">
        <v>12</v>
      </c>
      <c r="F64" s="149">
        <v>12</v>
      </c>
      <c r="G64" s="36">
        <v>303.35000000000002</v>
      </c>
      <c r="H64" s="86">
        <f t="shared" ref="H64:H77" si="6">SUM(F64*G64/1000)</f>
        <v>3.6402000000000001</v>
      </c>
      <c r="I64" s="13">
        <f>G64*1</f>
        <v>303.35000000000002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34" t="s">
        <v>47</v>
      </c>
      <c r="C65" s="135" t="s">
        <v>106</v>
      </c>
      <c r="D65" s="136" t="s">
        <v>172</v>
      </c>
      <c r="E65" s="137">
        <v>7</v>
      </c>
      <c r="F65" s="119">
        <v>7</v>
      </c>
      <c r="G65" s="127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34" t="s">
        <v>48</v>
      </c>
      <c r="C66" s="138" t="s">
        <v>108</v>
      </c>
      <c r="D66" s="136" t="s">
        <v>53</v>
      </c>
      <c r="E66" s="118">
        <v>17600</v>
      </c>
      <c r="F66" s="128">
        <f>SUM(E66/100)</f>
        <v>176</v>
      </c>
      <c r="G66" s="127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hidden="1" customHeight="1">
      <c r="A67" s="32"/>
      <c r="B67" s="134" t="s">
        <v>49</v>
      </c>
      <c r="C67" s="135" t="s">
        <v>109</v>
      </c>
      <c r="D67" s="136"/>
      <c r="E67" s="118">
        <v>17600</v>
      </c>
      <c r="F67" s="127">
        <f>SUM(E67/1000)</f>
        <v>17.600000000000001</v>
      </c>
      <c r="G67" s="127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hidden="1" customHeight="1">
      <c r="A68" s="32"/>
      <c r="B68" s="134" t="s">
        <v>50</v>
      </c>
      <c r="C68" s="135" t="s">
        <v>75</v>
      </c>
      <c r="D68" s="136" t="s">
        <v>53</v>
      </c>
      <c r="E68" s="118">
        <v>4150</v>
      </c>
      <c r="F68" s="127">
        <f>SUM(E68/100)</f>
        <v>41.5</v>
      </c>
      <c r="G68" s="127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hidden="1" customHeight="1">
      <c r="A69" s="32"/>
      <c r="B69" s="139" t="s">
        <v>110</v>
      </c>
      <c r="C69" s="135" t="s">
        <v>33</v>
      </c>
      <c r="D69" s="136"/>
      <c r="E69" s="118">
        <v>13</v>
      </c>
      <c r="F69" s="127">
        <f>SUM(E69)</f>
        <v>13</v>
      </c>
      <c r="G69" s="127">
        <v>44.31</v>
      </c>
      <c r="H69" s="86">
        <f t="shared" si="6"/>
        <v>0.57602999999999993</v>
      </c>
      <c r="I69" s="13">
        <f t="shared" si="7"/>
        <v>576.03</v>
      </c>
    </row>
    <row r="70" spans="1:21" ht="15.75" hidden="1" customHeight="1">
      <c r="A70" s="32"/>
      <c r="B70" s="139" t="s">
        <v>111</v>
      </c>
      <c r="C70" s="135" t="s">
        <v>33</v>
      </c>
      <c r="D70" s="136"/>
      <c r="E70" s="118">
        <v>13</v>
      </c>
      <c r="F70" s="127">
        <f>SUM(E70)</f>
        <v>13</v>
      </c>
      <c r="G70" s="127">
        <v>47.79</v>
      </c>
      <c r="H70" s="86">
        <f t="shared" si="6"/>
        <v>0.62126999999999999</v>
      </c>
      <c r="I70" s="13">
        <f t="shared" si="7"/>
        <v>621.27</v>
      </c>
    </row>
    <row r="71" spans="1:21" ht="20.25" hidden="1" customHeight="1">
      <c r="A71" s="32">
        <v>16</v>
      </c>
      <c r="B71" s="136" t="s">
        <v>56</v>
      </c>
      <c r="C71" s="135" t="s">
        <v>57</v>
      </c>
      <c r="D71" s="136" t="s">
        <v>53</v>
      </c>
      <c r="E71" s="137">
        <v>3</v>
      </c>
      <c r="F71" s="119">
        <v>3</v>
      </c>
      <c r="G71" s="127">
        <v>68.040000000000006</v>
      </c>
      <c r="H71" s="86">
        <f t="shared" si="6"/>
        <v>0.20412</v>
      </c>
      <c r="I71" s="13">
        <f t="shared" si="7"/>
        <v>204.12</v>
      </c>
    </row>
    <row r="72" spans="1:21" ht="24" hidden="1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142</v>
      </c>
      <c r="I72" s="13"/>
    </row>
    <row r="73" spans="1:21" ht="21.75" hidden="1" customHeight="1">
      <c r="A73" s="32"/>
      <c r="B73" s="14" t="s">
        <v>71</v>
      </c>
      <c r="C73" s="16" t="s">
        <v>73</v>
      </c>
      <c r="D73" s="14"/>
      <c r="E73" s="18">
        <v>10</v>
      </c>
      <c r="F73" s="13">
        <v>1</v>
      </c>
      <c r="G73" s="13">
        <v>501.62</v>
      </c>
      <c r="H73" s="86">
        <f t="shared" si="6"/>
        <v>0.50161999999999995</v>
      </c>
      <c r="I73" s="13">
        <v>0</v>
      </c>
    </row>
    <row r="74" spans="1:21" ht="21.75" hidden="1" customHeight="1">
      <c r="A74" s="32"/>
      <c r="B74" s="14" t="s">
        <v>72</v>
      </c>
      <c r="C74" s="16" t="s">
        <v>31</v>
      </c>
      <c r="D74" s="14"/>
      <c r="E74" s="18">
        <v>3</v>
      </c>
      <c r="F74" s="66">
        <v>3</v>
      </c>
      <c r="G74" s="13">
        <v>852.99</v>
      </c>
      <c r="H74" s="86">
        <f>F74*G74/1000</f>
        <v>2.5589700000000004</v>
      </c>
      <c r="I74" s="13">
        <v>0</v>
      </c>
    </row>
    <row r="75" spans="1:21" ht="14.25" hidden="1" customHeight="1">
      <c r="A75" s="32"/>
      <c r="B75" s="14" t="s">
        <v>113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6">
        <f>G75*F75/1000</f>
        <v>0.35851</v>
      </c>
      <c r="I75" s="13">
        <v>0</v>
      </c>
    </row>
    <row r="76" spans="1:21" ht="21.75" hidden="1" customHeight="1">
      <c r="A76" s="32"/>
      <c r="B76" s="89" t="s">
        <v>74</v>
      </c>
      <c r="C76" s="16"/>
      <c r="D76" s="14"/>
      <c r="E76" s="18"/>
      <c r="F76" s="13"/>
      <c r="G76" s="13" t="s">
        <v>142</v>
      </c>
      <c r="H76" s="86" t="s">
        <v>142</v>
      </c>
      <c r="I76" s="13"/>
    </row>
    <row r="77" spans="1:21" ht="14.25" hidden="1" customHeight="1">
      <c r="A77" s="32"/>
      <c r="B77" s="47" t="s">
        <v>147</v>
      </c>
      <c r="C77" s="16" t="s">
        <v>75</v>
      </c>
      <c r="D77" s="14"/>
      <c r="E77" s="18"/>
      <c r="F77" s="13">
        <v>1.2</v>
      </c>
      <c r="G77" s="13">
        <v>2759.44</v>
      </c>
      <c r="H77" s="86">
        <f t="shared" si="6"/>
        <v>3.311328</v>
      </c>
      <c r="I77" s="13">
        <v>0</v>
      </c>
    </row>
    <row r="78" spans="1:21" ht="18" hidden="1" customHeight="1">
      <c r="A78" s="32"/>
      <c r="B78" s="65" t="s">
        <v>91</v>
      </c>
      <c r="C78" s="65"/>
      <c r="D78" s="65"/>
      <c r="E78" s="65"/>
      <c r="F78" s="65"/>
      <c r="G78" s="77"/>
      <c r="H78" s="90">
        <f>SUM(H57:H77)</f>
        <v>201.42937090000001</v>
      </c>
      <c r="I78" s="77"/>
    </row>
    <row r="79" spans="1:21" ht="18" hidden="1" customHeight="1">
      <c r="A79" s="123"/>
      <c r="B79" s="193" t="s">
        <v>112</v>
      </c>
      <c r="C79" s="194"/>
      <c r="D79" s="195"/>
      <c r="E79" s="67"/>
      <c r="F79" s="196">
        <v>1</v>
      </c>
      <c r="G79" s="91">
        <v>23072.1</v>
      </c>
      <c r="H79" s="197">
        <f>G79*F79/1000</f>
        <v>23.072099999999999</v>
      </c>
      <c r="I79" s="91">
        <v>0</v>
      </c>
    </row>
    <row r="80" spans="1:21" ht="18" customHeight="1">
      <c r="A80" s="32"/>
      <c r="B80" s="175" t="s">
        <v>181</v>
      </c>
      <c r="C80" s="156"/>
      <c r="D80" s="39"/>
      <c r="E80" s="17"/>
      <c r="F80" s="111"/>
      <c r="G80" s="36"/>
      <c r="H80" s="86"/>
      <c r="I80" s="13"/>
    </row>
    <row r="81" spans="1:9" ht="31.5" customHeight="1">
      <c r="A81" s="32">
        <v>11</v>
      </c>
      <c r="B81" s="39" t="s">
        <v>182</v>
      </c>
      <c r="C81" s="158" t="s">
        <v>183</v>
      </c>
      <c r="D81" s="39"/>
      <c r="E81" s="17">
        <v>6980.3</v>
      </c>
      <c r="F81" s="36">
        <f>E81*12</f>
        <v>83763.600000000006</v>
      </c>
      <c r="G81" s="36">
        <v>2.37</v>
      </c>
      <c r="H81" s="86"/>
      <c r="I81" s="13">
        <f>G81*F81/12</f>
        <v>16543.311000000002</v>
      </c>
    </row>
    <row r="82" spans="1:9" ht="18" customHeight="1">
      <c r="A82" s="32"/>
      <c r="B82" s="191" t="s">
        <v>70</v>
      </c>
      <c r="C82" s="158"/>
      <c r="D82" s="39"/>
      <c r="E82" s="17"/>
      <c r="F82" s="36"/>
      <c r="G82" s="36"/>
      <c r="H82" s="13"/>
      <c r="I82" s="13"/>
    </row>
    <row r="83" spans="1:9" ht="31.5" customHeight="1">
      <c r="A83" s="32">
        <v>12</v>
      </c>
      <c r="B83" s="39" t="s">
        <v>188</v>
      </c>
      <c r="C83" s="156" t="s">
        <v>106</v>
      </c>
      <c r="D83" s="39" t="s">
        <v>258</v>
      </c>
      <c r="E83" s="17">
        <v>2</v>
      </c>
      <c r="F83" s="36">
        <v>24</v>
      </c>
      <c r="G83" s="36">
        <v>55.55</v>
      </c>
      <c r="H83" s="86"/>
      <c r="I83" s="13">
        <f>G83*2</f>
        <v>111.1</v>
      </c>
    </row>
    <row r="84" spans="1:9" ht="15.75" customHeight="1">
      <c r="A84" s="219" t="s">
        <v>140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13</v>
      </c>
      <c r="B85" s="113" t="s">
        <v>114</v>
      </c>
      <c r="C85" s="156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14</v>
      </c>
      <c r="B86" s="39" t="s">
        <v>76</v>
      </c>
      <c r="C86" s="156"/>
      <c r="D86" s="103"/>
      <c r="E86" s="148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I86+I85+I83+I81+I64+I62+I54+I32+I30+I29+I26+I18+I17+I16</f>
        <v>114813.52033453334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15.75" customHeight="1">
      <c r="A89" s="32">
        <v>15</v>
      </c>
      <c r="B89" s="51" t="s">
        <v>80</v>
      </c>
      <c r="C89" s="52" t="s">
        <v>106</v>
      </c>
      <c r="D89" s="14"/>
      <c r="E89" s="18"/>
      <c r="F89" s="13">
        <v>8</v>
      </c>
      <c r="G89" s="36">
        <v>207.55</v>
      </c>
      <c r="H89" s="86">
        <f>G89*F89/1000</f>
        <v>1.6604000000000001</v>
      </c>
      <c r="I89" s="13">
        <f>G89*1</f>
        <v>207.55</v>
      </c>
    </row>
    <row r="90" spans="1:9" ht="33" customHeight="1">
      <c r="A90" s="32">
        <v>16</v>
      </c>
      <c r="B90" s="51" t="s">
        <v>211</v>
      </c>
      <c r="C90" s="106" t="s">
        <v>106</v>
      </c>
      <c r="D90" s="14"/>
      <c r="E90" s="18"/>
      <c r="F90" s="13">
        <v>47.5</v>
      </c>
      <c r="G90" s="36">
        <v>909</v>
      </c>
      <c r="H90" s="86">
        <f t="shared" ref="H90:H92" si="8">G90*F90/1000</f>
        <v>43.177500000000002</v>
      </c>
      <c r="I90" s="13">
        <f>G90*2</f>
        <v>1818</v>
      </c>
    </row>
    <row r="91" spans="1:9" ht="31.5" customHeight="1">
      <c r="A91" s="32">
        <v>17</v>
      </c>
      <c r="B91" s="51" t="s">
        <v>212</v>
      </c>
      <c r="C91" s="52" t="s">
        <v>79</v>
      </c>
      <c r="D91" s="39"/>
      <c r="E91" s="17"/>
      <c r="F91" s="36">
        <v>13</v>
      </c>
      <c r="G91" s="36">
        <v>897.29</v>
      </c>
      <c r="H91" s="102">
        <f t="shared" si="8"/>
        <v>11.664770000000001</v>
      </c>
      <c r="I91" s="13">
        <f>G91*0.5</f>
        <v>448.64499999999998</v>
      </c>
    </row>
    <row r="92" spans="1:9" ht="15.75" customHeight="1">
      <c r="A92" s="32">
        <v>18</v>
      </c>
      <c r="B92" s="51" t="s">
        <v>214</v>
      </c>
      <c r="C92" s="52" t="s">
        <v>106</v>
      </c>
      <c r="D92" s="14"/>
      <c r="E92" s="18"/>
      <c r="F92" s="13">
        <v>1080</v>
      </c>
      <c r="G92" s="36">
        <v>235</v>
      </c>
      <c r="H92" s="86">
        <f t="shared" si="8"/>
        <v>253.8</v>
      </c>
      <c r="I92" s="13">
        <f>G92*1</f>
        <v>235</v>
      </c>
    </row>
    <row r="93" spans="1:9" ht="15.75" customHeight="1">
      <c r="A93" s="32">
        <v>19</v>
      </c>
      <c r="B93" s="51" t="s">
        <v>241</v>
      </c>
      <c r="C93" s="52" t="s">
        <v>106</v>
      </c>
      <c r="D93" s="47"/>
      <c r="E93" s="13"/>
      <c r="F93" s="13">
        <f>(3+4+15+15+15+5+20+20+15+10+15+15+7+6+15+3)/3</f>
        <v>61</v>
      </c>
      <c r="G93" s="36">
        <v>86</v>
      </c>
      <c r="H93" s="86">
        <f>G93*F93/1000</f>
        <v>5.2460000000000004</v>
      </c>
      <c r="I93" s="13">
        <f>G93*1</f>
        <v>86</v>
      </c>
    </row>
    <row r="94" spans="1:9" ht="18" customHeight="1">
      <c r="A94" s="32">
        <v>20</v>
      </c>
      <c r="B94" s="51" t="s">
        <v>242</v>
      </c>
      <c r="C94" s="52" t="s">
        <v>106</v>
      </c>
      <c r="D94" s="47"/>
      <c r="E94" s="13"/>
      <c r="F94" s="13">
        <v>26</v>
      </c>
      <c r="G94" s="36">
        <v>62</v>
      </c>
      <c r="H94" s="86">
        <f t="shared" ref="H94" si="9">G94*F94/1000</f>
        <v>1.6120000000000001</v>
      </c>
      <c r="I94" s="13">
        <f>G94*1</f>
        <v>62</v>
      </c>
    </row>
    <row r="95" spans="1:9" ht="17.25" customHeight="1">
      <c r="A95" s="32">
        <v>21</v>
      </c>
      <c r="B95" s="51" t="s">
        <v>243</v>
      </c>
      <c r="C95" s="52" t="s">
        <v>106</v>
      </c>
      <c r="D95" s="14"/>
      <c r="E95" s="18"/>
      <c r="F95" s="13">
        <v>41.5</v>
      </c>
      <c r="G95" s="36">
        <v>21</v>
      </c>
      <c r="H95" s="86">
        <f>G95*F95/1000</f>
        <v>0.87150000000000005</v>
      </c>
      <c r="I95" s="13">
        <f>G95*2</f>
        <v>42</v>
      </c>
    </row>
    <row r="96" spans="1:9" ht="18.75" customHeight="1">
      <c r="A96" s="32">
        <v>22</v>
      </c>
      <c r="B96" s="51" t="s">
        <v>244</v>
      </c>
      <c r="C96" s="52" t="s">
        <v>106</v>
      </c>
      <c r="D96" s="103"/>
      <c r="E96" s="36"/>
      <c r="F96" s="36">
        <v>2</v>
      </c>
      <c r="G96" s="36">
        <v>126</v>
      </c>
      <c r="H96" s="102">
        <f t="shared" ref="H96:H100" si="10">G96*F96/1000</f>
        <v>0.252</v>
      </c>
      <c r="I96" s="13">
        <f>G96*1</f>
        <v>126</v>
      </c>
    </row>
    <row r="97" spans="1:9" ht="18" customHeight="1">
      <c r="A97" s="32">
        <v>23</v>
      </c>
      <c r="B97" s="51" t="s">
        <v>245</v>
      </c>
      <c r="C97" s="52" t="s">
        <v>106</v>
      </c>
      <c r="D97" s="103"/>
      <c r="E97" s="36"/>
      <c r="F97" s="36">
        <v>4</v>
      </c>
      <c r="G97" s="36">
        <v>48</v>
      </c>
      <c r="H97" s="102">
        <f t="shared" si="10"/>
        <v>0.192</v>
      </c>
      <c r="I97" s="13">
        <f>G97*1</f>
        <v>48</v>
      </c>
    </row>
    <row r="98" spans="1:9" ht="15" customHeight="1">
      <c r="A98" s="32">
        <v>24</v>
      </c>
      <c r="B98" s="51" t="s">
        <v>203</v>
      </c>
      <c r="C98" s="52" t="s">
        <v>166</v>
      </c>
      <c r="D98" s="103"/>
      <c r="E98" s="36"/>
      <c r="F98" s="36">
        <v>1</v>
      </c>
      <c r="G98" s="36">
        <v>273</v>
      </c>
      <c r="H98" s="102">
        <f t="shared" si="10"/>
        <v>0.27300000000000002</v>
      </c>
      <c r="I98" s="13">
        <f>G98*11</f>
        <v>3003</v>
      </c>
    </row>
    <row r="99" spans="1:9" ht="15.75" customHeight="1">
      <c r="A99" s="32">
        <v>25</v>
      </c>
      <c r="B99" s="51" t="s">
        <v>232</v>
      </c>
      <c r="C99" s="52" t="s">
        <v>233</v>
      </c>
      <c r="D99" s="39"/>
      <c r="E99" s="17"/>
      <c r="F99" s="104">
        <f>0.001</f>
        <v>1E-3</v>
      </c>
      <c r="G99" s="36">
        <v>45</v>
      </c>
      <c r="H99" s="105">
        <f t="shared" si="10"/>
        <v>4.4999999999999996E-5</v>
      </c>
      <c r="I99" s="13">
        <f>G99*100</f>
        <v>4500</v>
      </c>
    </row>
    <row r="100" spans="1:9" ht="15.75" customHeight="1">
      <c r="A100" s="32">
        <v>26</v>
      </c>
      <c r="B100" s="51" t="s">
        <v>246</v>
      </c>
      <c r="C100" s="106" t="s">
        <v>106</v>
      </c>
      <c r="D100" s="39"/>
      <c r="E100" s="17"/>
      <c r="F100" s="36">
        <v>1</v>
      </c>
      <c r="G100" s="36">
        <v>27.36</v>
      </c>
      <c r="H100" s="102">
        <f t="shared" si="10"/>
        <v>2.7359999999999999E-2</v>
      </c>
      <c r="I100" s="13">
        <f>G100*1</f>
        <v>27.36</v>
      </c>
    </row>
    <row r="101" spans="1:9" ht="15.75" customHeight="1">
      <c r="A101" s="32">
        <v>27</v>
      </c>
      <c r="B101" s="192" t="s">
        <v>237</v>
      </c>
      <c r="C101" s="106" t="s">
        <v>106</v>
      </c>
      <c r="D101" s="39"/>
      <c r="E101" s="17"/>
      <c r="F101" s="36"/>
      <c r="G101" s="36">
        <v>98</v>
      </c>
      <c r="H101" s="102"/>
      <c r="I101" s="13">
        <f>G101*1</f>
        <v>98</v>
      </c>
    </row>
    <row r="102" spans="1:9" ht="31.5" customHeight="1">
      <c r="A102" s="32">
        <v>28</v>
      </c>
      <c r="B102" s="51" t="s">
        <v>221</v>
      </c>
      <c r="C102" s="106" t="s">
        <v>166</v>
      </c>
      <c r="D102" s="39" t="s">
        <v>247</v>
      </c>
      <c r="E102" s="17"/>
      <c r="F102" s="36"/>
      <c r="G102" s="36">
        <v>1367</v>
      </c>
      <c r="H102" s="102"/>
      <c r="I102" s="13">
        <f>G102*8</f>
        <v>10936</v>
      </c>
    </row>
    <row r="103" spans="1:9" ht="30" customHeight="1">
      <c r="A103" s="32">
        <v>29</v>
      </c>
      <c r="B103" s="51" t="s">
        <v>143</v>
      </c>
      <c r="C103" s="52" t="s">
        <v>144</v>
      </c>
      <c r="D103" s="39"/>
      <c r="E103" s="17"/>
      <c r="F103" s="36"/>
      <c r="G103" s="36">
        <v>59.21</v>
      </c>
      <c r="H103" s="102"/>
      <c r="I103" s="13">
        <f>G103*1</f>
        <v>59.21</v>
      </c>
    </row>
    <row r="104" spans="1:9" ht="32.25" customHeight="1">
      <c r="A104" s="32">
        <v>30</v>
      </c>
      <c r="B104" s="51" t="s">
        <v>133</v>
      </c>
      <c r="C104" s="52" t="s">
        <v>37</v>
      </c>
      <c r="D104" s="39"/>
      <c r="E104" s="17"/>
      <c r="F104" s="36"/>
      <c r="G104" s="36">
        <v>3914.31</v>
      </c>
      <c r="H104" s="102"/>
      <c r="I104" s="13">
        <f>G104*0.01</f>
        <v>39.143099999999997</v>
      </c>
    </row>
    <row r="105" spans="1:9" ht="15.75" customHeight="1">
      <c r="A105" s="32">
        <v>31</v>
      </c>
      <c r="B105" s="51" t="s">
        <v>224</v>
      </c>
      <c r="C105" s="52" t="s">
        <v>82</v>
      </c>
      <c r="D105" s="39"/>
      <c r="E105" s="17"/>
      <c r="F105" s="36"/>
      <c r="G105" s="36">
        <v>214.07</v>
      </c>
      <c r="H105" s="102"/>
      <c r="I105" s="13">
        <f>G105*3</f>
        <v>642.21</v>
      </c>
    </row>
    <row r="106" spans="1:9" ht="15.75" customHeight="1">
      <c r="A106" s="32"/>
      <c r="B106" s="45" t="s">
        <v>51</v>
      </c>
      <c r="C106" s="41"/>
      <c r="D106" s="48"/>
      <c r="E106" s="41">
        <v>1</v>
      </c>
      <c r="F106" s="41"/>
      <c r="G106" s="41"/>
      <c r="H106" s="41"/>
      <c r="I106" s="34">
        <f>SUM(I89:I105)</f>
        <v>22378.1181</v>
      </c>
    </row>
    <row r="107" spans="1:9">
      <c r="A107" s="32"/>
      <c r="B107" s="47" t="s">
        <v>77</v>
      </c>
      <c r="C107" s="15"/>
      <c r="D107" s="15"/>
      <c r="E107" s="42"/>
      <c r="F107" s="42"/>
      <c r="G107" s="43"/>
      <c r="H107" s="43"/>
      <c r="I107" s="17">
        <v>0</v>
      </c>
    </row>
    <row r="108" spans="1:9">
      <c r="A108" s="49"/>
      <c r="B108" s="46" t="s">
        <v>158</v>
      </c>
      <c r="C108" s="35"/>
      <c r="D108" s="35"/>
      <c r="E108" s="35"/>
      <c r="F108" s="35"/>
      <c r="G108" s="35"/>
      <c r="H108" s="35"/>
      <c r="I108" s="44">
        <f>I87+I106</f>
        <v>137191.63843453335</v>
      </c>
    </row>
    <row r="109" spans="1:9" ht="15.75">
      <c r="A109" s="222" t="s">
        <v>283</v>
      </c>
      <c r="B109" s="222"/>
      <c r="C109" s="222"/>
      <c r="D109" s="222"/>
      <c r="E109" s="222"/>
      <c r="F109" s="222"/>
      <c r="G109" s="222"/>
      <c r="H109" s="222"/>
      <c r="I109" s="222"/>
    </row>
    <row r="110" spans="1:9" ht="15.75" customHeight="1">
      <c r="A110" s="58"/>
      <c r="B110" s="223" t="s">
        <v>284</v>
      </c>
      <c r="C110" s="223"/>
      <c r="D110" s="223"/>
      <c r="E110" s="223"/>
      <c r="F110" s="223"/>
      <c r="G110" s="223"/>
      <c r="H110" s="70"/>
      <c r="I110" s="3"/>
    </row>
    <row r="111" spans="1:9">
      <c r="A111" s="64"/>
      <c r="B111" s="224" t="s">
        <v>6</v>
      </c>
      <c r="C111" s="224"/>
      <c r="D111" s="224"/>
      <c r="E111" s="224"/>
      <c r="F111" s="224"/>
      <c r="G111" s="224"/>
      <c r="H111" s="27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225" t="s">
        <v>7</v>
      </c>
      <c r="B113" s="225"/>
      <c r="C113" s="225"/>
      <c r="D113" s="225"/>
      <c r="E113" s="225"/>
      <c r="F113" s="225"/>
      <c r="G113" s="225"/>
      <c r="H113" s="225"/>
      <c r="I113" s="225"/>
    </row>
    <row r="114" spans="1:9" ht="15.75">
      <c r="A114" s="225" t="s">
        <v>8</v>
      </c>
      <c r="B114" s="225"/>
      <c r="C114" s="225"/>
      <c r="D114" s="225"/>
      <c r="E114" s="225"/>
      <c r="F114" s="225"/>
      <c r="G114" s="225"/>
      <c r="H114" s="225"/>
      <c r="I114" s="225"/>
    </row>
    <row r="115" spans="1:9" ht="15.75">
      <c r="A115" s="226" t="s">
        <v>60</v>
      </c>
      <c r="B115" s="226"/>
      <c r="C115" s="226"/>
      <c r="D115" s="226"/>
      <c r="E115" s="226"/>
      <c r="F115" s="226"/>
      <c r="G115" s="226"/>
      <c r="H115" s="226"/>
      <c r="I115" s="226"/>
    </row>
    <row r="116" spans="1:9" ht="15.75">
      <c r="A116" s="11"/>
    </row>
    <row r="117" spans="1:9" ht="15.75">
      <c r="A117" s="227" t="s">
        <v>9</v>
      </c>
      <c r="B117" s="227"/>
      <c r="C117" s="227"/>
      <c r="D117" s="227"/>
      <c r="E117" s="227"/>
      <c r="F117" s="227"/>
      <c r="G117" s="227"/>
      <c r="H117" s="227"/>
      <c r="I117" s="227"/>
    </row>
    <row r="118" spans="1:9" ht="15.75" customHeight="1">
      <c r="A118" s="4"/>
    </row>
    <row r="119" spans="1:9" ht="15.75" customHeight="1">
      <c r="B119" s="61" t="s">
        <v>10</v>
      </c>
      <c r="C119" s="228" t="s">
        <v>135</v>
      </c>
      <c r="D119" s="228"/>
      <c r="E119" s="228"/>
      <c r="F119" s="68"/>
      <c r="I119" s="63"/>
    </row>
    <row r="120" spans="1:9" ht="15.75" customHeight="1">
      <c r="A120" s="64"/>
      <c r="C120" s="224" t="s">
        <v>11</v>
      </c>
      <c r="D120" s="224"/>
      <c r="E120" s="224"/>
      <c r="F120" s="27"/>
      <c r="I120" s="62" t="s">
        <v>12</v>
      </c>
    </row>
    <row r="121" spans="1:9" ht="15.75" customHeight="1">
      <c r="A121" s="28"/>
      <c r="C121" s="12"/>
      <c r="D121" s="12"/>
      <c r="G121" s="12"/>
      <c r="H121" s="12"/>
    </row>
    <row r="122" spans="1:9" ht="15.75">
      <c r="B122" s="61" t="s">
        <v>13</v>
      </c>
      <c r="C122" s="229"/>
      <c r="D122" s="229"/>
      <c r="E122" s="229"/>
      <c r="F122" s="69"/>
      <c r="I122" s="63"/>
    </row>
    <row r="123" spans="1:9">
      <c r="A123" s="64"/>
      <c r="C123" s="218" t="s">
        <v>11</v>
      </c>
      <c r="D123" s="218"/>
      <c r="E123" s="218"/>
      <c r="F123" s="64"/>
      <c r="I123" s="62" t="s">
        <v>12</v>
      </c>
    </row>
    <row r="124" spans="1:9" ht="15.75">
      <c r="A124" s="4" t="s">
        <v>14</v>
      </c>
    </row>
    <row r="125" spans="1:9">
      <c r="A125" s="233" t="s">
        <v>15</v>
      </c>
      <c r="B125" s="233"/>
      <c r="C125" s="233"/>
      <c r="D125" s="233"/>
      <c r="E125" s="233"/>
      <c r="F125" s="233"/>
      <c r="G125" s="233"/>
      <c r="H125" s="233"/>
      <c r="I125" s="233"/>
    </row>
    <row r="126" spans="1:9" ht="45" customHeight="1">
      <c r="A126" s="234" t="s">
        <v>16</v>
      </c>
      <c r="B126" s="234"/>
      <c r="C126" s="234"/>
      <c r="D126" s="234"/>
      <c r="E126" s="234"/>
      <c r="F126" s="234"/>
      <c r="G126" s="234"/>
      <c r="H126" s="234"/>
      <c r="I126" s="234"/>
    </row>
    <row r="127" spans="1:9" ht="30" customHeight="1">
      <c r="A127" s="234" t="s">
        <v>17</v>
      </c>
      <c r="B127" s="234"/>
      <c r="C127" s="234"/>
      <c r="D127" s="234"/>
      <c r="E127" s="234"/>
      <c r="F127" s="234"/>
      <c r="G127" s="234"/>
      <c r="H127" s="234"/>
      <c r="I127" s="234"/>
    </row>
    <row r="128" spans="1:9" ht="30" customHeight="1">
      <c r="A128" s="234" t="s">
        <v>21</v>
      </c>
      <c r="B128" s="234"/>
      <c r="C128" s="234"/>
      <c r="D128" s="234"/>
      <c r="E128" s="234"/>
      <c r="F128" s="234"/>
      <c r="G128" s="234"/>
      <c r="H128" s="234"/>
      <c r="I128" s="234"/>
    </row>
    <row r="129" spans="1:9" ht="15" customHeight="1">
      <c r="A129" s="234" t="s">
        <v>20</v>
      </c>
      <c r="B129" s="234"/>
      <c r="C129" s="234"/>
      <c r="D129" s="234"/>
      <c r="E129" s="234"/>
      <c r="F129" s="234"/>
      <c r="G129" s="234"/>
      <c r="H129" s="234"/>
      <c r="I129" s="234"/>
    </row>
  </sheetData>
  <autoFilter ref="I12:I59"/>
  <mergeCells count="29">
    <mergeCell ref="R64:U64"/>
    <mergeCell ref="A84:I84"/>
    <mergeCell ref="A3:I3"/>
    <mergeCell ref="A4:I4"/>
    <mergeCell ref="A5:I5"/>
    <mergeCell ref="A8:I8"/>
    <mergeCell ref="A10:I10"/>
    <mergeCell ref="A14:I14"/>
    <mergeCell ref="A115:I115"/>
    <mergeCell ref="A15:I15"/>
    <mergeCell ref="A27:I27"/>
    <mergeCell ref="A44:I44"/>
    <mergeCell ref="A55:I55"/>
    <mergeCell ref="A88:I88"/>
    <mergeCell ref="A109:I109"/>
    <mergeCell ref="B110:G110"/>
    <mergeCell ref="B111:G111"/>
    <mergeCell ref="A113:I113"/>
    <mergeCell ref="A114:I114"/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B29" sqref="B29:I3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153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262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43677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3" t="s">
        <v>27</v>
      </c>
      <c r="C31" s="114" t="s">
        <v>87</v>
      </c>
      <c r="D31" s="113" t="s">
        <v>53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146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>
        <v>14</v>
      </c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f>F50/2*G50</f>
        <v>4839.6373999999996</v>
      </c>
      <c r="J50" s="26"/>
      <c r="L50" s="19"/>
      <c r="M50" s="20"/>
      <c r="N50" s="21"/>
    </row>
    <row r="51" spans="1:22" ht="31.5" hidden="1" customHeight="1">
      <c r="A51" s="32">
        <v>15</v>
      </c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>F51/2*G51</f>
        <v>819.14699999999993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18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21">
        <v>8</v>
      </c>
      <c r="B54" s="113" t="s">
        <v>177</v>
      </c>
      <c r="C54" s="114" t="s">
        <v>106</v>
      </c>
      <c r="D54" s="113" t="s">
        <v>259</v>
      </c>
      <c r="E54" s="148">
        <v>5</v>
      </c>
      <c r="F54" s="149">
        <v>60</v>
      </c>
      <c r="G54" s="154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139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9</v>
      </c>
      <c r="B62" s="80" t="s">
        <v>132</v>
      </c>
      <c r="C62" s="81" t="s">
        <v>25</v>
      </c>
      <c r="D62" s="80" t="s">
        <v>259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customHeight="1">
      <c r="A64" s="32">
        <v>10</v>
      </c>
      <c r="B64" s="155" t="s">
        <v>46</v>
      </c>
      <c r="C64" s="156" t="s">
        <v>106</v>
      </c>
      <c r="D64" s="39" t="s">
        <v>263</v>
      </c>
      <c r="E64" s="17">
        <v>12</v>
      </c>
      <c r="F64" s="149">
        <v>12</v>
      </c>
      <c r="G64" s="36">
        <v>303.35000000000002</v>
      </c>
      <c r="H64" s="86">
        <f t="shared" ref="H64:H81" si="6">SUM(F64*G64/1000)</f>
        <v>3.6402000000000001</v>
      </c>
      <c r="I64" s="13">
        <f>G64*5</f>
        <v>1516.75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55" t="s">
        <v>47</v>
      </c>
      <c r="C65" s="156" t="s">
        <v>106</v>
      </c>
      <c r="D65" s="39" t="s">
        <v>172</v>
      </c>
      <c r="E65" s="17">
        <v>7</v>
      </c>
      <c r="F65" s="149">
        <v>7</v>
      </c>
      <c r="G65" s="36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32">
        <v>11</v>
      </c>
      <c r="B66" s="155" t="s">
        <v>48</v>
      </c>
      <c r="C66" s="167" t="s">
        <v>108</v>
      </c>
      <c r="D66" s="39"/>
      <c r="E66" s="148">
        <v>17600</v>
      </c>
      <c r="F66" s="37">
        <f>SUM(E66/100)</f>
        <v>176</v>
      </c>
      <c r="G66" s="36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customHeight="1">
      <c r="A67" s="32">
        <v>12</v>
      </c>
      <c r="B67" s="155" t="s">
        <v>49</v>
      </c>
      <c r="C67" s="156" t="s">
        <v>109</v>
      </c>
      <c r="D67" s="39"/>
      <c r="E67" s="148">
        <v>17600</v>
      </c>
      <c r="F67" s="36">
        <f>SUM(E67/1000)</f>
        <v>17.600000000000001</v>
      </c>
      <c r="G67" s="36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customHeight="1">
      <c r="A68" s="32">
        <v>13</v>
      </c>
      <c r="B68" s="155" t="s">
        <v>50</v>
      </c>
      <c r="C68" s="156" t="s">
        <v>75</v>
      </c>
      <c r="D68" s="39"/>
      <c r="E68" s="148">
        <v>4150</v>
      </c>
      <c r="F68" s="36">
        <f>SUM(E68/100)</f>
        <v>41.5</v>
      </c>
      <c r="G68" s="36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customHeight="1">
      <c r="A69" s="32">
        <v>14</v>
      </c>
      <c r="B69" s="189" t="s">
        <v>110</v>
      </c>
      <c r="C69" s="156" t="s">
        <v>33</v>
      </c>
      <c r="D69" s="39"/>
      <c r="E69" s="148">
        <v>13</v>
      </c>
      <c r="F69" s="36">
        <f>SUM(E69)</f>
        <v>13</v>
      </c>
      <c r="G69" s="36">
        <v>44.31</v>
      </c>
      <c r="H69" s="86">
        <f t="shared" si="6"/>
        <v>0.57602999999999993</v>
      </c>
      <c r="I69" s="13">
        <f t="shared" si="7"/>
        <v>576.03</v>
      </c>
    </row>
    <row r="70" spans="1:21" ht="15.75" customHeight="1">
      <c r="A70" s="32">
        <v>15</v>
      </c>
      <c r="B70" s="189" t="s">
        <v>111</v>
      </c>
      <c r="C70" s="156" t="s">
        <v>33</v>
      </c>
      <c r="D70" s="39"/>
      <c r="E70" s="148">
        <v>13</v>
      </c>
      <c r="F70" s="36">
        <f>SUM(E70)</f>
        <v>13</v>
      </c>
      <c r="G70" s="36">
        <v>47.79</v>
      </c>
      <c r="H70" s="86">
        <f t="shared" si="6"/>
        <v>0.62126999999999999</v>
      </c>
      <c r="I70" s="13">
        <f t="shared" si="7"/>
        <v>621.27</v>
      </c>
    </row>
    <row r="71" spans="1:21" ht="15.75" hidden="1" customHeight="1">
      <c r="A71" s="32"/>
      <c r="B71" s="39" t="s">
        <v>56</v>
      </c>
      <c r="C71" s="156" t="s">
        <v>57</v>
      </c>
      <c r="D71" s="39" t="s">
        <v>53</v>
      </c>
      <c r="E71" s="17">
        <v>3</v>
      </c>
      <c r="F71" s="149">
        <v>3</v>
      </c>
      <c r="G71" s="36">
        <v>68.040000000000006</v>
      </c>
      <c r="H71" s="86">
        <f t="shared" si="6"/>
        <v>0.20412</v>
      </c>
      <c r="I71" s="13">
        <f t="shared" si="7"/>
        <v>204.12</v>
      </c>
    </row>
    <row r="72" spans="1:21" ht="15.75" customHeight="1">
      <c r="A72" s="32"/>
      <c r="B72" s="175" t="s">
        <v>181</v>
      </c>
      <c r="C72" s="156"/>
      <c r="D72" s="39"/>
      <c r="E72" s="17"/>
      <c r="F72" s="111"/>
      <c r="G72" s="36"/>
      <c r="H72" s="86"/>
      <c r="I72" s="13"/>
    </row>
    <row r="73" spans="1:21" ht="32.25" customHeight="1">
      <c r="A73" s="32">
        <v>16</v>
      </c>
      <c r="B73" s="39" t="s">
        <v>182</v>
      </c>
      <c r="C73" s="158" t="s">
        <v>183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142</v>
      </c>
      <c r="I74" s="13"/>
    </row>
    <row r="75" spans="1:21" ht="15.75" customHeight="1">
      <c r="A75" s="32">
        <v>17</v>
      </c>
      <c r="B75" s="39" t="s">
        <v>71</v>
      </c>
      <c r="C75" s="156" t="s">
        <v>73</v>
      </c>
      <c r="D75" s="39" t="s">
        <v>145</v>
      </c>
      <c r="E75" s="17">
        <v>7</v>
      </c>
      <c r="F75" s="36">
        <f>E75/10</f>
        <v>0.7</v>
      </c>
      <c r="G75" s="36">
        <v>684.19</v>
      </c>
      <c r="H75" s="86">
        <f t="shared" si="6"/>
        <v>0.478933</v>
      </c>
      <c r="I75" s="13">
        <f>G75*0.1</f>
        <v>68.419000000000011</v>
      </c>
    </row>
    <row r="76" spans="1:21" ht="15.75" customHeight="1">
      <c r="A76" s="32">
        <v>18</v>
      </c>
      <c r="B76" s="39" t="s">
        <v>186</v>
      </c>
      <c r="C76" s="156" t="s">
        <v>185</v>
      </c>
      <c r="D76" s="39" t="s">
        <v>145</v>
      </c>
      <c r="E76" s="17">
        <v>4</v>
      </c>
      <c r="F76" s="36">
        <v>4</v>
      </c>
      <c r="G76" s="36">
        <v>136.19999999999999</v>
      </c>
      <c r="H76" s="86"/>
      <c r="I76" s="13">
        <f>G76*1</f>
        <v>136.19999999999999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5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19</v>
      </c>
      <c r="B79" s="39" t="s">
        <v>188</v>
      </c>
      <c r="C79" s="156" t="s">
        <v>106</v>
      </c>
      <c r="D79" s="39" t="s">
        <v>258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15.75" hidden="1" customHeight="1">
      <c r="A80" s="32"/>
      <c r="B80" s="89" t="s">
        <v>74</v>
      </c>
      <c r="C80" s="16"/>
      <c r="D80" s="14"/>
      <c r="E80" s="18"/>
      <c r="F80" s="13"/>
      <c r="G80" s="13" t="s">
        <v>142</v>
      </c>
      <c r="H80" s="86" t="s">
        <v>142</v>
      </c>
      <c r="I80" s="13"/>
    </row>
    <row r="81" spans="1:9" ht="15.75" hidden="1" customHeight="1">
      <c r="A81" s="32"/>
      <c r="B81" s="47" t="s">
        <v>147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6"/>
        <v>3.311328</v>
      </c>
      <c r="I81" s="13">
        <v>0</v>
      </c>
    </row>
    <row r="82" spans="1:9" ht="15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SUM(H57:H81)</f>
        <v>201.40668390000002</v>
      </c>
      <c r="I82" s="77"/>
    </row>
    <row r="83" spans="1:9" ht="15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140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20</v>
      </c>
      <c r="B85" s="113" t="s">
        <v>114</v>
      </c>
      <c r="C85" s="156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21</v>
      </c>
      <c r="B86" s="39" t="s">
        <v>76</v>
      </c>
      <c r="C86" s="156"/>
      <c r="D86" s="103"/>
      <c r="E86" s="148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I86+I85+I79+I76+I75+I73+I70+I69+I68+I67+I66+I64+I62+I54+I32+I30+I29+I26+I18+I17+I16</f>
        <v>289759.98933453334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15.75" customHeight="1">
      <c r="A89" s="32">
        <v>22</v>
      </c>
      <c r="B89" s="51" t="s">
        <v>264</v>
      </c>
      <c r="C89" s="52" t="s">
        <v>29</v>
      </c>
      <c r="D89" s="14"/>
      <c r="E89" s="18"/>
      <c r="F89" s="13">
        <v>8</v>
      </c>
      <c r="G89" s="36">
        <v>869.86</v>
      </c>
      <c r="H89" s="86">
        <f>G89*F89/1000</f>
        <v>6.9588799999999997</v>
      </c>
      <c r="I89" s="13">
        <f>G89*0.03</f>
        <v>26.095800000000001</v>
      </c>
    </row>
    <row r="90" spans="1:9" ht="18" customHeight="1">
      <c r="A90" s="32">
        <v>23</v>
      </c>
      <c r="B90" s="51" t="s">
        <v>203</v>
      </c>
      <c r="C90" s="52" t="s">
        <v>166</v>
      </c>
      <c r="D90" s="39"/>
      <c r="E90" s="17"/>
      <c r="F90" s="36">
        <v>13</v>
      </c>
      <c r="G90" s="36">
        <v>273</v>
      </c>
      <c r="H90" s="102">
        <f t="shared" ref="H90" si="8">G90*F90/1000</f>
        <v>3.5489999999999999</v>
      </c>
      <c r="I90" s="13">
        <f>G90*13</f>
        <v>3549</v>
      </c>
    </row>
    <row r="91" spans="1:9" ht="31.5" customHeight="1">
      <c r="A91" s="32">
        <v>24</v>
      </c>
      <c r="B91" s="51" t="s">
        <v>195</v>
      </c>
      <c r="C91" s="52" t="s">
        <v>145</v>
      </c>
      <c r="D91" s="39"/>
      <c r="E91" s="17"/>
      <c r="F91" s="36"/>
      <c r="G91" s="36">
        <v>561.86</v>
      </c>
      <c r="H91" s="102"/>
      <c r="I91" s="13">
        <f>G91*1</f>
        <v>561.86</v>
      </c>
    </row>
    <row r="92" spans="1:9" ht="18" customHeight="1">
      <c r="A92" s="32">
        <v>25</v>
      </c>
      <c r="B92" s="51" t="s">
        <v>218</v>
      </c>
      <c r="C92" s="52" t="s">
        <v>29</v>
      </c>
      <c r="D92" s="39"/>
      <c r="E92" s="17"/>
      <c r="F92" s="36"/>
      <c r="G92" s="36">
        <v>1160.81</v>
      </c>
      <c r="H92" s="102"/>
      <c r="I92" s="13">
        <f>G92*0.06</f>
        <v>69.648599999999988</v>
      </c>
    </row>
    <row r="93" spans="1:9" ht="29.25" customHeight="1">
      <c r="A93" s="32">
        <v>26</v>
      </c>
      <c r="B93" s="51" t="s">
        <v>219</v>
      </c>
      <c r="C93" s="106" t="s">
        <v>166</v>
      </c>
      <c r="D93" s="39" t="s">
        <v>273</v>
      </c>
      <c r="E93" s="17"/>
      <c r="F93" s="36"/>
      <c r="G93" s="36">
        <v>1465</v>
      </c>
      <c r="H93" s="102"/>
      <c r="I93" s="13">
        <f>G93*9.5</f>
        <v>13917.5</v>
      </c>
    </row>
    <row r="94" spans="1:9" ht="27.75" customHeight="1">
      <c r="A94" s="32">
        <v>27</v>
      </c>
      <c r="B94" s="51" t="s">
        <v>221</v>
      </c>
      <c r="C94" s="106" t="s">
        <v>166</v>
      </c>
      <c r="D94" s="39" t="s">
        <v>272</v>
      </c>
      <c r="E94" s="17"/>
      <c r="F94" s="36"/>
      <c r="G94" s="36">
        <v>1367</v>
      </c>
      <c r="H94" s="102"/>
      <c r="I94" s="13">
        <f>G94*6</f>
        <v>8202</v>
      </c>
    </row>
    <row r="95" spans="1:9" ht="31.5" customHeight="1">
      <c r="A95" s="32">
        <v>28</v>
      </c>
      <c r="B95" s="51" t="s">
        <v>265</v>
      </c>
      <c r="C95" s="52" t="s">
        <v>145</v>
      </c>
      <c r="D95" s="39"/>
      <c r="E95" s="17"/>
      <c r="F95" s="36"/>
      <c r="G95" s="36">
        <v>878.3</v>
      </c>
      <c r="H95" s="102"/>
      <c r="I95" s="13">
        <f>G95*1</f>
        <v>878.3</v>
      </c>
    </row>
    <row r="96" spans="1:9" ht="31.5" customHeight="1">
      <c r="A96" s="32">
        <v>29</v>
      </c>
      <c r="B96" s="51" t="s">
        <v>266</v>
      </c>
      <c r="C96" s="52" t="s">
        <v>79</v>
      </c>
      <c r="D96" s="39"/>
      <c r="E96" s="17"/>
      <c r="F96" s="36"/>
      <c r="G96" s="36">
        <v>1037.28</v>
      </c>
      <c r="H96" s="102"/>
      <c r="I96" s="13">
        <f>G96*1</f>
        <v>1037.28</v>
      </c>
    </row>
    <row r="97" spans="1:9" ht="18" customHeight="1">
      <c r="A97" s="32">
        <v>30</v>
      </c>
      <c r="B97" s="51" t="s">
        <v>190</v>
      </c>
      <c r="C97" s="52" t="s">
        <v>106</v>
      </c>
      <c r="D97" s="39"/>
      <c r="E97" s="17"/>
      <c r="F97" s="36"/>
      <c r="G97" s="36">
        <v>13</v>
      </c>
      <c r="H97" s="102"/>
      <c r="I97" s="13">
        <f>G97*1</f>
        <v>13</v>
      </c>
    </row>
    <row r="98" spans="1:9" ht="18" customHeight="1">
      <c r="A98" s="32">
        <v>31</v>
      </c>
      <c r="B98" s="51" t="s">
        <v>267</v>
      </c>
      <c r="C98" s="52" t="s">
        <v>106</v>
      </c>
      <c r="D98" s="39"/>
      <c r="E98" s="17"/>
      <c r="F98" s="36"/>
      <c r="G98" s="36">
        <v>218</v>
      </c>
      <c r="H98" s="102"/>
      <c r="I98" s="13">
        <f>G98*1</f>
        <v>218</v>
      </c>
    </row>
    <row r="99" spans="1:9" ht="18" customHeight="1">
      <c r="A99" s="32">
        <v>32</v>
      </c>
      <c r="B99" s="51" t="s">
        <v>268</v>
      </c>
      <c r="C99" s="52" t="s">
        <v>106</v>
      </c>
      <c r="D99" s="39"/>
      <c r="E99" s="17"/>
      <c r="F99" s="36"/>
      <c r="G99" s="36">
        <v>281</v>
      </c>
      <c r="H99" s="102"/>
      <c r="I99" s="13">
        <f>G99*1</f>
        <v>281</v>
      </c>
    </row>
    <row r="100" spans="1:9" ht="18" customHeight="1">
      <c r="A100" s="32">
        <v>33</v>
      </c>
      <c r="B100" s="51" t="s">
        <v>269</v>
      </c>
      <c r="C100" s="52" t="s">
        <v>106</v>
      </c>
      <c r="D100" s="39"/>
      <c r="E100" s="17"/>
      <c r="F100" s="36"/>
      <c r="G100" s="36">
        <v>40.299999999999997</v>
      </c>
      <c r="H100" s="102"/>
      <c r="I100" s="13">
        <f>G100*2</f>
        <v>80.599999999999994</v>
      </c>
    </row>
    <row r="101" spans="1:9" ht="18" customHeight="1">
      <c r="A101" s="32">
        <v>34</v>
      </c>
      <c r="B101" s="51" t="s">
        <v>270</v>
      </c>
      <c r="C101" s="52" t="s">
        <v>79</v>
      </c>
      <c r="D101" s="39" t="s">
        <v>271</v>
      </c>
      <c r="E101" s="17"/>
      <c r="F101" s="36"/>
      <c r="G101" s="36">
        <v>271</v>
      </c>
      <c r="H101" s="102"/>
      <c r="I101" s="13">
        <f>G101*4</f>
        <v>1084</v>
      </c>
    </row>
    <row r="102" spans="1:9" ht="18" customHeight="1">
      <c r="A102" s="32">
        <v>35</v>
      </c>
      <c r="B102" s="51" t="s">
        <v>224</v>
      </c>
      <c r="C102" s="52" t="s">
        <v>82</v>
      </c>
      <c r="D102" s="39"/>
      <c r="E102" s="17"/>
      <c r="F102" s="36"/>
      <c r="G102" s="127">
        <v>214.07</v>
      </c>
      <c r="H102" s="102"/>
      <c r="I102" s="13">
        <f>G102*1</f>
        <v>214.07</v>
      </c>
    </row>
    <row r="103" spans="1:9" ht="15.75" customHeight="1">
      <c r="A103" s="32"/>
      <c r="B103" s="45" t="s">
        <v>51</v>
      </c>
      <c r="C103" s="41"/>
      <c r="D103" s="48"/>
      <c r="E103" s="41">
        <v>1</v>
      </c>
      <c r="F103" s="41"/>
      <c r="G103" s="41"/>
      <c r="H103" s="41"/>
      <c r="I103" s="34">
        <f>SUM(I89:I102)</f>
        <v>30132.354399999997</v>
      </c>
    </row>
    <row r="104" spans="1:9">
      <c r="A104" s="32"/>
      <c r="B104" s="47" t="s">
        <v>77</v>
      </c>
      <c r="C104" s="15"/>
      <c r="D104" s="15"/>
      <c r="E104" s="42"/>
      <c r="F104" s="42"/>
      <c r="G104" s="43"/>
      <c r="H104" s="43"/>
      <c r="I104" s="17">
        <v>0</v>
      </c>
    </row>
    <row r="105" spans="1:9">
      <c r="A105" s="49"/>
      <c r="B105" s="46" t="s">
        <v>158</v>
      </c>
      <c r="C105" s="35"/>
      <c r="D105" s="35"/>
      <c r="E105" s="35"/>
      <c r="F105" s="35"/>
      <c r="G105" s="35"/>
      <c r="H105" s="35"/>
      <c r="I105" s="44">
        <f>I87+I103</f>
        <v>319892.34373453335</v>
      </c>
    </row>
    <row r="106" spans="1:9" ht="15.75">
      <c r="A106" s="222" t="s">
        <v>285</v>
      </c>
      <c r="B106" s="222"/>
      <c r="C106" s="222"/>
      <c r="D106" s="222"/>
      <c r="E106" s="222"/>
      <c r="F106" s="222"/>
      <c r="G106" s="222"/>
      <c r="H106" s="222"/>
      <c r="I106" s="222"/>
    </row>
    <row r="107" spans="1:9" ht="15.75" customHeight="1">
      <c r="A107" s="58"/>
      <c r="B107" s="223" t="s">
        <v>286</v>
      </c>
      <c r="C107" s="223"/>
      <c r="D107" s="223"/>
      <c r="E107" s="223"/>
      <c r="F107" s="223"/>
      <c r="G107" s="223"/>
      <c r="H107" s="70"/>
      <c r="I107" s="3"/>
    </row>
    <row r="108" spans="1:9">
      <c r="A108" s="64"/>
      <c r="B108" s="224" t="s">
        <v>6</v>
      </c>
      <c r="C108" s="224"/>
      <c r="D108" s="224"/>
      <c r="E108" s="224"/>
      <c r="F108" s="224"/>
      <c r="G108" s="224"/>
      <c r="H108" s="27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225" t="s">
        <v>7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15.75">
      <c r="A111" s="225" t="s">
        <v>8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>
      <c r="A112" s="226" t="s">
        <v>60</v>
      </c>
      <c r="B112" s="226"/>
      <c r="C112" s="226"/>
      <c r="D112" s="226"/>
      <c r="E112" s="226"/>
      <c r="F112" s="226"/>
      <c r="G112" s="226"/>
      <c r="H112" s="226"/>
      <c r="I112" s="226"/>
    </row>
    <row r="113" spans="1:9" ht="15.75">
      <c r="A113" s="11"/>
    </row>
    <row r="114" spans="1:9" ht="15.75">
      <c r="A114" s="227" t="s">
        <v>9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15.75" customHeight="1">
      <c r="A115" s="4"/>
    </row>
    <row r="116" spans="1:9" ht="15.75" customHeight="1">
      <c r="B116" s="61" t="s">
        <v>10</v>
      </c>
      <c r="C116" s="228" t="s">
        <v>135</v>
      </c>
      <c r="D116" s="228"/>
      <c r="E116" s="228"/>
      <c r="F116" s="68"/>
      <c r="I116" s="63"/>
    </row>
    <row r="117" spans="1:9" ht="15.75" customHeight="1">
      <c r="A117" s="64"/>
      <c r="C117" s="224" t="s">
        <v>11</v>
      </c>
      <c r="D117" s="224"/>
      <c r="E117" s="224"/>
      <c r="F117" s="27"/>
      <c r="I117" s="62" t="s">
        <v>12</v>
      </c>
    </row>
    <row r="118" spans="1:9" ht="15.75" customHeight="1">
      <c r="A118" s="28"/>
      <c r="C118" s="12"/>
      <c r="D118" s="12"/>
      <c r="G118" s="12"/>
      <c r="H118" s="12"/>
    </row>
    <row r="119" spans="1:9" ht="15.75">
      <c r="B119" s="61" t="s">
        <v>13</v>
      </c>
      <c r="C119" s="229"/>
      <c r="D119" s="229"/>
      <c r="E119" s="229"/>
      <c r="F119" s="69"/>
      <c r="I119" s="63"/>
    </row>
    <row r="120" spans="1:9">
      <c r="A120" s="64"/>
      <c r="C120" s="218" t="s">
        <v>11</v>
      </c>
      <c r="D120" s="218"/>
      <c r="E120" s="218"/>
      <c r="F120" s="64"/>
      <c r="I120" s="62" t="s">
        <v>12</v>
      </c>
    </row>
    <row r="121" spans="1:9" ht="15.75">
      <c r="A121" s="4" t="s">
        <v>14</v>
      </c>
    </row>
    <row r="122" spans="1:9">
      <c r="A122" s="233" t="s">
        <v>15</v>
      </c>
      <c r="B122" s="233"/>
      <c r="C122" s="233"/>
      <c r="D122" s="233"/>
      <c r="E122" s="233"/>
      <c r="F122" s="233"/>
      <c r="G122" s="233"/>
      <c r="H122" s="233"/>
      <c r="I122" s="233"/>
    </row>
    <row r="123" spans="1:9" ht="45" customHeight="1">
      <c r="A123" s="234" t="s">
        <v>16</v>
      </c>
      <c r="B123" s="234"/>
      <c r="C123" s="234"/>
      <c r="D123" s="234"/>
      <c r="E123" s="234"/>
      <c r="F123" s="234"/>
      <c r="G123" s="234"/>
      <c r="H123" s="234"/>
      <c r="I123" s="234"/>
    </row>
    <row r="124" spans="1:9" ht="30" customHeight="1">
      <c r="A124" s="234" t="s">
        <v>17</v>
      </c>
      <c r="B124" s="234"/>
      <c r="C124" s="234"/>
      <c r="D124" s="234"/>
      <c r="E124" s="234"/>
      <c r="F124" s="234"/>
      <c r="G124" s="234"/>
      <c r="H124" s="234"/>
      <c r="I124" s="234"/>
    </row>
    <row r="125" spans="1:9" ht="30" customHeight="1">
      <c r="A125" s="234" t="s">
        <v>21</v>
      </c>
      <c r="B125" s="234"/>
      <c r="C125" s="234"/>
      <c r="D125" s="234"/>
      <c r="E125" s="234"/>
      <c r="F125" s="234"/>
      <c r="G125" s="234"/>
      <c r="H125" s="234"/>
      <c r="I125" s="234"/>
    </row>
    <row r="126" spans="1:9" ht="15" customHeight="1">
      <c r="A126" s="234" t="s">
        <v>20</v>
      </c>
      <c r="B126" s="234"/>
      <c r="C126" s="234"/>
      <c r="D126" s="234"/>
      <c r="E126" s="234"/>
      <c r="F126" s="234"/>
      <c r="G126" s="234"/>
      <c r="H126" s="234"/>
      <c r="I126" s="234"/>
    </row>
  </sheetData>
  <autoFilter ref="I12:I59"/>
  <mergeCells count="29">
    <mergeCell ref="R64:U64"/>
    <mergeCell ref="A84:I84"/>
    <mergeCell ref="A3:I3"/>
    <mergeCell ref="A4:I4"/>
    <mergeCell ref="A5:I5"/>
    <mergeCell ref="A8:I8"/>
    <mergeCell ref="A10:I10"/>
    <mergeCell ref="A14:I14"/>
    <mergeCell ref="A112:I112"/>
    <mergeCell ref="A15:I15"/>
    <mergeCell ref="A27:I27"/>
    <mergeCell ref="A44:I44"/>
    <mergeCell ref="A55:I55"/>
    <mergeCell ref="A88:I88"/>
    <mergeCell ref="A106:I106"/>
    <mergeCell ref="B107:G107"/>
    <mergeCell ref="B108:G108"/>
    <mergeCell ref="A110:I110"/>
    <mergeCell ref="A111:I111"/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7"/>
  <sheetViews>
    <sheetView workbookViewId="0">
      <selection activeCell="B54" sqref="B54:I5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274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43708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3" t="s">
        <v>27</v>
      </c>
      <c r="C31" s="114" t="s">
        <v>87</v>
      </c>
      <c r="D31" s="113" t="s">
        <v>53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146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14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21">
        <v>8</v>
      </c>
      <c r="B54" s="113" t="s">
        <v>177</v>
      </c>
      <c r="C54" s="114" t="s">
        <v>106</v>
      </c>
      <c r="D54" s="113" t="s">
        <v>259</v>
      </c>
      <c r="E54" s="148">
        <v>5</v>
      </c>
      <c r="F54" s="149">
        <v>60</v>
      </c>
      <c r="G54" s="154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139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>
        <v>9</v>
      </c>
      <c r="B60" s="107" t="s">
        <v>179</v>
      </c>
      <c r="C60" s="108" t="s">
        <v>180</v>
      </c>
      <c r="D60" s="107" t="s">
        <v>295</v>
      </c>
      <c r="E60" s="109"/>
      <c r="F60" s="112">
        <v>5</v>
      </c>
      <c r="G60" s="36">
        <v>1645</v>
      </c>
      <c r="H60" s="84"/>
      <c r="I60" s="13">
        <f>G60*3</f>
        <v>4935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10</v>
      </c>
      <c r="B63" s="80" t="s">
        <v>132</v>
      </c>
      <c r="C63" s="81" t="s">
        <v>25</v>
      </c>
      <c r="D63" s="80" t="s">
        <v>30</v>
      </c>
      <c r="E63" s="82">
        <v>394</v>
      </c>
      <c r="F63" s="85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11</v>
      </c>
      <c r="B65" s="155" t="s">
        <v>46</v>
      </c>
      <c r="C65" s="156" t="s">
        <v>106</v>
      </c>
      <c r="D65" s="39" t="s">
        <v>145</v>
      </c>
      <c r="E65" s="17">
        <v>12</v>
      </c>
      <c r="F65" s="149">
        <v>12</v>
      </c>
      <c r="G65" s="36">
        <v>303.35000000000002</v>
      </c>
      <c r="H65" s="86">
        <f t="shared" ref="H65" si="6">SUM(F65*G65/1000)</f>
        <v>3.6402000000000001</v>
      </c>
      <c r="I65" s="13">
        <f>G65*1</f>
        <v>303.35000000000002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ref="H66:H78" si="7">SUM(F66*G66/1000)</f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7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7"/>
        <v>4.4505465599999994</v>
      </c>
      <c r="I68" s="13">
        <f t="shared" ref="I68:I72" si="8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7"/>
        <v>94.395665000000008</v>
      </c>
      <c r="I69" s="13">
        <f t="shared" si="8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7"/>
        <v>2.6512199999999999</v>
      </c>
      <c r="I70" s="13">
        <f t="shared" si="8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7"/>
        <v>2.4733800000000001</v>
      </c>
      <c r="I71" s="13">
        <f t="shared" si="8"/>
        <v>2473.38</v>
      </c>
    </row>
    <row r="72" spans="1:21" ht="15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7"/>
        <v>0.24940000000000001</v>
      </c>
      <c r="I72" s="13">
        <f t="shared" si="8"/>
        <v>249.4</v>
      </c>
    </row>
    <row r="73" spans="1:21" ht="15.75" hidden="1" customHeight="1">
      <c r="A73" s="32"/>
      <c r="B73" s="59" t="s">
        <v>70</v>
      </c>
      <c r="C73" s="16"/>
      <c r="D73" s="14"/>
      <c r="E73" s="18"/>
      <c r="F73" s="13"/>
      <c r="G73" s="13"/>
      <c r="H73" s="86" t="s">
        <v>142</v>
      </c>
      <c r="I73" s="13"/>
    </row>
    <row r="74" spans="1:21" ht="15.75" hidden="1" customHeight="1">
      <c r="A74" s="32">
        <v>17</v>
      </c>
      <c r="B74" s="14" t="s">
        <v>71</v>
      </c>
      <c r="C74" s="16" t="s">
        <v>73</v>
      </c>
      <c r="D74" s="14"/>
      <c r="E74" s="18">
        <v>10</v>
      </c>
      <c r="F74" s="13">
        <v>1</v>
      </c>
      <c r="G74" s="13">
        <v>501.62</v>
      </c>
      <c r="H74" s="86">
        <f t="shared" si="7"/>
        <v>0.50161999999999995</v>
      </c>
      <c r="I74" s="13">
        <f>G74*0.1</f>
        <v>50.162000000000006</v>
      </c>
    </row>
    <row r="75" spans="1:21" ht="15.75" hidden="1" customHeight="1">
      <c r="A75" s="32"/>
      <c r="B75" s="14" t="s">
        <v>72</v>
      </c>
      <c r="C75" s="16" t="s">
        <v>31</v>
      </c>
      <c r="D75" s="14"/>
      <c r="E75" s="18">
        <v>3</v>
      </c>
      <c r="F75" s="66">
        <v>3</v>
      </c>
      <c r="G75" s="13">
        <v>852.99</v>
      </c>
      <c r="H75" s="86">
        <f>F75*G75/1000</f>
        <v>2.5589700000000004</v>
      </c>
      <c r="I75" s="13">
        <v>0</v>
      </c>
    </row>
    <row r="76" spans="1:21" ht="15.75" hidden="1" customHeight="1">
      <c r="A76" s="32"/>
      <c r="B76" s="14" t="s">
        <v>113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86">
        <f>G76*F76/1000</f>
        <v>0.35851</v>
      </c>
      <c r="I76" s="13">
        <v>0</v>
      </c>
    </row>
    <row r="77" spans="1:21" ht="15.75" hidden="1" customHeight="1">
      <c r="A77" s="32"/>
      <c r="B77" s="89" t="s">
        <v>74</v>
      </c>
      <c r="C77" s="16"/>
      <c r="D77" s="14"/>
      <c r="E77" s="18"/>
      <c r="F77" s="13"/>
      <c r="G77" s="13" t="s">
        <v>142</v>
      </c>
      <c r="H77" s="86" t="s">
        <v>142</v>
      </c>
      <c r="I77" s="13"/>
    </row>
    <row r="78" spans="1:21" ht="15.75" hidden="1" customHeight="1">
      <c r="A78" s="32"/>
      <c r="B78" s="47" t="s">
        <v>147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7"/>
        <v>3.311328</v>
      </c>
      <c r="I78" s="13">
        <v>0</v>
      </c>
    </row>
    <row r="79" spans="1:21" ht="15.75" hidden="1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189.10164405999998</v>
      </c>
      <c r="I79" s="77"/>
    </row>
    <row r="80" spans="1:21" ht="15.75" hidden="1" customHeight="1">
      <c r="A80" s="32"/>
      <c r="B80" s="94" t="s">
        <v>112</v>
      </c>
      <c r="C80" s="23"/>
      <c r="D80" s="22"/>
      <c r="E80" s="67"/>
      <c r="F80" s="95">
        <v>1</v>
      </c>
      <c r="G80" s="13">
        <v>23072.1</v>
      </c>
      <c r="H80" s="86">
        <f>G80*F80/1000</f>
        <v>23.072099999999999</v>
      </c>
      <c r="I80" s="13">
        <v>0</v>
      </c>
    </row>
    <row r="81" spans="1:9" ht="15.75" customHeight="1">
      <c r="A81" s="200"/>
      <c r="B81" s="175" t="s">
        <v>181</v>
      </c>
      <c r="C81" s="156"/>
      <c r="D81" s="39"/>
      <c r="E81" s="17"/>
      <c r="F81" s="111"/>
      <c r="G81" s="36"/>
      <c r="H81" s="86"/>
      <c r="I81" s="13"/>
    </row>
    <row r="82" spans="1:9" ht="15.75" customHeight="1">
      <c r="A82" s="200">
        <v>12</v>
      </c>
      <c r="B82" s="39" t="s">
        <v>182</v>
      </c>
      <c r="C82" s="158" t="s">
        <v>183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5.75" customHeight="1">
      <c r="A83" s="200"/>
      <c r="B83" s="199" t="s">
        <v>70</v>
      </c>
      <c r="C83" s="204"/>
      <c r="D83" s="203"/>
      <c r="E83" s="205"/>
      <c r="F83" s="206"/>
      <c r="G83" s="206"/>
      <c r="H83" s="201"/>
      <c r="I83" s="202"/>
    </row>
    <row r="84" spans="1:9" ht="30.75" customHeight="1">
      <c r="A84" s="200">
        <v>13</v>
      </c>
      <c r="B84" s="39" t="s">
        <v>188</v>
      </c>
      <c r="C84" s="156" t="s">
        <v>106</v>
      </c>
      <c r="D84" s="39" t="s">
        <v>258</v>
      </c>
      <c r="E84" s="17">
        <v>2</v>
      </c>
      <c r="F84" s="36">
        <v>24</v>
      </c>
      <c r="G84" s="36">
        <v>55.55</v>
      </c>
      <c r="H84" s="86"/>
      <c r="I84" s="13">
        <f>G84*2</f>
        <v>111.1</v>
      </c>
    </row>
    <row r="85" spans="1:9" ht="15.75" customHeight="1">
      <c r="A85" s="219" t="s">
        <v>140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14</v>
      </c>
      <c r="B86" s="113" t="s">
        <v>114</v>
      </c>
      <c r="C86" s="156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15</v>
      </c>
      <c r="B87" s="39" t="s">
        <v>76</v>
      </c>
      <c r="C87" s="156"/>
      <c r="D87" s="103"/>
      <c r="E87" s="148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I87+I86+I84+I82+I65+I63+I54+I32+I30+I29+I26+I18+I17+I16+I60</f>
        <v>119748.52033453334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15.75" customHeight="1">
      <c r="A90" s="32">
        <v>16</v>
      </c>
      <c r="B90" s="51" t="s">
        <v>80</v>
      </c>
      <c r="C90" s="52" t="s">
        <v>106</v>
      </c>
      <c r="D90" s="14"/>
      <c r="E90" s="18"/>
      <c r="F90" s="13">
        <v>1440</v>
      </c>
      <c r="G90" s="36">
        <v>207.55</v>
      </c>
      <c r="H90" s="86">
        <f t="shared" ref="H90" si="9">G90*F90/1000</f>
        <v>298.87200000000001</v>
      </c>
      <c r="I90" s="13">
        <f>G90*1</f>
        <v>207.55</v>
      </c>
    </row>
    <row r="91" spans="1:9" ht="33.75" customHeight="1">
      <c r="A91" s="32">
        <v>17</v>
      </c>
      <c r="B91" s="51" t="s">
        <v>211</v>
      </c>
      <c r="C91" s="106" t="s">
        <v>106</v>
      </c>
      <c r="D91" s="103"/>
      <c r="E91" s="36"/>
      <c r="F91" s="36">
        <f>(3+4+15+15+15+5+20+20+15+10+15+15+7+6+15+3)/3</f>
        <v>61</v>
      </c>
      <c r="G91" s="36">
        <v>909</v>
      </c>
      <c r="H91" s="102">
        <f>G91*F91/1000</f>
        <v>55.448999999999998</v>
      </c>
      <c r="I91" s="13">
        <f>G91*2</f>
        <v>1818</v>
      </c>
    </row>
    <row r="92" spans="1:9" ht="15.75" customHeight="1">
      <c r="A92" s="32">
        <v>18</v>
      </c>
      <c r="B92" s="51" t="s">
        <v>213</v>
      </c>
      <c r="C92" s="52" t="s">
        <v>106</v>
      </c>
      <c r="D92" s="14"/>
      <c r="E92" s="18"/>
      <c r="F92" s="13">
        <v>41.5</v>
      </c>
      <c r="G92" s="36">
        <v>160</v>
      </c>
      <c r="H92" s="86">
        <f>G92*F92/1000</f>
        <v>6.64</v>
      </c>
      <c r="I92" s="13">
        <f>G92*1</f>
        <v>160</v>
      </c>
    </row>
    <row r="93" spans="1:9" ht="17.25" customHeight="1">
      <c r="A93" s="32">
        <v>19</v>
      </c>
      <c r="B93" s="51" t="s">
        <v>214</v>
      </c>
      <c r="C93" s="52" t="s">
        <v>106</v>
      </c>
      <c r="D93" s="103"/>
      <c r="E93" s="36"/>
      <c r="F93" s="36">
        <v>1</v>
      </c>
      <c r="G93" s="36">
        <v>235</v>
      </c>
      <c r="H93" s="86">
        <f t="shared" ref="H93" si="10">G93*F93/1000</f>
        <v>0.23499999999999999</v>
      </c>
      <c r="I93" s="13">
        <f>G93*3</f>
        <v>705</v>
      </c>
    </row>
    <row r="94" spans="1:9" ht="15.75" customHeight="1">
      <c r="A94" s="32">
        <v>20</v>
      </c>
      <c r="B94" s="51" t="s">
        <v>287</v>
      </c>
      <c r="C94" s="52" t="s">
        <v>106</v>
      </c>
      <c r="D94" s="103"/>
      <c r="E94" s="36"/>
      <c r="F94" s="36"/>
      <c r="G94" s="36">
        <v>67</v>
      </c>
      <c r="H94" s="86"/>
      <c r="I94" s="13">
        <f>G94*1</f>
        <v>67</v>
      </c>
    </row>
    <row r="95" spans="1:9" ht="15.75" customHeight="1">
      <c r="A95" s="32">
        <v>21</v>
      </c>
      <c r="B95" s="51" t="s">
        <v>203</v>
      </c>
      <c r="C95" s="52" t="s">
        <v>166</v>
      </c>
      <c r="D95" s="103"/>
      <c r="E95" s="36"/>
      <c r="F95" s="36"/>
      <c r="G95" s="36">
        <v>273</v>
      </c>
      <c r="H95" s="86"/>
      <c r="I95" s="13">
        <f>G95*14</f>
        <v>3822</v>
      </c>
    </row>
    <row r="96" spans="1:9" ht="15.75" customHeight="1">
      <c r="A96" s="32">
        <v>22</v>
      </c>
      <c r="B96" s="51" t="s">
        <v>232</v>
      </c>
      <c r="C96" s="52" t="s">
        <v>233</v>
      </c>
      <c r="D96" s="103"/>
      <c r="E96" s="36"/>
      <c r="F96" s="36"/>
      <c r="G96" s="36">
        <v>45</v>
      </c>
      <c r="H96" s="86"/>
      <c r="I96" s="13">
        <f>G96*25</f>
        <v>1125</v>
      </c>
    </row>
    <row r="97" spans="1:9" ht="15.75" customHeight="1">
      <c r="A97" s="32">
        <v>23</v>
      </c>
      <c r="B97" s="51" t="s">
        <v>234</v>
      </c>
      <c r="C97" s="52" t="s">
        <v>167</v>
      </c>
      <c r="D97" s="103"/>
      <c r="E97" s="36"/>
      <c r="F97" s="36"/>
      <c r="G97" s="36">
        <v>26095.37</v>
      </c>
      <c r="H97" s="86"/>
      <c r="I97" s="13">
        <f>G97*0.01</f>
        <v>260.95369999999997</v>
      </c>
    </row>
    <row r="98" spans="1:9" ht="15.75" customHeight="1">
      <c r="A98" s="32">
        <v>24</v>
      </c>
      <c r="B98" s="51" t="s">
        <v>246</v>
      </c>
      <c r="C98" s="106" t="s">
        <v>106</v>
      </c>
      <c r="D98" s="103"/>
      <c r="E98" s="36"/>
      <c r="F98" s="36"/>
      <c r="G98" s="36">
        <v>27.36</v>
      </c>
      <c r="H98" s="86"/>
      <c r="I98" s="13">
        <f>G98*2</f>
        <v>54.72</v>
      </c>
    </row>
    <row r="99" spans="1:9" ht="15.75" customHeight="1">
      <c r="A99" s="32">
        <v>25</v>
      </c>
      <c r="B99" s="192" t="s">
        <v>237</v>
      </c>
      <c r="C99" s="106" t="s">
        <v>106</v>
      </c>
      <c r="D99" s="103"/>
      <c r="E99" s="36"/>
      <c r="F99" s="36"/>
      <c r="G99" s="36">
        <v>98</v>
      </c>
      <c r="H99" s="86"/>
      <c r="I99" s="13">
        <f>G99*2</f>
        <v>196</v>
      </c>
    </row>
    <row r="100" spans="1:9" ht="30.75" customHeight="1">
      <c r="A100" s="32">
        <v>26</v>
      </c>
      <c r="B100" s="51" t="s">
        <v>221</v>
      </c>
      <c r="C100" s="106" t="s">
        <v>166</v>
      </c>
      <c r="D100" s="103"/>
      <c r="E100" s="36"/>
      <c r="F100" s="36"/>
      <c r="G100" s="36">
        <v>1367</v>
      </c>
      <c r="H100" s="86"/>
      <c r="I100" s="13">
        <f>G100*8</f>
        <v>10936</v>
      </c>
    </row>
    <row r="101" spans="1:9" ht="15.75" customHeight="1">
      <c r="A101" s="32">
        <v>27</v>
      </c>
      <c r="B101" s="51" t="s">
        <v>133</v>
      </c>
      <c r="C101" s="52" t="s">
        <v>37</v>
      </c>
      <c r="D101" s="103"/>
      <c r="E101" s="36"/>
      <c r="F101" s="36"/>
      <c r="G101" s="36">
        <v>3914.31</v>
      </c>
      <c r="H101" s="86"/>
      <c r="I101" s="13">
        <f>G101*0.01</f>
        <v>39.143099999999997</v>
      </c>
    </row>
    <row r="102" spans="1:9" ht="15.75" customHeight="1">
      <c r="A102" s="32">
        <v>28</v>
      </c>
      <c r="B102" s="51" t="s">
        <v>224</v>
      </c>
      <c r="C102" s="52" t="s">
        <v>82</v>
      </c>
      <c r="D102" s="103"/>
      <c r="E102" s="36"/>
      <c r="F102" s="36"/>
      <c r="G102" s="36">
        <v>214.07</v>
      </c>
      <c r="H102" s="86"/>
      <c r="I102" s="13">
        <f>G102*5</f>
        <v>1070.3499999999999</v>
      </c>
    </row>
    <row r="103" spans="1:9" ht="15.75" customHeight="1">
      <c r="A103" s="32">
        <v>29</v>
      </c>
      <c r="B103" s="51" t="s">
        <v>296</v>
      </c>
      <c r="C103" s="52" t="s">
        <v>194</v>
      </c>
      <c r="D103" s="103"/>
      <c r="E103" s="36"/>
      <c r="F103" s="36"/>
      <c r="G103" s="36">
        <v>374</v>
      </c>
      <c r="H103" s="86"/>
      <c r="I103" s="13">
        <f>G103*35</f>
        <v>13090</v>
      </c>
    </row>
    <row r="104" spans="1:9" ht="15.75" customHeight="1">
      <c r="A104" s="32"/>
      <c r="B104" s="45" t="s">
        <v>51</v>
      </c>
      <c r="C104" s="41"/>
      <c r="D104" s="48"/>
      <c r="E104" s="41">
        <v>1</v>
      </c>
      <c r="F104" s="41"/>
      <c r="G104" s="41"/>
      <c r="H104" s="41"/>
      <c r="I104" s="34">
        <f>SUM(I90:I103)</f>
        <v>33551.716800000002</v>
      </c>
    </row>
    <row r="105" spans="1:9">
      <c r="A105" s="32"/>
      <c r="B105" s="47" t="s">
        <v>77</v>
      </c>
      <c r="C105" s="15"/>
      <c r="D105" s="15"/>
      <c r="E105" s="42"/>
      <c r="F105" s="42"/>
      <c r="G105" s="43"/>
      <c r="H105" s="43"/>
      <c r="I105" s="17">
        <v>0</v>
      </c>
    </row>
    <row r="106" spans="1:9">
      <c r="A106" s="49"/>
      <c r="B106" s="46" t="s">
        <v>158</v>
      </c>
      <c r="C106" s="35"/>
      <c r="D106" s="35"/>
      <c r="E106" s="35"/>
      <c r="F106" s="35"/>
      <c r="G106" s="35"/>
      <c r="H106" s="35"/>
      <c r="I106" s="44">
        <f>I88+I104</f>
        <v>153300.23713453335</v>
      </c>
    </row>
    <row r="107" spans="1:9" ht="15.75">
      <c r="A107" s="222" t="s">
        <v>297</v>
      </c>
      <c r="B107" s="222"/>
      <c r="C107" s="222"/>
      <c r="D107" s="222"/>
      <c r="E107" s="222"/>
      <c r="F107" s="222"/>
      <c r="G107" s="222"/>
      <c r="H107" s="222"/>
      <c r="I107" s="222"/>
    </row>
    <row r="108" spans="1:9" ht="15.75" customHeight="1">
      <c r="A108" s="58"/>
      <c r="B108" s="223" t="s">
        <v>298</v>
      </c>
      <c r="C108" s="223"/>
      <c r="D108" s="223"/>
      <c r="E108" s="223"/>
      <c r="F108" s="223"/>
      <c r="G108" s="223"/>
      <c r="H108" s="70"/>
      <c r="I108" s="3"/>
    </row>
    <row r="109" spans="1:9">
      <c r="A109" s="64"/>
      <c r="B109" s="224" t="s">
        <v>6</v>
      </c>
      <c r="C109" s="224"/>
      <c r="D109" s="224"/>
      <c r="E109" s="224"/>
      <c r="F109" s="224"/>
      <c r="G109" s="224"/>
      <c r="H109" s="27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25" t="s">
        <v>7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>
      <c r="A112" s="225" t="s">
        <v>8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>
      <c r="A113" s="226" t="s">
        <v>60</v>
      </c>
      <c r="B113" s="226"/>
      <c r="C113" s="226"/>
      <c r="D113" s="226"/>
      <c r="E113" s="226"/>
      <c r="F113" s="226"/>
      <c r="G113" s="226"/>
      <c r="H113" s="226"/>
      <c r="I113" s="226"/>
    </row>
    <row r="114" spans="1:9" ht="15.75">
      <c r="A114" s="11"/>
    </row>
    <row r="115" spans="1:9" ht="15.75">
      <c r="A115" s="227" t="s">
        <v>9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15.75" customHeight="1">
      <c r="A116" s="4"/>
    </row>
    <row r="117" spans="1:9" ht="15.75" customHeight="1">
      <c r="B117" s="61" t="s">
        <v>10</v>
      </c>
      <c r="C117" s="228" t="s">
        <v>135</v>
      </c>
      <c r="D117" s="228"/>
      <c r="E117" s="228"/>
      <c r="F117" s="68"/>
      <c r="I117" s="63"/>
    </row>
    <row r="118" spans="1:9" ht="15.75" customHeight="1">
      <c r="A118" s="64"/>
      <c r="C118" s="224" t="s">
        <v>11</v>
      </c>
      <c r="D118" s="224"/>
      <c r="E118" s="224"/>
      <c r="F118" s="27"/>
      <c r="I118" s="62" t="s">
        <v>12</v>
      </c>
    </row>
    <row r="119" spans="1:9" ht="15.75" customHeight="1">
      <c r="A119" s="28"/>
      <c r="C119" s="12"/>
      <c r="D119" s="12"/>
      <c r="G119" s="12"/>
      <c r="H119" s="12"/>
    </row>
    <row r="120" spans="1:9" ht="15.75">
      <c r="B120" s="61" t="s">
        <v>13</v>
      </c>
      <c r="C120" s="229"/>
      <c r="D120" s="229"/>
      <c r="E120" s="229"/>
      <c r="F120" s="69"/>
      <c r="I120" s="63"/>
    </row>
    <row r="121" spans="1:9">
      <c r="A121" s="64"/>
      <c r="C121" s="218" t="s">
        <v>11</v>
      </c>
      <c r="D121" s="218"/>
      <c r="E121" s="218"/>
      <c r="F121" s="64"/>
      <c r="I121" s="62" t="s">
        <v>12</v>
      </c>
    </row>
    <row r="122" spans="1:9" ht="15.75">
      <c r="A122" s="4" t="s">
        <v>14</v>
      </c>
    </row>
    <row r="123" spans="1:9">
      <c r="A123" s="233" t="s">
        <v>15</v>
      </c>
      <c r="B123" s="233"/>
      <c r="C123" s="233"/>
      <c r="D123" s="233"/>
      <c r="E123" s="233"/>
      <c r="F123" s="233"/>
      <c r="G123" s="233"/>
      <c r="H123" s="233"/>
      <c r="I123" s="233"/>
    </row>
    <row r="124" spans="1:9" ht="45" customHeight="1">
      <c r="A124" s="234" t="s">
        <v>16</v>
      </c>
      <c r="B124" s="234"/>
      <c r="C124" s="234"/>
      <c r="D124" s="234"/>
      <c r="E124" s="234"/>
      <c r="F124" s="234"/>
      <c r="G124" s="234"/>
      <c r="H124" s="234"/>
      <c r="I124" s="234"/>
    </row>
    <row r="125" spans="1:9" ht="30" customHeight="1">
      <c r="A125" s="234" t="s">
        <v>17</v>
      </c>
      <c r="B125" s="234"/>
      <c r="C125" s="234"/>
      <c r="D125" s="234"/>
      <c r="E125" s="234"/>
      <c r="F125" s="234"/>
      <c r="G125" s="234"/>
      <c r="H125" s="234"/>
      <c r="I125" s="234"/>
    </row>
    <row r="126" spans="1:9" ht="30" customHeight="1">
      <c r="A126" s="234" t="s">
        <v>21</v>
      </c>
      <c r="B126" s="234"/>
      <c r="C126" s="234"/>
      <c r="D126" s="234"/>
      <c r="E126" s="234"/>
      <c r="F126" s="234"/>
      <c r="G126" s="234"/>
      <c r="H126" s="234"/>
      <c r="I126" s="234"/>
    </row>
    <row r="127" spans="1:9" ht="15" customHeight="1">
      <c r="A127" s="234" t="s">
        <v>20</v>
      </c>
      <c r="B127" s="234"/>
      <c r="C127" s="234"/>
      <c r="D127" s="234"/>
      <c r="E127" s="234"/>
      <c r="F127" s="234"/>
      <c r="G127" s="234"/>
      <c r="H127" s="234"/>
      <c r="I127" s="234"/>
    </row>
  </sheetData>
  <autoFilter ref="I12:I59"/>
  <mergeCells count="29">
    <mergeCell ref="R65:U65"/>
    <mergeCell ref="A85:I85"/>
    <mergeCell ref="A3:I3"/>
    <mergeCell ref="A4:I4"/>
    <mergeCell ref="A5:I5"/>
    <mergeCell ref="A8:I8"/>
    <mergeCell ref="A10:I10"/>
    <mergeCell ref="A14:I14"/>
    <mergeCell ref="A113:I113"/>
    <mergeCell ref="A15:I15"/>
    <mergeCell ref="A27:I27"/>
    <mergeCell ref="A44:I44"/>
    <mergeCell ref="A55:I55"/>
    <mergeCell ref="A89:I89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33"/>
  <sheetViews>
    <sheetView workbookViewId="0">
      <selection activeCell="J115" sqref="J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170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155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134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288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43738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197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157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3" t="s">
        <v>84</v>
      </c>
      <c r="C16" s="114" t="s">
        <v>85</v>
      </c>
      <c r="D16" s="113" t="s">
        <v>249</v>
      </c>
      <c r="E16" s="148">
        <v>208.08</v>
      </c>
      <c r="F16" s="149">
        <f>SUM(E16*156/100)</f>
        <v>324.60480000000001</v>
      </c>
      <c r="G16" s="149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3" t="s">
        <v>115</v>
      </c>
      <c r="C17" s="114" t="s">
        <v>85</v>
      </c>
      <c r="D17" s="113" t="s">
        <v>250</v>
      </c>
      <c r="E17" s="148">
        <v>832.32</v>
      </c>
      <c r="F17" s="149">
        <f>SUM(E17*104/100)</f>
        <v>865.61279999999999</v>
      </c>
      <c r="G17" s="149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3" t="s">
        <v>116</v>
      </c>
      <c r="C18" s="114" t="s">
        <v>85</v>
      </c>
      <c r="D18" s="113" t="s">
        <v>251</v>
      </c>
      <c r="E18" s="148">
        <v>1040.4000000000001</v>
      </c>
      <c r="F18" s="149">
        <f>SUM(E18*18/100)</f>
        <v>187.27200000000002</v>
      </c>
      <c r="G18" s="149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13" t="s">
        <v>95</v>
      </c>
      <c r="C20" s="114" t="s">
        <v>85</v>
      </c>
      <c r="D20" s="113" t="s">
        <v>258</v>
      </c>
      <c r="E20" s="148">
        <v>30.6</v>
      </c>
      <c r="F20" s="149">
        <f>SUM(E20*2/100)</f>
        <v>0.61199999999999999</v>
      </c>
      <c r="G20" s="149">
        <v>297.19</v>
      </c>
      <c r="H20" s="75">
        <f t="shared" ref="H20:H21" si="1">SUM(F20*G20/1000)</f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customHeight="1">
      <c r="A21" s="32">
        <v>5</v>
      </c>
      <c r="B21" s="113" t="s">
        <v>96</v>
      </c>
      <c r="C21" s="114" t="s">
        <v>85</v>
      </c>
      <c r="D21" s="113" t="s">
        <v>258</v>
      </c>
      <c r="E21" s="148">
        <v>10.06</v>
      </c>
      <c r="F21" s="149">
        <f>SUM(E21*2/100)</f>
        <v>0.20120000000000002</v>
      </c>
      <c r="G21" s="149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6</v>
      </c>
      <c r="B26" s="113" t="s">
        <v>248</v>
      </c>
      <c r="C26" s="114" t="s">
        <v>25</v>
      </c>
      <c r="D26" s="113" t="s">
        <v>252</v>
      </c>
      <c r="E26" s="153">
        <v>11.63</v>
      </c>
      <c r="F26" s="149">
        <f>E26*258</f>
        <v>3000.5400000000004</v>
      </c>
      <c r="G26" s="149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7</v>
      </c>
      <c r="B29" s="113" t="s">
        <v>104</v>
      </c>
      <c r="C29" s="114" t="s">
        <v>87</v>
      </c>
      <c r="D29" s="113" t="s">
        <v>250</v>
      </c>
      <c r="E29" s="149">
        <v>584.03</v>
      </c>
      <c r="F29" s="149">
        <f>SUM(E29*52/1000)</f>
        <v>30.369559999999996</v>
      </c>
      <c r="G29" s="149">
        <v>212.62</v>
      </c>
      <c r="H29" s="75">
        <f t="shared" ref="H29:H31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8</v>
      </c>
      <c r="B30" s="113" t="s">
        <v>120</v>
      </c>
      <c r="C30" s="114" t="s">
        <v>87</v>
      </c>
      <c r="D30" s="113" t="s">
        <v>249</v>
      </c>
      <c r="E30" s="149">
        <v>153</v>
      </c>
      <c r="F30" s="149">
        <f>SUM(E30*78/1000)</f>
        <v>11.933999999999999</v>
      </c>
      <c r="G30" s="149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3" t="s">
        <v>27</v>
      </c>
      <c r="C31" s="114" t="s">
        <v>87</v>
      </c>
      <c r="D31" s="113" t="s">
        <v>53</v>
      </c>
      <c r="E31" s="149">
        <v>584.03</v>
      </c>
      <c r="F31" s="149">
        <f>SUM(E31/1000)</f>
        <v>0.58402999999999994</v>
      </c>
      <c r="G31" s="149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9</v>
      </c>
      <c r="B32" s="113" t="s">
        <v>119</v>
      </c>
      <c r="C32" s="114" t="s">
        <v>39</v>
      </c>
      <c r="D32" s="113" t="s">
        <v>254</v>
      </c>
      <c r="E32" s="149">
        <v>6</v>
      </c>
      <c r="F32" s="149">
        <f>E32*155/100</f>
        <v>9.3000000000000007</v>
      </c>
      <c r="G32" s="149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4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4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142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5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5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5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5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5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.75" customHeight="1">
      <c r="A44" s="215" t="s">
        <v>138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customHeight="1">
      <c r="A45" s="32">
        <v>10</v>
      </c>
      <c r="B45" s="113" t="s">
        <v>126</v>
      </c>
      <c r="C45" s="114" t="s">
        <v>87</v>
      </c>
      <c r="D45" s="113" t="s">
        <v>258</v>
      </c>
      <c r="E45" s="148">
        <v>1895</v>
      </c>
      <c r="F45" s="149">
        <f>SUM(E45*2/1000)</f>
        <v>3.79</v>
      </c>
      <c r="G45" s="36">
        <v>1158.7</v>
      </c>
      <c r="H45" s="75">
        <f t="shared" ref="H45:H53" si="6">SUM(F45*G45/1000)</f>
        <v>4.3914729999999995</v>
      </c>
      <c r="I45" s="13">
        <f t="shared" ref="I45:I47" si="7">F45/2*G45</f>
        <v>2195.7365</v>
      </c>
      <c r="J45" s="26"/>
      <c r="L45" s="19"/>
      <c r="M45" s="20"/>
      <c r="N45" s="21"/>
    </row>
    <row r="46" spans="1:14" ht="15.75" customHeight="1">
      <c r="A46" s="32">
        <v>11</v>
      </c>
      <c r="B46" s="113" t="s">
        <v>34</v>
      </c>
      <c r="C46" s="114" t="s">
        <v>87</v>
      </c>
      <c r="D46" s="113" t="s">
        <v>258</v>
      </c>
      <c r="E46" s="148">
        <v>118.2</v>
      </c>
      <c r="F46" s="149">
        <f>E46*2/1000</f>
        <v>0.2364</v>
      </c>
      <c r="G46" s="36">
        <v>790.38</v>
      </c>
      <c r="H46" s="75">
        <f t="shared" si="6"/>
        <v>0.18684583199999999</v>
      </c>
      <c r="I46" s="13">
        <f t="shared" si="7"/>
        <v>93.422916000000001</v>
      </c>
      <c r="J46" s="26"/>
      <c r="L46" s="19"/>
      <c r="M46" s="20"/>
      <c r="N46" s="21"/>
    </row>
    <row r="47" spans="1:14" ht="15.75" customHeight="1">
      <c r="A47" s="32">
        <v>12</v>
      </c>
      <c r="B47" s="113" t="s">
        <v>35</v>
      </c>
      <c r="C47" s="114" t="s">
        <v>87</v>
      </c>
      <c r="D47" s="113" t="s">
        <v>258</v>
      </c>
      <c r="E47" s="148">
        <v>4675</v>
      </c>
      <c r="F47" s="149">
        <f>SUM(E47*2/1000)</f>
        <v>9.35</v>
      </c>
      <c r="G47" s="36">
        <v>790.38</v>
      </c>
      <c r="H47" s="75">
        <f t="shared" si="6"/>
        <v>7.390053</v>
      </c>
      <c r="I47" s="13">
        <f t="shared" si="7"/>
        <v>3695.0264999999999</v>
      </c>
      <c r="J47" s="26"/>
      <c r="L47" s="19"/>
      <c r="M47" s="20"/>
      <c r="N47" s="21"/>
    </row>
    <row r="48" spans="1:14" ht="15.75" customHeight="1">
      <c r="A48" s="32">
        <v>13</v>
      </c>
      <c r="B48" s="113" t="s">
        <v>36</v>
      </c>
      <c r="C48" s="114" t="s">
        <v>87</v>
      </c>
      <c r="D48" s="113" t="s">
        <v>258</v>
      </c>
      <c r="E48" s="148">
        <v>4675</v>
      </c>
      <c r="F48" s="149">
        <f>SUM(E48*2/1000)</f>
        <v>9.35</v>
      </c>
      <c r="G48" s="36">
        <v>827.65</v>
      </c>
      <c r="H48" s="75">
        <f t="shared" si="6"/>
        <v>7.7385274999999991</v>
      </c>
      <c r="I48" s="13">
        <f>F48/2*G48</f>
        <v>3869.2637499999996</v>
      </c>
      <c r="J48" s="26"/>
      <c r="L48" s="19"/>
      <c r="M48" s="20"/>
      <c r="N48" s="21"/>
    </row>
    <row r="49" spans="1:22" ht="15.75" customHeight="1">
      <c r="A49" s="32">
        <v>14</v>
      </c>
      <c r="B49" s="113" t="s">
        <v>55</v>
      </c>
      <c r="C49" s="114" t="s">
        <v>87</v>
      </c>
      <c r="D49" s="113" t="s">
        <v>258</v>
      </c>
      <c r="E49" s="148">
        <v>3988</v>
      </c>
      <c r="F49" s="149">
        <f>SUM(E49*5/1000)</f>
        <v>19.940000000000001</v>
      </c>
      <c r="G49" s="36">
        <v>1655.27</v>
      </c>
      <c r="H49" s="75">
        <f t="shared" si="6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1.5" customHeight="1">
      <c r="A50" s="32">
        <v>15</v>
      </c>
      <c r="B50" s="113" t="s">
        <v>89</v>
      </c>
      <c r="C50" s="114" t="s">
        <v>87</v>
      </c>
      <c r="D50" s="113" t="s">
        <v>258</v>
      </c>
      <c r="E50" s="148">
        <v>3988</v>
      </c>
      <c r="F50" s="149">
        <f>SUM(E50*2/1000)</f>
        <v>7.976</v>
      </c>
      <c r="G50" s="36">
        <v>1655.27</v>
      </c>
      <c r="H50" s="75">
        <f t="shared" si="6"/>
        <v>13.202433520000001</v>
      </c>
      <c r="I50" s="13">
        <f t="shared" ref="I50:I52" si="8">F50/2*G50</f>
        <v>6601.2167600000002</v>
      </c>
      <c r="J50" s="26"/>
      <c r="L50" s="19"/>
      <c r="M50" s="20"/>
      <c r="N50" s="21"/>
    </row>
    <row r="51" spans="1:22" ht="31.5" customHeight="1">
      <c r="A51" s="32">
        <v>16</v>
      </c>
      <c r="B51" s="113" t="s">
        <v>90</v>
      </c>
      <c r="C51" s="114" t="s">
        <v>37</v>
      </c>
      <c r="D51" s="113" t="s">
        <v>258</v>
      </c>
      <c r="E51" s="148">
        <v>30</v>
      </c>
      <c r="F51" s="149">
        <f>SUM(E51*2/100)</f>
        <v>0.6</v>
      </c>
      <c r="G51" s="36">
        <v>3724.37</v>
      </c>
      <c r="H51" s="75">
        <f>SUM(F51*G51/1000)</f>
        <v>2.2346219999999999</v>
      </c>
      <c r="I51" s="13">
        <f t="shared" si="8"/>
        <v>1117.3109999999999</v>
      </c>
      <c r="J51" s="26"/>
      <c r="L51" s="19"/>
      <c r="M51" s="20"/>
      <c r="N51" s="21"/>
    </row>
    <row r="52" spans="1:22" ht="15.75" customHeight="1">
      <c r="A52" s="32">
        <v>17</v>
      </c>
      <c r="B52" s="113" t="s">
        <v>38</v>
      </c>
      <c r="C52" s="114" t="s">
        <v>39</v>
      </c>
      <c r="D52" s="113" t="s">
        <v>258</v>
      </c>
      <c r="E52" s="148">
        <v>1</v>
      </c>
      <c r="F52" s="149">
        <v>0.02</v>
      </c>
      <c r="G52" s="36">
        <v>7709.44</v>
      </c>
      <c r="H52" s="75">
        <f t="shared" si="6"/>
        <v>0.15418879999999999</v>
      </c>
      <c r="I52" s="13">
        <f t="shared" si="8"/>
        <v>77.094399999999993</v>
      </c>
      <c r="J52" s="26"/>
      <c r="L52" s="19"/>
      <c r="M52" s="20"/>
      <c r="N52" s="21"/>
    </row>
    <row r="53" spans="1:22" ht="15.75" customHeight="1">
      <c r="A53" s="32">
        <v>18</v>
      </c>
      <c r="B53" s="113" t="s">
        <v>41</v>
      </c>
      <c r="C53" s="114" t="s">
        <v>106</v>
      </c>
      <c r="D53" s="113" t="s">
        <v>259</v>
      </c>
      <c r="E53" s="148">
        <v>240</v>
      </c>
      <c r="F53" s="149">
        <f>SUM(E53)*1</f>
        <v>240</v>
      </c>
      <c r="G53" s="37">
        <v>89.59</v>
      </c>
      <c r="H53" s="75">
        <f t="shared" si="6"/>
        <v>21.501600000000003</v>
      </c>
      <c r="I53" s="13">
        <f>E53*G53/3</f>
        <v>7167.2000000000007</v>
      </c>
      <c r="J53" s="26"/>
      <c r="L53" s="19"/>
      <c r="M53" s="20"/>
      <c r="N53" s="21"/>
    </row>
    <row r="54" spans="1:22" ht="15.75" customHeight="1">
      <c r="A54" s="121">
        <v>19</v>
      </c>
      <c r="B54" s="113" t="s">
        <v>177</v>
      </c>
      <c r="C54" s="114" t="s">
        <v>106</v>
      </c>
      <c r="D54" s="113" t="s">
        <v>259</v>
      </c>
      <c r="E54" s="148">
        <v>5</v>
      </c>
      <c r="F54" s="149">
        <v>60</v>
      </c>
      <c r="G54" s="154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139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20</v>
      </c>
      <c r="B62" s="80" t="s">
        <v>132</v>
      </c>
      <c r="C62" s="81" t="s">
        <v>25</v>
      </c>
      <c r="D62" s="80" t="s">
        <v>259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142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4.25" customHeight="1">
      <c r="A64" s="32">
        <v>21</v>
      </c>
      <c r="B64" s="155" t="s">
        <v>46</v>
      </c>
      <c r="C64" s="156" t="s">
        <v>106</v>
      </c>
      <c r="D64" s="39" t="s">
        <v>294</v>
      </c>
      <c r="E64" s="17">
        <v>12</v>
      </c>
      <c r="F64" s="149">
        <v>12</v>
      </c>
      <c r="G64" s="36">
        <v>303.35000000000002</v>
      </c>
      <c r="H64" s="86">
        <f t="shared" ref="H64:H78" si="9">SUM(F64*G64/1000)</f>
        <v>3.6402000000000001</v>
      </c>
      <c r="I64" s="13">
        <f>G64*23</f>
        <v>6977.05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8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9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9.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9"/>
        <v>57.150201600000003</v>
      </c>
      <c r="I66" s="13">
        <f>F66*G66</f>
        <v>57150.2016</v>
      </c>
    </row>
    <row r="67" spans="1:21" ht="18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9"/>
        <v>4.4505465599999994</v>
      </c>
      <c r="I67" s="13">
        <f t="shared" ref="I67:I71" si="10">F67*G67</f>
        <v>4450.5465599999998</v>
      </c>
    </row>
    <row r="68" spans="1:21" ht="19.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9"/>
        <v>94.395665000000008</v>
      </c>
      <c r="I68" s="13">
        <f t="shared" si="10"/>
        <v>94395.665000000008</v>
      </c>
    </row>
    <row r="69" spans="1:21" ht="18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9"/>
        <v>2.6512199999999999</v>
      </c>
      <c r="I69" s="13">
        <f t="shared" si="10"/>
        <v>2651.22</v>
      </c>
    </row>
    <row r="70" spans="1:21" ht="16.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9"/>
        <v>2.4733800000000001</v>
      </c>
      <c r="I70" s="13">
        <f t="shared" si="10"/>
        <v>2473.38</v>
      </c>
    </row>
    <row r="71" spans="1:21" ht="15.75" customHeight="1">
      <c r="A71" s="32">
        <v>22</v>
      </c>
      <c r="B71" s="14" t="s">
        <v>56</v>
      </c>
      <c r="C71" s="16" t="s">
        <v>57</v>
      </c>
      <c r="D71" s="14" t="s">
        <v>259</v>
      </c>
      <c r="E71" s="18">
        <v>5</v>
      </c>
      <c r="F71" s="74">
        <v>3</v>
      </c>
      <c r="G71" s="127">
        <v>68.040000000000006</v>
      </c>
      <c r="H71" s="86">
        <f t="shared" si="9"/>
        <v>0.20412</v>
      </c>
      <c r="I71" s="13">
        <f t="shared" si="10"/>
        <v>204.12</v>
      </c>
    </row>
    <row r="72" spans="1:21" ht="15.75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142</v>
      </c>
      <c r="I72" s="13"/>
    </row>
    <row r="73" spans="1:21" ht="15.75" hidden="1" customHeight="1">
      <c r="A73" s="32"/>
      <c r="B73" s="14" t="s">
        <v>71</v>
      </c>
      <c r="C73" s="16" t="s">
        <v>73</v>
      </c>
      <c r="D73" s="14"/>
      <c r="E73" s="18">
        <v>10</v>
      </c>
      <c r="F73" s="13">
        <v>1</v>
      </c>
      <c r="G73" s="13">
        <v>501.62</v>
      </c>
      <c r="H73" s="86">
        <f t="shared" si="9"/>
        <v>0.50161999999999995</v>
      </c>
      <c r="I73" s="13">
        <v>0</v>
      </c>
    </row>
    <row r="74" spans="1:21" ht="15.75" hidden="1" customHeight="1">
      <c r="A74" s="32"/>
      <c r="B74" s="14" t="s">
        <v>72</v>
      </c>
      <c r="C74" s="16" t="s">
        <v>31</v>
      </c>
      <c r="D74" s="14"/>
      <c r="E74" s="18">
        <v>3</v>
      </c>
      <c r="F74" s="66">
        <v>3</v>
      </c>
      <c r="G74" s="13">
        <v>852.99</v>
      </c>
      <c r="H74" s="86">
        <f>F74*G74/1000</f>
        <v>2.5589700000000004</v>
      </c>
      <c r="I74" s="13">
        <v>0</v>
      </c>
    </row>
    <row r="75" spans="1:21" ht="15.75" hidden="1" customHeight="1">
      <c r="A75" s="32"/>
      <c r="B75" s="14" t="s">
        <v>113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6">
        <f>G75*F75/1000</f>
        <v>0.35851</v>
      </c>
      <c r="I75" s="13">
        <v>0</v>
      </c>
    </row>
    <row r="76" spans="1:21" ht="15.75" customHeight="1">
      <c r="A76" s="32">
        <v>23</v>
      </c>
      <c r="B76" s="39" t="s">
        <v>188</v>
      </c>
      <c r="C76" s="156" t="s">
        <v>106</v>
      </c>
      <c r="D76" s="39" t="s">
        <v>258</v>
      </c>
      <c r="E76" s="17">
        <v>2</v>
      </c>
      <c r="F76" s="36">
        <v>24</v>
      </c>
      <c r="G76" s="36">
        <v>55.55</v>
      </c>
      <c r="H76" s="86"/>
      <c r="I76" s="13">
        <f>G76*2</f>
        <v>111.1</v>
      </c>
    </row>
    <row r="77" spans="1:21" ht="15.75" hidden="1" customHeight="1">
      <c r="A77" s="32"/>
      <c r="B77" s="89" t="s">
        <v>74</v>
      </c>
      <c r="C77" s="16"/>
      <c r="D77" s="14"/>
      <c r="E77" s="18"/>
      <c r="F77" s="13"/>
      <c r="G77" s="13" t="s">
        <v>142</v>
      </c>
      <c r="H77" s="86" t="s">
        <v>142</v>
      </c>
      <c r="I77" s="13"/>
    </row>
    <row r="78" spans="1:21" ht="15.75" hidden="1" customHeight="1">
      <c r="A78" s="32"/>
      <c r="B78" s="47" t="s">
        <v>147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9"/>
        <v>3.311328</v>
      </c>
      <c r="I78" s="13">
        <v>0</v>
      </c>
    </row>
    <row r="79" spans="1:21" ht="15.75" hidden="1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189.05636405999996</v>
      </c>
      <c r="I79" s="77"/>
    </row>
    <row r="80" spans="1:21" ht="15.75" hidden="1" customHeight="1">
      <c r="A80" s="32"/>
      <c r="B80" s="94" t="s">
        <v>112</v>
      </c>
      <c r="C80" s="23"/>
      <c r="D80" s="22"/>
      <c r="E80" s="67"/>
      <c r="F80" s="95">
        <v>1</v>
      </c>
      <c r="G80" s="13">
        <v>23072.1</v>
      </c>
      <c r="H80" s="86">
        <f>G80*F80/1000</f>
        <v>23.072099999999999</v>
      </c>
      <c r="I80" s="13">
        <v>0</v>
      </c>
    </row>
    <row r="81" spans="1:9" ht="15.75" customHeight="1">
      <c r="A81" s="200"/>
      <c r="B81" s="175" t="s">
        <v>181</v>
      </c>
      <c r="C81" s="156"/>
      <c r="D81" s="39"/>
      <c r="E81" s="17"/>
      <c r="F81" s="111"/>
      <c r="G81" s="36"/>
      <c r="H81" s="86"/>
      <c r="I81" s="13"/>
    </row>
    <row r="82" spans="1:9" ht="15.75" customHeight="1">
      <c r="A82" s="200">
        <v>24</v>
      </c>
      <c r="B82" s="39" t="s">
        <v>182</v>
      </c>
      <c r="C82" s="158" t="s">
        <v>183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5.75" customHeight="1">
      <c r="A83" s="219" t="s">
        <v>140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25</v>
      </c>
      <c r="B84" s="113" t="s">
        <v>114</v>
      </c>
      <c r="C84" s="156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26</v>
      </c>
      <c r="B85" s="39" t="s">
        <v>76</v>
      </c>
      <c r="C85" s="156"/>
      <c r="D85" s="103"/>
      <c r="E85" s="148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I85+I84+I82+I76+I71+I64+I62+I54+I53+I52+I51+I50+I49+I48+I47+I46+I45+I32+I30+I29+I26+I21+I20+I18+I17+I16</f>
        <v>153229.42392853336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 ht="15.75" customHeight="1">
      <c r="A88" s="32">
        <v>27</v>
      </c>
      <c r="B88" s="159" t="s">
        <v>289</v>
      </c>
      <c r="C88" s="158" t="s">
        <v>290</v>
      </c>
      <c r="D88" s="36"/>
      <c r="E88" s="18"/>
      <c r="F88" s="13">
        <v>8</v>
      </c>
      <c r="G88" s="36">
        <v>1720.85</v>
      </c>
      <c r="H88" s="86">
        <f>G88*F88/1000</f>
        <v>13.7668</v>
      </c>
      <c r="I88" s="13">
        <f>G88*1</f>
        <v>1720.85</v>
      </c>
    </row>
    <row r="89" spans="1:9" ht="35.25" customHeight="1">
      <c r="A89" s="32">
        <v>28</v>
      </c>
      <c r="B89" s="51" t="s">
        <v>222</v>
      </c>
      <c r="C89" s="52" t="s">
        <v>145</v>
      </c>
      <c r="D89" s="14"/>
      <c r="E89" s="18"/>
      <c r="F89" s="13">
        <v>1080</v>
      </c>
      <c r="G89" s="36">
        <v>644.72</v>
      </c>
      <c r="H89" s="86">
        <f t="shared" ref="H89" si="11">G89*F89/1000</f>
        <v>696.29759999999999</v>
      </c>
      <c r="I89" s="13">
        <f>G89*6</f>
        <v>3868.32</v>
      </c>
    </row>
    <row r="90" spans="1:9" ht="18" customHeight="1">
      <c r="A90" s="32">
        <v>29</v>
      </c>
      <c r="B90" s="51" t="s">
        <v>80</v>
      </c>
      <c r="C90" s="52" t="s">
        <v>106</v>
      </c>
      <c r="D90" s="14"/>
      <c r="E90" s="18"/>
      <c r="F90" s="13"/>
      <c r="G90" s="36">
        <v>207.55</v>
      </c>
      <c r="H90" s="86"/>
      <c r="I90" s="13">
        <f>G90*3</f>
        <v>622.65000000000009</v>
      </c>
    </row>
    <row r="91" spans="1:9" ht="18" customHeight="1">
      <c r="A91" s="32">
        <v>30</v>
      </c>
      <c r="B91" s="115" t="s">
        <v>169</v>
      </c>
      <c r="C91" s="52" t="s">
        <v>106</v>
      </c>
      <c r="D91" s="14" t="s">
        <v>293</v>
      </c>
      <c r="E91" s="18"/>
      <c r="F91" s="13"/>
      <c r="G91" s="36">
        <v>207.32</v>
      </c>
      <c r="H91" s="86"/>
      <c r="I91" s="13">
        <f>G91*1</f>
        <v>207.32</v>
      </c>
    </row>
    <row r="92" spans="1:9" ht="18" customHeight="1">
      <c r="A92" s="32">
        <v>31</v>
      </c>
      <c r="B92" s="51" t="s">
        <v>203</v>
      </c>
      <c r="C92" s="52" t="s">
        <v>166</v>
      </c>
      <c r="D92" s="14"/>
      <c r="E92" s="18"/>
      <c r="F92" s="13"/>
      <c r="G92" s="36">
        <v>273</v>
      </c>
      <c r="H92" s="86"/>
      <c r="I92" s="13">
        <f>G92*19</f>
        <v>5187</v>
      </c>
    </row>
    <row r="93" spans="1:9" ht="33" customHeight="1">
      <c r="A93" s="32">
        <v>32</v>
      </c>
      <c r="B93" s="51" t="s">
        <v>195</v>
      </c>
      <c r="C93" s="52" t="s">
        <v>145</v>
      </c>
      <c r="D93" s="14"/>
      <c r="E93" s="18"/>
      <c r="F93" s="13"/>
      <c r="G93" s="36">
        <v>561.86</v>
      </c>
      <c r="H93" s="86"/>
      <c r="I93" s="13">
        <f>G93*1</f>
        <v>561.86</v>
      </c>
    </row>
    <row r="94" spans="1:9" ht="33.75" customHeight="1">
      <c r="A94" s="32">
        <v>33</v>
      </c>
      <c r="B94" s="51" t="s">
        <v>299</v>
      </c>
      <c r="C94" s="52" t="s">
        <v>145</v>
      </c>
      <c r="D94" s="14"/>
      <c r="E94" s="18"/>
      <c r="F94" s="13"/>
      <c r="G94" s="36">
        <v>1498.31</v>
      </c>
      <c r="H94" s="86"/>
      <c r="I94" s="13">
        <f>G94*1</f>
        <v>1498.31</v>
      </c>
    </row>
    <row r="95" spans="1:9" ht="20.25" customHeight="1">
      <c r="A95" s="32">
        <v>34</v>
      </c>
      <c r="B95" s="51" t="s">
        <v>300</v>
      </c>
      <c r="C95" s="52" t="s">
        <v>106</v>
      </c>
      <c r="D95" s="14"/>
      <c r="E95" s="18"/>
      <c r="F95" s="13"/>
      <c r="G95" s="36">
        <v>4000</v>
      </c>
      <c r="H95" s="86"/>
      <c r="I95" s="13">
        <f>G95*1</f>
        <v>4000</v>
      </c>
    </row>
    <row r="96" spans="1:9" ht="15" customHeight="1">
      <c r="A96" s="32">
        <v>35</v>
      </c>
      <c r="B96" s="51" t="s">
        <v>224</v>
      </c>
      <c r="C96" s="52" t="s">
        <v>82</v>
      </c>
      <c r="D96" s="14"/>
      <c r="E96" s="18"/>
      <c r="F96" s="13"/>
      <c r="G96" s="36">
        <v>214.07</v>
      </c>
      <c r="H96" s="86"/>
      <c r="I96" s="13">
        <f>G96*3</f>
        <v>642.21</v>
      </c>
    </row>
    <row r="97" spans="1:9" ht="30" customHeight="1">
      <c r="A97" s="32">
        <v>36</v>
      </c>
      <c r="B97" s="51" t="s">
        <v>219</v>
      </c>
      <c r="C97" s="106" t="s">
        <v>166</v>
      </c>
      <c r="D97" s="14" t="s">
        <v>303</v>
      </c>
      <c r="E97" s="18"/>
      <c r="F97" s="13"/>
      <c r="G97" s="36">
        <v>1465</v>
      </c>
      <c r="H97" s="86"/>
      <c r="I97" s="13">
        <f>G97*10</f>
        <v>14650</v>
      </c>
    </row>
    <row r="98" spans="1:9" ht="48.75" customHeight="1">
      <c r="A98" s="32">
        <v>37</v>
      </c>
      <c r="B98" s="51" t="s">
        <v>221</v>
      </c>
      <c r="C98" s="106" t="s">
        <v>166</v>
      </c>
      <c r="D98" s="14" t="s">
        <v>304</v>
      </c>
      <c r="E98" s="18"/>
      <c r="F98" s="13"/>
      <c r="G98" s="36">
        <v>1367</v>
      </c>
      <c r="H98" s="86"/>
      <c r="I98" s="13">
        <f>G98*25</f>
        <v>34175</v>
      </c>
    </row>
    <row r="99" spans="1:9" ht="29.25" customHeight="1">
      <c r="A99" s="32">
        <v>38</v>
      </c>
      <c r="B99" s="51" t="s">
        <v>211</v>
      </c>
      <c r="C99" s="106" t="s">
        <v>106</v>
      </c>
      <c r="D99" s="14" t="s">
        <v>305</v>
      </c>
      <c r="E99" s="18"/>
      <c r="F99" s="13"/>
      <c r="G99" s="36">
        <v>909</v>
      </c>
      <c r="H99" s="86"/>
      <c r="I99" s="13">
        <f>G99*2</f>
        <v>1818</v>
      </c>
    </row>
    <row r="100" spans="1:9" ht="29.25" customHeight="1">
      <c r="A100" s="32">
        <v>39</v>
      </c>
      <c r="B100" s="51" t="s">
        <v>302</v>
      </c>
      <c r="C100" s="52" t="s">
        <v>79</v>
      </c>
      <c r="D100" s="14" t="s">
        <v>301</v>
      </c>
      <c r="E100" s="18"/>
      <c r="F100" s="13"/>
      <c r="G100" s="36">
        <v>765.38</v>
      </c>
      <c r="H100" s="86"/>
      <c r="I100" s="13">
        <f>G100*4</f>
        <v>3061.52</v>
      </c>
    </row>
    <row r="101" spans="1:9" ht="17.25" customHeight="1">
      <c r="A101" s="32">
        <v>40</v>
      </c>
      <c r="B101" s="51" t="s">
        <v>287</v>
      </c>
      <c r="C101" s="52" t="s">
        <v>106</v>
      </c>
      <c r="D101" s="14"/>
      <c r="E101" s="18"/>
      <c r="F101" s="13"/>
      <c r="G101" s="36">
        <v>67</v>
      </c>
      <c r="H101" s="86"/>
      <c r="I101" s="13">
        <f>G101*1</f>
        <v>67</v>
      </c>
    </row>
    <row r="102" spans="1:9" ht="17.25" customHeight="1">
      <c r="A102" s="32">
        <v>41</v>
      </c>
      <c r="B102" s="51" t="s">
        <v>246</v>
      </c>
      <c r="C102" s="106" t="s">
        <v>106</v>
      </c>
      <c r="D102" s="14"/>
      <c r="E102" s="18"/>
      <c r="F102" s="13"/>
      <c r="G102" s="36">
        <v>27.36</v>
      </c>
      <c r="H102" s="86"/>
      <c r="I102" s="13">
        <f>G102*2</f>
        <v>54.72</v>
      </c>
    </row>
    <row r="103" spans="1:9" ht="17.25" customHeight="1">
      <c r="A103" s="32">
        <v>42</v>
      </c>
      <c r="B103" s="51" t="s">
        <v>245</v>
      </c>
      <c r="C103" s="52" t="s">
        <v>106</v>
      </c>
      <c r="D103" s="14"/>
      <c r="E103" s="18"/>
      <c r="F103" s="13"/>
      <c r="G103" s="36">
        <v>48</v>
      </c>
      <c r="H103" s="86"/>
      <c r="I103" s="13">
        <f>G103*2</f>
        <v>96</v>
      </c>
    </row>
    <row r="104" spans="1:9" ht="17.25" customHeight="1">
      <c r="A104" s="32">
        <v>43</v>
      </c>
      <c r="B104" s="51" t="s">
        <v>214</v>
      </c>
      <c r="C104" s="52" t="s">
        <v>106</v>
      </c>
      <c r="D104" s="14"/>
      <c r="E104" s="18"/>
      <c r="F104" s="13"/>
      <c r="G104" s="36">
        <v>235</v>
      </c>
      <c r="H104" s="86"/>
      <c r="I104" s="13">
        <f>G104*2</f>
        <v>470</v>
      </c>
    </row>
    <row r="105" spans="1:9" ht="17.25" customHeight="1">
      <c r="A105" s="32">
        <v>44</v>
      </c>
      <c r="B105" s="51" t="s">
        <v>242</v>
      </c>
      <c r="C105" s="52" t="s">
        <v>106</v>
      </c>
      <c r="D105" s="14"/>
      <c r="E105" s="18"/>
      <c r="F105" s="13"/>
      <c r="G105" s="36">
        <v>62</v>
      </c>
      <c r="H105" s="86"/>
      <c r="I105" s="13">
        <f>G105*1</f>
        <v>62</v>
      </c>
    </row>
    <row r="106" spans="1:9" ht="17.25" customHeight="1">
      <c r="A106" s="32">
        <v>45</v>
      </c>
      <c r="B106" s="192" t="s">
        <v>237</v>
      </c>
      <c r="C106" s="106" t="s">
        <v>106</v>
      </c>
      <c r="D106" s="14"/>
      <c r="E106" s="18"/>
      <c r="F106" s="13"/>
      <c r="G106" s="36">
        <v>98</v>
      </c>
      <c r="H106" s="86"/>
      <c r="I106" s="13">
        <f>G106*1</f>
        <v>98</v>
      </c>
    </row>
    <row r="107" spans="1:9" ht="17.25" customHeight="1">
      <c r="A107" s="32">
        <v>46</v>
      </c>
      <c r="B107" s="51" t="s">
        <v>216</v>
      </c>
      <c r="C107" s="52" t="s">
        <v>106</v>
      </c>
      <c r="D107" s="14"/>
      <c r="E107" s="18"/>
      <c r="F107" s="13"/>
      <c r="G107" s="36">
        <v>239</v>
      </c>
      <c r="H107" s="86"/>
      <c r="I107" s="13">
        <f>G107*1</f>
        <v>239</v>
      </c>
    </row>
    <row r="108" spans="1:9" ht="17.25" customHeight="1">
      <c r="A108" s="32">
        <v>47</v>
      </c>
      <c r="B108" s="192" t="s">
        <v>238</v>
      </c>
      <c r="C108" s="106" t="s">
        <v>106</v>
      </c>
      <c r="D108" s="14"/>
      <c r="E108" s="18"/>
      <c r="F108" s="13"/>
      <c r="G108" s="36">
        <v>22</v>
      </c>
      <c r="H108" s="86"/>
      <c r="I108" s="13">
        <f>G108*1</f>
        <v>22</v>
      </c>
    </row>
    <row r="109" spans="1:9" ht="17.25" customHeight="1">
      <c r="A109" s="32">
        <v>48</v>
      </c>
      <c r="B109" s="192" t="s">
        <v>306</v>
      </c>
      <c r="C109" s="106" t="s">
        <v>106</v>
      </c>
      <c r="D109" s="14"/>
      <c r="E109" s="18"/>
      <c r="F109" s="13"/>
      <c r="G109" s="36">
        <v>44</v>
      </c>
      <c r="H109" s="86"/>
      <c r="I109" s="13">
        <f>G109*1</f>
        <v>44</v>
      </c>
    </row>
    <row r="110" spans="1:9" ht="15.75" customHeight="1">
      <c r="A110" s="32"/>
      <c r="B110" s="45" t="s">
        <v>51</v>
      </c>
      <c r="C110" s="41"/>
      <c r="D110" s="48"/>
      <c r="E110" s="41">
        <v>1</v>
      </c>
      <c r="F110" s="41"/>
      <c r="G110" s="41"/>
      <c r="H110" s="41"/>
      <c r="I110" s="34">
        <f>SUM(I88:I109)</f>
        <v>73165.759999999995</v>
      </c>
    </row>
    <row r="111" spans="1:9">
      <c r="A111" s="32"/>
      <c r="B111" s="47" t="s">
        <v>77</v>
      </c>
      <c r="C111" s="15"/>
      <c r="D111" s="15"/>
      <c r="E111" s="42"/>
      <c r="F111" s="42"/>
      <c r="G111" s="43"/>
      <c r="H111" s="43"/>
      <c r="I111" s="17">
        <v>0</v>
      </c>
    </row>
    <row r="112" spans="1:9">
      <c r="A112" s="49"/>
      <c r="B112" s="46" t="s">
        <v>158</v>
      </c>
      <c r="C112" s="35"/>
      <c r="D112" s="35"/>
      <c r="E112" s="35"/>
      <c r="F112" s="35"/>
      <c r="G112" s="35"/>
      <c r="H112" s="35"/>
      <c r="I112" s="44">
        <f>I86+I110</f>
        <v>226395.18392853334</v>
      </c>
    </row>
    <row r="113" spans="1:9" ht="15.75">
      <c r="A113" s="222" t="s">
        <v>307</v>
      </c>
      <c r="B113" s="222"/>
      <c r="C113" s="222"/>
      <c r="D113" s="222"/>
      <c r="E113" s="222"/>
      <c r="F113" s="222"/>
      <c r="G113" s="222"/>
      <c r="H113" s="222"/>
      <c r="I113" s="222"/>
    </row>
    <row r="114" spans="1:9" ht="15.75" customHeight="1">
      <c r="A114" s="58"/>
      <c r="B114" s="223" t="s">
        <v>308</v>
      </c>
      <c r="C114" s="223"/>
      <c r="D114" s="223"/>
      <c r="E114" s="223"/>
      <c r="F114" s="223"/>
      <c r="G114" s="223"/>
      <c r="H114" s="70"/>
      <c r="I114" s="3"/>
    </row>
    <row r="115" spans="1:9">
      <c r="A115" s="64"/>
      <c r="B115" s="224" t="s">
        <v>6</v>
      </c>
      <c r="C115" s="224"/>
      <c r="D115" s="224"/>
      <c r="E115" s="224"/>
      <c r="F115" s="224"/>
      <c r="G115" s="224"/>
      <c r="H115" s="27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225" t="s">
        <v>7</v>
      </c>
      <c r="B117" s="225"/>
      <c r="C117" s="225"/>
      <c r="D117" s="225"/>
      <c r="E117" s="225"/>
      <c r="F117" s="225"/>
      <c r="G117" s="225"/>
      <c r="H117" s="225"/>
      <c r="I117" s="225"/>
    </row>
    <row r="118" spans="1:9" ht="15.75">
      <c r="A118" s="225" t="s">
        <v>8</v>
      </c>
      <c r="B118" s="225"/>
      <c r="C118" s="225"/>
      <c r="D118" s="225"/>
      <c r="E118" s="225"/>
      <c r="F118" s="225"/>
      <c r="G118" s="225"/>
      <c r="H118" s="225"/>
      <c r="I118" s="225"/>
    </row>
    <row r="119" spans="1:9" ht="15.75">
      <c r="A119" s="226" t="s">
        <v>60</v>
      </c>
      <c r="B119" s="226"/>
      <c r="C119" s="226"/>
      <c r="D119" s="226"/>
      <c r="E119" s="226"/>
      <c r="F119" s="226"/>
      <c r="G119" s="226"/>
      <c r="H119" s="226"/>
      <c r="I119" s="226"/>
    </row>
    <row r="120" spans="1:9" ht="15.75">
      <c r="A120" s="11"/>
    </row>
    <row r="121" spans="1:9" ht="15.75">
      <c r="A121" s="227" t="s">
        <v>9</v>
      </c>
      <c r="B121" s="227"/>
      <c r="C121" s="227"/>
      <c r="D121" s="227"/>
      <c r="E121" s="227"/>
      <c r="F121" s="227"/>
      <c r="G121" s="227"/>
      <c r="H121" s="227"/>
      <c r="I121" s="227"/>
    </row>
    <row r="122" spans="1:9" ht="15.75" customHeight="1">
      <c r="A122" s="4"/>
    </row>
    <row r="123" spans="1:9" ht="15.75" customHeight="1">
      <c r="B123" s="61" t="s">
        <v>10</v>
      </c>
      <c r="C123" s="228" t="s">
        <v>135</v>
      </c>
      <c r="D123" s="228"/>
      <c r="E123" s="228"/>
      <c r="F123" s="68"/>
      <c r="I123" s="63"/>
    </row>
    <row r="124" spans="1:9" ht="15.75" customHeight="1">
      <c r="A124" s="64"/>
      <c r="C124" s="224" t="s">
        <v>11</v>
      </c>
      <c r="D124" s="224"/>
      <c r="E124" s="224"/>
      <c r="F124" s="27"/>
      <c r="I124" s="62" t="s">
        <v>12</v>
      </c>
    </row>
    <row r="125" spans="1:9" ht="15.75" customHeight="1">
      <c r="A125" s="28"/>
      <c r="C125" s="12"/>
      <c r="D125" s="12"/>
      <c r="G125" s="12"/>
      <c r="H125" s="12"/>
    </row>
    <row r="126" spans="1:9" ht="15.75">
      <c r="B126" s="61" t="s">
        <v>13</v>
      </c>
      <c r="C126" s="229"/>
      <c r="D126" s="229"/>
      <c r="E126" s="229"/>
      <c r="F126" s="69"/>
      <c r="I126" s="63"/>
    </row>
    <row r="127" spans="1:9">
      <c r="A127" s="64"/>
      <c r="C127" s="218" t="s">
        <v>11</v>
      </c>
      <c r="D127" s="218"/>
      <c r="E127" s="218"/>
      <c r="F127" s="64"/>
      <c r="I127" s="62" t="s">
        <v>12</v>
      </c>
    </row>
    <row r="128" spans="1:9" ht="15.75">
      <c r="A128" s="4" t="s">
        <v>14</v>
      </c>
    </row>
    <row r="129" spans="1:9">
      <c r="A129" s="233" t="s">
        <v>15</v>
      </c>
      <c r="B129" s="233"/>
      <c r="C129" s="233"/>
      <c r="D129" s="233"/>
      <c r="E129" s="233"/>
      <c r="F129" s="233"/>
      <c r="G129" s="233"/>
      <c r="H129" s="233"/>
      <c r="I129" s="233"/>
    </row>
    <row r="130" spans="1:9" ht="45" customHeight="1">
      <c r="A130" s="234" t="s">
        <v>16</v>
      </c>
      <c r="B130" s="234"/>
      <c r="C130" s="234"/>
      <c r="D130" s="234"/>
      <c r="E130" s="234"/>
      <c r="F130" s="234"/>
      <c r="G130" s="234"/>
      <c r="H130" s="234"/>
      <c r="I130" s="234"/>
    </row>
    <row r="131" spans="1:9" ht="30" customHeight="1">
      <c r="A131" s="234" t="s">
        <v>17</v>
      </c>
      <c r="B131" s="234"/>
      <c r="C131" s="234"/>
      <c r="D131" s="234"/>
      <c r="E131" s="234"/>
      <c r="F131" s="234"/>
      <c r="G131" s="234"/>
      <c r="H131" s="234"/>
      <c r="I131" s="234"/>
    </row>
    <row r="132" spans="1:9" ht="30" customHeight="1">
      <c r="A132" s="234" t="s">
        <v>21</v>
      </c>
      <c r="B132" s="234"/>
      <c r="C132" s="234"/>
      <c r="D132" s="234"/>
      <c r="E132" s="234"/>
      <c r="F132" s="234"/>
      <c r="G132" s="234"/>
      <c r="H132" s="234"/>
      <c r="I132" s="234"/>
    </row>
    <row r="133" spans="1:9" ht="15" customHeight="1">
      <c r="A133" s="234" t="s">
        <v>20</v>
      </c>
      <c r="B133" s="234"/>
      <c r="C133" s="234"/>
      <c r="D133" s="234"/>
      <c r="E133" s="234"/>
      <c r="F133" s="234"/>
      <c r="G133" s="234"/>
      <c r="H133" s="234"/>
      <c r="I133" s="234"/>
    </row>
  </sheetData>
  <autoFilter ref="I12:I59"/>
  <mergeCells count="29">
    <mergeCell ref="R64:U64"/>
    <mergeCell ref="A83:I83"/>
    <mergeCell ref="A3:I3"/>
    <mergeCell ref="A4:I4"/>
    <mergeCell ref="A5:I5"/>
    <mergeCell ref="A8:I8"/>
    <mergeCell ref="A10:I10"/>
    <mergeCell ref="A14:I14"/>
    <mergeCell ref="A119:I119"/>
    <mergeCell ref="A15:I15"/>
    <mergeCell ref="A27:I27"/>
    <mergeCell ref="A44:I44"/>
    <mergeCell ref="A55:I55"/>
    <mergeCell ref="A87:I87"/>
    <mergeCell ref="A113:I113"/>
    <mergeCell ref="B114:G114"/>
    <mergeCell ref="B115:G115"/>
    <mergeCell ref="A117:I117"/>
    <mergeCell ref="A118:I118"/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2020-02-10T07:37:54Z</cp:lastPrinted>
  <dcterms:created xsi:type="dcterms:W3CDTF">2016-03-25T08:33:47Z</dcterms:created>
  <dcterms:modified xsi:type="dcterms:W3CDTF">2020-02-10T07:43:57Z</dcterms:modified>
</cp:coreProperties>
</file>