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7" sheetId="1" r:id="rId1"/>
  </sheets>
  <definedNames>
    <definedName name="_xlnm.Print_Area" localSheetId="0">'Нефт.,7'!$A$1:$W$108</definedName>
  </definedNames>
  <calcPr calcId="124519"/>
</workbook>
</file>

<file path=xl/calcChain.xml><?xml version="1.0" encoding="utf-8"?>
<calcChain xmlns="http://schemas.openxmlformats.org/spreadsheetml/2006/main">
  <c r="C104" i="1"/>
  <c r="T92"/>
  <c r="U94"/>
  <c r="R94"/>
  <c r="H94"/>
  <c r="H96" s="1"/>
  <c r="R95"/>
  <c r="U95" s="1"/>
  <c r="H95"/>
  <c r="C106"/>
  <c r="C103"/>
  <c r="U83"/>
  <c r="H90"/>
  <c r="T40"/>
  <c r="T35"/>
  <c r="S35"/>
  <c r="S90"/>
  <c r="S91"/>
  <c r="R91"/>
  <c r="F93"/>
  <c r="H93" s="1"/>
  <c r="Q91"/>
  <c r="Q92"/>
  <c r="U92" s="1"/>
  <c r="U96" s="1"/>
  <c r="H92"/>
  <c r="Q93" l="1"/>
  <c r="U93" s="1"/>
  <c r="R51"/>
  <c r="S40" l="1"/>
  <c r="F68"/>
  <c r="P90"/>
  <c r="U90" s="1"/>
  <c r="P91"/>
  <c r="U91" s="1"/>
  <c r="H91"/>
  <c r="H68" l="1"/>
  <c r="Q68"/>
  <c r="U68" s="1"/>
  <c r="C105"/>
  <c r="F75"/>
  <c r="H75" s="1"/>
  <c r="H74"/>
  <c r="F73"/>
  <c r="H73" s="1"/>
  <c r="U72"/>
  <c r="H72"/>
  <c r="F71"/>
  <c r="U77"/>
  <c r="U73"/>
  <c r="U74"/>
  <c r="U75"/>
  <c r="U71"/>
  <c r="H71"/>
  <c r="F69"/>
  <c r="F32"/>
  <c r="E69"/>
  <c r="E67"/>
  <c r="E64"/>
  <c r="U62"/>
  <c r="U63"/>
  <c r="U64"/>
  <c r="U65"/>
  <c r="U66"/>
  <c r="U67"/>
  <c r="U61"/>
  <c r="F61"/>
  <c r="U57"/>
  <c r="H57"/>
  <c r="U59"/>
  <c r="P53"/>
  <c r="P52"/>
  <c r="U52" s="1"/>
  <c r="F53"/>
  <c r="E49"/>
  <c r="F47"/>
  <c r="Q47" s="1"/>
  <c r="U47"/>
  <c r="U51"/>
  <c r="U53"/>
  <c r="E39"/>
  <c r="F39" s="1"/>
  <c r="E38"/>
  <c r="F38" s="1"/>
  <c r="F36"/>
  <c r="U40"/>
  <c r="U35"/>
  <c r="U26"/>
  <c r="U30"/>
  <c r="U31"/>
  <c r="U21"/>
  <c r="E28"/>
  <c r="F27"/>
  <c r="F16"/>
  <c r="Q16" s="1"/>
  <c r="F15"/>
  <c r="Q15" s="1"/>
  <c r="T38" l="1"/>
  <c r="S38"/>
  <c r="U38" s="1"/>
  <c r="T69"/>
  <c r="R69"/>
  <c r="P69"/>
  <c r="S69"/>
  <c r="Q69"/>
  <c r="H27"/>
  <c r="Q27"/>
  <c r="R27"/>
  <c r="T36"/>
  <c r="S36"/>
  <c r="U36" s="1"/>
  <c r="T39"/>
  <c r="S39"/>
  <c r="U39" s="1"/>
  <c r="T32"/>
  <c r="Q32"/>
  <c r="S32"/>
  <c r="R32"/>
  <c r="P27"/>
  <c r="U27" s="1"/>
  <c r="U19"/>
  <c r="U14"/>
  <c r="U15"/>
  <c r="U16"/>
  <c r="U17"/>
  <c r="U18"/>
  <c r="U20"/>
  <c r="U69" l="1"/>
  <c r="O90"/>
  <c r="O16" l="1"/>
  <c r="O15"/>
  <c r="N15"/>
  <c r="N16"/>
  <c r="M51"/>
  <c r="M20"/>
  <c r="M19"/>
  <c r="M15"/>
  <c r="M16"/>
  <c r="L53" l="1"/>
  <c r="L52"/>
  <c r="L40" l="1"/>
  <c r="L35"/>
  <c r="K35"/>
  <c r="L16"/>
  <c r="L15"/>
  <c r="K15"/>
  <c r="K40" l="1"/>
  <c r="J35"/>
  <c r="K16"/>
  <c r="J15"/>
  <c r="S79" l="1"/>
  <c r="U79" s="1"/>
  <c r="F52" l="1"/>
  <c r="F28" l="1"/>
  <c r="H79"/>
  <c r="J40"/>
  <c r="I40"/>
  <c r="I35"/>
  <c r="Q28" l="1"/>
  <c r="R28"/>
  <c r="P28"/>
  <c r="O28"/>
  <c r="N28"/>
  <c r="M28"/>
  <c r="U28" l="1"/>
  <c r="L38"/>
  <c r="K38"/>
  <c r="J38"/>
  <c r="I38"/>
  <c r="I62"/>
  <c r="F59" l="1"/>
  <c r="H59" s="1"/>
  <c r="F56"/>
  <c r="S56" l="1"/>
  <c r="T56"/>
  <c r="L56"/>
  <c r="K56"/>
  <c r="I56"/>
  <c r="J56"/>
  <c r="I52"/>
  <c r="H52"/>
  <c r="F48"/>
  <c r="H19"/>
  <c r="H20"/>
  <c r="H56"/>
  <c r="Q48" l="1"/>
  <c r="T48"/>
  <c r="U56"/>
  <c r="M48"/>
  <c r="I48"/>
  <c r="H47"/>
  <c r="M47"/>
  <c r="J48"/>
  <c r="U48" l="1"/>
  <c r="I53"/>
  <c r="H98" l="1"/>
  <c r="F99"/>
  <c r="E82"/>
  <c r="H86" s="1"/>
  <c r="F80"/>
  <c r="H77"/>
  <c r="H69"/>
  <c r="F67"/>
  <c r="F66"/>
  <c r="F65"/>
  <c r="F64"/>
  <c r="F63"/>
  <c r="H62"/>
  <c r="H61"/>
  <c r="H53"/>
  <c r="H51"/>
  <c r="F50"/>
  <c r="R50" s="1"/>
  <c r="U50" s="1"/>
  <c r="F49"/>
  <c r="R49" s="1"/>
  <c r="U49" s="1"/>
  <c r="F46"/>
  <c r="Q46" s="1"/>
  <c r="U46" s="1"/>
  <c r="F45"/>
  <c r="Q45" s="1"/>
  <c r="U45" s="1"/>
  <c r="F44"/>
  <c r="Q44" s="1"/>
  <c r="U44" s="1"/>
  <c r="F43"/>
  <c r="Q43" s="1"/>
  <c r="U43" s="1"/>
  <c r="H40"/>
  <c r="H38"/>
  <c r="F37"/>
  <c r="H35"/>
  <c r="H31"/>
  <c r="H30"/>
  <c r="F29"/>
  <c r="H28"/>
  <c r="F26"/>
  <c r="F25"/>
  <c r="F24"/>
  <c r="F21"/>
  <c r="F18"/>
  <c r="F17"/>
  <c r="F14"/>
  <c r="E13"/>
  <c r="F13" s="1"/>
  <c r="F12"/>
  <c r="F11"/>
  <c r="T12" l="1"/>
  <c r="R12"/>
  <c r="Q12"/>
  <c r="S12"/>
  <c r="S11"/>
  <c r="T11"/>
  <c r="Q11"/>
  <c r="R11"/>
  <c r="P11"/>
  <c r="T13"/>
  <c r="Q13"/>
  <c r="S13"/>
  <c r="R13"/>
  <c r="Q25"/>
  <c r="R25"/>
  <c r="U54"/>
  <c r="R24"/>
  <c r="P24"/>
  <c r="Q24"/>
  <c r="S29"/>
  <c r="T29"/>
  <c r="Q29"/>
  <c r="R29"/>
  <c r="P29"/>
  <c r="T37"/>
  <c r="S37"/>
  <c r="U37" s="1"/>
  <c r="T80"/>
  <c r="S80"/>
  <c r="R80"/>
  <c r="P80"/>
  <c r="U80" s="1"/>
  <c r="U81" s="1"/>
  <c r="Q80"/>
  <c r="O80"/>
  <c r="H21"/>
  <c r="M21"/>
  <c r="H14"/>
  <c r="M14"/>
  <c r="H18"/>
  <c r="M18"/>
  <c r="U29"/>
  <c r="O29"/>
  <c r="N29"/>
  <c r="M29"/>
  <c r="K29"/>
  <c r="L29"/>
  <c r="J29"/>
  <c r="H44"/>
  <c r="M44"/>
  <c r="H46"/>
  <c r="M46"/>
  <c r="H50"/>
  <c r="M50"/>
  <c r="H64"/>
  <c r="M64"/>
  <c r="H66"/>
  <c r="M66"/>
  <c r="N80"/>
  <c r="M80"/>
  <c r="L80"/>
  <c r="K80"/>
  <c r="J80"/>
  <c r="H17"/>
  <c r="M17"/>
  <c r="P32"/>
  <c r="U32" s="1"/>
  <c r="O32"/>
  <c r="N32"/>
  <c r="M32"/>
  <c r="K32"/>
  <c r="L32"/>
  <c r="J32"/>
  <c r="L37"/>
  <c r="K37"/>
  <c r="L39"/>
  <c r="K39"/>
  <c r="H43"/>
  <c r="M43"/>
  <c r="H45"/>
  <c r="M45"/>
  <c r="H49"/>
  <c r="M49"/>
  <c r="H63"/>
  <c r="M63"/>
  <c r="H65"/>
  <c r="M65"/>
  <c r="H67"/>
  <c r="M67"/>
  <c r="L36"/>
  <c r="K36"/>
  <c r="H26"/>
  <c r="M26"/>
  <c r="H25"/>
  <c r="P25"/>
  <c r="U25" s="1"/>
  <c r="O25"/>
  <c r="N25"/>
  <c r="M25"/>
  <c r="H24"/>
  <c r="O24"/>
  <c r="U24"/>
  <c r="N24"/>
  <c r="M24"/>
  <c r="O11"/>
  <c r="N11"/>
  <c r="M11"/>
  <c r="L11"/>
  <c r="K11"/>
  <c r="J11"/>
  <c r="J13"/>
  <c r="P13"/>
  <c r="U13" s="1"/>
  <c r="N13"/>
  <c r="M13"/>
  <c r="O13"/>
  <c r="L13"/>
  <c r="K13"/>
  <c r="J12"/>
  <c r="P12"/>
  <c r="O12"/>
  <c r="N12"/>
  <c r="M12"/>
  <c r="L12"/>
  <c r="K12"/>
  <c r="I11"/>
  <c r="I15"/>
  <c r="H32"/>
  <c r="I32"/>
  <c r="H36"/>
  <c r="J36"/>
  <c r="I36"/>
  <c r="I80"/>
  <c r="J16"/>
  <c r="I16"/>
  <c r="I29"/>
  <c r="H37"/>
  <c r="J37"/>
  <c r="I37"/>
  <c r="H39"/>
  <c r="J39"/>
  <c r="I39"/>
  <c r="H80"/>
  <c r="H81" s="1"/>
  <c r="H29"/>
  <c r="H48"/>
  <c r="H11"/>
  <c r="H12"/>
  <c r="I12"/>
  <c r="H16"/>
  <c r="H13"/>
  <c r="I13"/>
  <c r="H15"/>
  <c r="F82"/>
  <c r="T82" l="1"/>
  <c r="R82"/>
  <c r="P82"/>
  <c r="S82"/>
  <c r="Q82"/>
  <c r="U11"/>
  <c r="Q99"/>
  <c r="S99"/>
  <c r="R99"/>
  <c r="T99"/>
  <c r="H78"/>
  <c r="H54"/>
  <c r="H41"/>
  <c r="O82"/>
  <c r="U82"/>
  <c r="H33"/>
  <c r="N82"/>
  <c r="M82"/>
  <c r="L82"/>
  <c r="L99" s="1"/>
  <c r="K82"/>
  <c r="J82"/>
  <c r="K99"/>
  <c r="M99"/>
  <c r="N99"/>
  <c r="U78"/>
  <c r="O99"/>
  <c r="U12"/>
  <c r="P99"/>
  <c r="I82"/>
  <c r="U41"/>
  <c r="U33"/>
  <c r="J99"/>
  <c r="U22"/>
  <c r="H22"/>
  <c r="H85" s="1"/>
  <c r="H87" s="1"/>
  <c r="G99" s="1"/>
  <c r="H99" s="1"/>
  <c r="H82"/>
  <c r="H84" s="1"/>
  <c r="U84"/>
  <c r="U85" l="1"/>
  <c r="U99" s="1"/>
  <c r="C108" s="1"/>
  <c r="I99"/>
</calcChain>
</file>

<file path=xl/sharedStrings.xml><?xml version="1.0" encoding="utf-8"?>
<sst xmlns="http://schemas.openxmlformats.org/spreadsheetml/2006/main" count="298" uniqueCount="220">
  <si>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</si>
  <si>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</si>
  <si>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</si>
  <si>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</si>
  <si>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</si>
  <si>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</si>
  <si>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</si>
  <si>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</si>
  <si>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</si>
  <si>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</si>
  <si>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</si>
  <si>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</si>
  <si>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</si>
  <si>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</si>
  <si>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</si>
  <si>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</si>
  <si>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</si>
  <si>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</si>
  <si>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</si>
  <si>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</si>
  <si>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</si>
  <si>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</si>
  <si>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</si>
  <si>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</si>
  <si>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</si>
  <si>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</si>
  <si>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</si>
  <si>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</si>
  <si>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</si>
  <si>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</si>
  <si>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</si>
  <si>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</si>
  <si>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</si>
  <si>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</si>
  <si>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</si>
  <si>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</si>
  <si>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</si>
  <si>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</si>
  <si>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</si>
  <si>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</si>
  <si>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</si>
  <si>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</si>
  <si>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</si>
  <si>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</si>
  <si>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</si>
  <si>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</si>
  <si>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</si>
  <si>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</si>
  <si>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</si>
  <si>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</si>
  <si>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</si>
  <si>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</si>
  <si>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</si>
  <si>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</si>
  <si>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</si>
  <si>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</si>
  <si>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</si>
  <si>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</si>
  <si>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</si>
  <si>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</si>
  <si>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</si>
  <si>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</si>
  <si>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</si>
  <si>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</si>
  <si>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</si>
  <si>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</si>
  <si>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</si>
  <si>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</si>
  <si>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</si>
  <si>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</si>
  <si>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</si>
  <si>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</si>
  <si>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</si>
  <si>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Электроснабжение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</si>
  <si>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</si>
  <si>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</si>
  <si>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</si>
  <si>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</si>
  <si>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</si>
  <si>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</si>
  <si>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</si>
  <si>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</si>
  <si>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</si>
  <si>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</si>
  <si>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</si>
  <si>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</si>
  <si>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</si>
  <si>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</si>
  <si>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</si>
  <si>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</si>
  <si>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</si>
  <si>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</si>
  <si>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</si>
  <si>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</si>
  <si>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</si>
  <si>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</si>
  <si>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водосток</t>
  </si>
  <si>
    <t>Влажная протирка подоконников</t>
  </si>
  <si>
    <t>Влажная протирка шкафов для щитов и слаботочн.устройств</t>
  </si>
  <si>
    <t>Осмотр деревянных конструкций стропил</t>
  </si>
  <si>
    <t>100 м3</t>
  </si>
  <si>
    <t>2-1-1а</t>
  </si>
  <si>
    <t>Проверка дымоходов</t>
  </si>
  <si>
    <t>6 раз за сезон</t>
  </si>
  <si>
    <t>Очистка от мусора</t>
  </si>
  <si>
    <t>10 шт.</t>
  </si>
  <si>
    <t>Смена ламп накаливания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</si>
  <si>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</si>
  <si>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</si>
  <si>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</si>
  <si>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</si>
  <si>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</si>
  <si>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</si>
  <si>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</si>
  <si>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</si>
  <si>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</si>
  <si>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</si>
  <si>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</si>
  <si>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</si>
  <si>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этажа, 3 подъезда</t>
  </si>
  <si>
    <t>Стоимость (руб.)</t>
  </si>
  <si>
    <t>договор</t>
  </si>
  <si>
    <t>ТО внутридомового газ.оборудования</t>
  </si>
  <si>
    <t>Баланс выполненных работ на 01.01.2016 г. ( -долг за предприятием, +долг за населением)</t>
  </si>
  <si>
    <t>калькуляция</t>
  </si>
  <si>
    <t>Работа автовышки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</si>
  <si>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</si>
  <si>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</si>
  <si>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</si>
  <si>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</si>
  <si>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</si>
  <si>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</si>
  <si>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</si>
  <si>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</si>
  <si>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Внеплановый осмотр электросетей, армазуры и электрооборудования на лестничных клетках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</si>
  <si>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</si>
  <si>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</si>
  <si>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</si>
  <si>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</si>
  <si>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</si>
  <si>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</si>
  <si>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</si>
  <si>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</si>
  <si>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</si>
  <si>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</si>
  <si>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</si>
  <si>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</si>
  <si>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</si>
  <si>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</si>
  <si>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</si>
  <si>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</si>
  <si>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</si>
  <si>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</si>
  <si>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</si>
  <si>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</si>
  <si>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</si>
  <si>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</si>
  <si>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</si>
  <si>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</si>
  <si>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</si>
  <si>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</si>
  <si>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</si>
  <si>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</si>
  <si>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42-003</t>
  </si>
  <si>
    <t xml:space="preserve">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</si>
  <si>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</si>
  <si>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</si>
  <si>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</si>
  <si>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</si>
  <si>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</si>
  <si>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</si>
  <si>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33-019</t>
  </si>
  <si>
    <t>ТЕР 33-049</t>
  </si>
  <si>
    <t>ТЕР 33-043</t>
  </si>
  <si>
    <t>Начислено за содержание и текущий ремонт за 2016  г.</t>
  </si>
  <si>
    <t>Выполнено работ по содержанию за 2016 г.</t>
  </si>
  <si>
    <t>Выполнено работ по текущему ремонту за 2016 г.</t>
  </si>
  <si>
    <t>Фактически оплачено за 2016 г.</t>
  </si>
  <si>
    <t>Влажное подметание лестничных клеток 2-3 этажа</t>
  </si>
  <si>
    <t>Мытье лестничных  площадок и маршей 1-3 этаж.</t>
  </si>
  <si>
    <t xml:space="preserve">2 раза в месяц 24 раза в год </t>
  </si>
  <si>
    <t xml:space="preserve"> - Уборка газонов, грунта</t>
  </si>
  <si>
    <t>ТЕР 53-003</t>
  </si>
  <si>
    <t>Очистка урн от мусора</t>
  </si>
  <si>
    <t>30 раз за сезон</t>
  </si>
  <si>
    <t>35 раз за сезон</t>
  </si>
  <si>
    <t>20 раз за сезон</t>
  </si>
  <si>
    <t>2 раз в год</t>
  </si>
  <si>
    <t>маш-час</t>
  </si>
  <si>
    <t>ТО внутренних сетей водопровода и канализации</t>
  </si>
  <si>
    <t>руб/м2 в мес.</t>
  </si>
  <si>
    <t>пр.ТЕР 33-024</t>
  </si>
  <si>
    <t>Смена светодиодных светильников</t>
  </si>
  <si>
    <t>1 шт.</t>
  </si>
  <si>
    <t>счёт</t>
  </si>
  <si>
    <t>Стоимость светодиодного светильника</t>
  </si>
  <si>
    <t>руб.</t>
  </si>
  <si>
    <t>ТЭР 33-030</t>
  </si>
  <si>
    <t>Ремонт групповых щитков на лестничной клетке без ремонта автоматов</t>
  </si>
  <si>
    <t>ТЕР 31-045</t>
  </si>
  <si>
    <t>Проверка на прогрев отопительных приборов</t>
  </si>
  <si>
    <t>прибор</t>
  </si>
  <si>
    <t>Осмотр шиферной кровли</t>
  </si>
  <si>
    <t>пр.ТЕР 32-098</t>
  </si>
  <si>
    <t>Устройство хомута диаметром до 50 мм</t>
  </si>
  <si>
    <t>место</t>
  </si>
  <si>
    <t>Смена стекол в деревянных переплетах при площади стекла до 1,0 м2</t>
  </si>
  <si>
    <t>10 м2</t>
  </si>
  <si>
    <t>ТЕР 15-009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</si>
  <si>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август-декабрь 2016 года</t>
    </r>
  </si>
  <si>
    <t>Возмещение затрат управляющей компании по косметическому ремонту подъездов</t>
  </si>
  <si>
    <t>руб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</si>
  <si>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</si>
  <si>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</si>
  <si>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1 шт</t>
  </si>
  <si>
    <t>пр.ТЕР 32-028</t>
  </si>
  <si>
    <t>Смена вентилей диаметром до 32 мм (без стоимости материалов)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</si>
  <si>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</si>
  <si>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</si>
  <si>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ТЕР 2-2-1-2-7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</si>
</sst>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1" fillId="12" borderId="3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4" fontId="1" fillId="13" borderId="3" xfId="0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0" fontId="1" fillId="0" borderId="20" xfId="0" applyFont="1" applyBorder="1"/>
    <xf numFmtId="4" fontId="1" fillId="4" borderId="2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12"/>
  <sheetViews>
    <sheetView tabSelected="1" view="pageBreakPreview" zoomScaleNormal="75" zoomScaleSheetLayoutView="100" workbookViewId="0">
      <pane ySplit="7" topLeftCell="A104" activePane="bottomLeft" state="frozen"/>
      <selection activeCell="B1" sqref="B1"/>
      <selection pane="bottomLeft" activeCell="C106" sqref="C106:F106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5" width="9.85546875" hidden="1" customWidth="1"/>
    <col min="16" max="20" width="9.85546875" customWidth="1"/>
    <col min="21" max="21" width="12.28515625" customWidth="1"/>
    <col min="22" max="23" width="9.85546875" style="154" customWidth="1"/>
  </cols>
  <sheetData>
    <row r="1" spans="1:21" ht="14.25" customHeight="1"/>
    <row r="3" spans="1:21" ht="18">
      <c r="A3" s="127"/>
      <c r="B3" s="165" t="s">
        <v>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11"/>
      <c r="N3" s="111"/>
      <c r="O3" s="111"/>
      <c r="P3" s="111"/>
      <c r="Q3" s="111"/>
      <c r="R3" s="111"/>
      <c r="S3" s="111"/>
      <c r="T3" s="111"/>
      <c r="U3" s="111"/>
    </row>
    <row r="4" spans="1:21" ht="34.5" customHeight="1">
      <c r="A4" s="111"/>
      <c r="B4" s="166" t="s">
        <v>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18">
      <c r="A5" s="111"/>
      <c r="B5" s="166" t="s">
        <v>209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11"/>
      <c r="N5" s="111"/>
      <c r="O5" s="111"/>
      <c r="P5" s="111"/>
      <c r="Q5" s="111"/>
      <c r="R5" s="111"/>
      <c r="S5" s="111"/>
      <c r="T5" s="111"/>
      <c r="U5" s="111"/>
    </row>
    <row r="6" spans="1:21" ht="15">
      <c r="A6" s="111"/>
      <c r="B6" s="167" t="s">
        <v>119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11"/>
      <c r="N6" s="111"/>
      <c r="O6" s="111"/>
      <c r="P6" s="111"/>
      <c r="Q6" s="111"/>
      <c r="R6" s="111"/>
      <c r="S6" s="111"/>
      <c r="T6" s="111"/>
      <c r="U6" s="111"/>
    </row>
    <row r="7" spans="1:21" ht="48.75" customHeight="1">
      <c r="A7" s="134" t="s">
        <v>2</v>
      </c>
      <c r="B7" s="135" t="s">
        <v>3</v>
      </c>
      <c r="C7" s="135" t="s">
        <v>4</v>
      </c>
      <c r="D7" s="135" t="s">
        <v>5</v>
      </c>
      <c r="E7" s="135" t="s">
        <v>6</v>
      </c>
      <c r="F7" s="135" t="s">
        <v>7</v>
      </c>
      <c r="G7" s="135" t="s">
        <v>8</v>
      </c>
      <c r="H7" s="136" t="s">
        <v>9</v>
      </c>
      <c r="I7" s="26" t="s">
        <v>107</v>
      </c>
      <c r="J7" s="26" t="s">
        <v>108</v>
      </c>
      <c r="K7" s="26" t="s">
        <v>109</v>
      </c>
      <c r="L7" s="26" t="s">
        <v>110</v>
      </c>
      <c r="M7" s="26" t="s">
        <v>111</v>
      </c>
      <c r="N7" s="26" t="s">
        <v>112</v>
      </c>
      <c r="O7" s="26" t="s">
        <v>113</v>
      </c>
      <c r="P7" s="26" t="s">
        <v>114</v>
      </c>
      <c r="Q7" s="26" t="s">
        <v>115</v>
      </c>
      <c r="R7" s="26" t="s">
        <v>116</v>
      </c>
      <c r="S7" s="26" t="s">
        <v>117</v>
      </c>
      <c r="T7" s="26" t="s">
        <v>118</v>
      </c>
      <c r="U7" s="26" t="s">
        <v>120</v>
      </c>
    </row>
    <row r="8" spans="1:21">
      <c r="A8" s="137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9</v>
      </c>
      <c r="Q8" s="29">
        <v>10</v>
      </c>
      <c r="R8" s="29">
        <v>11</v>
      </c>
      <c r="S8" s="29">
        <v>12</v>
      </c>
      <c r="T8" s="29">
        <v>13</v>
      </c>
      <c r="U8" s="29">
        <v>14</v>
      </c>
    </row>
    <row r="9" spans="1:21" ht="38.25">
      <c r="A9" s="137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37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37" t="s">
        <v>135</v>
      </c>
      <c r="B11" s="11" t="s">
        <v>12</v>
      </c>
      <c r="C11" s="27" t="s">
        <v>13</v>
      </c>
      <c r="D11" s="11" t="s">
        <v>14</v>
      </c>
      <c r="E11" s="34">
        <v>54.2</v>
      </c>
      <c r="F11" s="35">
        <f>SUM(E11*156/100)</f>
        <v>84.552000000000007</v>
      </c>
      <c r="G11" s="35">
        <v>218.21</v>
      </c>
      <c r="H11" s="36">
        <f t="shared" ref="H11:H21" si="0">SUM(F11*G11/1000)</f>
        <v>18.450091920000002</v>
      </c>
      <c r="I11" s="37">
        <f>F11/12*G11</f>
        <v>1537.5076600000002</v>
      </c>
      <c r="J11" s="37">
        <f>F11/12*G11</f>
        <v>1537.5076600000002</v>
      </c>
      <c r="K11" s="37">
        <f>F11/12*G11</f>
        <v>1537.5076600000002</v>
      </c>
      <c r="L11" s="37">
        <f>F11/12*G11</f>
        <v>1537.5076600000002</v>
      </c>
      <c r="M11" s="37">
        <f>F11/12*G11</f>
        <v>1537.5076600000002</v>
      </c>
      <c r="N11" s="37">
        <f>F11/12*G11</f>
        <v>1537.5076600000002</v>
      </c>
      <c r="O11" s="37">
        <f>F11/12*G11</f>
        <v>1537.5076600000002</v>
      </c>
      <c r="P11" s="37">
        <f>F11/12*G11</f>
        <v>1537.5076600000002</v>
      </c>
      <c r="Q11" s="37">
        <f>F11/12*G11</f>
        <v>1537.5076600000002</v>
      </c>
      <c r="R11" s="37">
        <f>F11/12*G11</f>
        <v>1537.5076600000002</v>
      </c>
      <c r="S11" s="37">
        <f>F11/12*G11</f>
        <v>1537.5076600000002</v>
      </c>
      <c r="T11" s="37">
        <f>F11/12*G11</f>
        <v>1537.5076600000002</v>
      </c>
      <c r="U11" s="37">
        <f>SUM(P11:T11)</f>
        <v>7687.5383000000011</v>
      </c>
    </row>
    <row r="12" spans="1:21" ht="25.5">
      <c r="A12" s="137" t="s">
        <v>135</v>
      </c>
      <c r="B12" s="11" t="s">
        <v>178</v>
      </c>
      <c r="C12" s="27" t="s">
        <v>13</v>
      </c>
      <c r="D12" s="11" t="s">
        <v>15</v>
      </c>
      <c r="E12" s="34">
        <v>108.5</v>
      </c>
      <c r="F12" s="35">
        <f>SUM(E12*104/100)</f>
        <v>112.84</v>
      </c>
      <c r="G12" s="35">
        <v>218.21</v>
      </c>
      <c r="H12" s="36">
        <f t="shared" si="0"/>
        <v>24.622816400000005</v>
      </c>
      <c r="I12" s="37">
        <f>F12/4*G12</f>
        <v>6155.7041000000008</v>
      </c>
      <c r="J12" s="37">
        <f>F12/12*G12</f>
        <v>2051.9013666666669</v>
      </c>
      <c r="K12" s="37">
        <f t="shared" ref="K12:K13" si="1">F12/12*G12</f>
        <v>2051.9013666666669</v>
      </c>
      <c r="L12" s="37">
        <f t="shared" ref="L12:L13" si="2">F12/12*G12</f>
        <v>2051.9013666666669</v>
      </c>
      <c r="M12" s="37">
        <f t="shared" ref="M12:M16" si="3">F12/12*G12</f>
        <v>2051.9013666666669</v>
      </c>
      <c r="N12" s="37">
        <f t="shared" ref="N12:N16" si="4">F12/12*G12</f>
        <v>2051.9013666666669</v>
      </c>
      <c r="O12" s="37">
        <f t="shared" ref="O12:O13" si="5">F12/12*G12</f>
        <v>2051.9013666666669</v>
      </c>
      <c r="P12" s="37">
        <f t="shared" ref="P12:P13" si="6">F12/12*G12</f>
        <v>2051.9013666666669</v>
      </c>
      <c r="Q12" s="37">
        <f t="shared" ref="Q12:Q13" si="7">F12/12*G12</f>
        <v>2051.9013666666669</v>
      </c>
      <c r="R12" s="37">
        <f t="shared" ref="R12:R13" si="8">F12/12*G12</f>
        <v>2051.9013666666669</v>
      </c>
      <c r="S12" s="37">
        <f t="shared" ref="S12:S13" si="9">F12/12*G12</f>
        <v>2051.9013666666669</v>
      </c>
      <c r="T12" s="37">
        <f t="shared" ref="T12:T13" si="10">F12/12*G12</f>
        <v>2051.9013666666669</v>
      </c>
      <c r="U12" s="37">
        <f t="shared" ref="U12:U20" si="11">SUM(P12:T12)</f>
        <v>10259.506833333335</v>
      </c>
    </row>
    <row r="13" spans="1:21" ht="25.5">
      <c r="A13" s="137" t="s">
        <v>136</v>
      </c>
      <c r="B13" s="11" t="s">
        <v>179</v>
      </c>
      <c r="C13" s="27" t="s">
        <v>13</v>
      </c>
      <c r="D13" s="11" t="s">
        <v>180</v>
      </c>
      <c r="E13" s="34">
        <f>SUM(E11+E12)</f>
        <v>162.69999999999999</v>
      </c>
      <c r="F13" s="35">
        <f>SUM(E13*24/100)</f>
        <v>39.047999999999995</v>
      </c>
      <c r="G13" s="35">
        <v>627.77</v>
      </c>
      <c r="H13" s="36">
        <f t="shared" si="0"/>
        <v>24.513162959999995</v>
      </c>
      <c r="I13" s="37">
        <f>F13/24*6*G13</f>
        <v>6128.2907399999986</v>
      </c>
      <c r="J13" s="37">
        <f>F13/12*G13</f>
        <v>2042.7635799999996</v>
      </c>
      <c r="K13" s="37">
        <f t="shared" si="1"/>
        <v>2042.7635799999996</v>
      </c>
      <c r="L13" s="37">
        <f t="shared" si="2"/>
        <v>2042.7635799999996</v>
      </c>
      <c r="M13" s="37">
        <f t="shared" si="3"/>
        <v>2042.7635799999996</v>
      </c>
      <c r="N13" s="37">
        <f t="shared" si="4"/>
        <v>2042.7635799999996</v>
      </c>
      <c r="O13" s="37">
        <f t="shared" si="5"/>
        <v>2042.7635799999996</v>
      </c>
      <c r="P13" s="37">
        <f t="shared" si="6"/>
        <v>2042.7635799999996</v>
      </c>
      <c r="Q13" s="37">
        <f t="shared" si="7"/>
        <v>2042.7635799999996</v>
      </c>
      <c r="R13" s="37">
        <f t="shared" si="8"/>
        <v>2042.7635799999996</v>
      </c>
      <c r="S13" s="37">
        <f t="shared" si="9"/>
        <v>2042.7635799999996</v>
      </c>
      <c r="T13" s="37">
        <f t="shared" si="10"/>
        <v>2042.7635799999996</v>
      </c>
      <c r="U13" s="37">
        <f t="shared" si="11"/>
        <v>10213.817899999998</v>
      </c>
    </row>
    <row r="14" spans="1:21">
      <c r="A14" s="137" t="s">
        <v>137</v>
      </c>
      <c r="B14" s="11" t="s">
        <v>16</v>
      </c>
      <c r="C14" s="27" t="s">
        <v>17</v>
      </c>
      <c r="D14" s="11" t="s">
        <v>90</v>
      </c>
      <c r="E14" s="34">
        <v>15.3</v>
      </c>
      <c r="F14" s="35">
        <f>SUM(E14/10)</f>
        <v>1.53</v>
      </c>
      <c r="G14" s="35">
        <v>211.74</v>
      </c>
      <c r="H14" s="36">
        <f t="shared" si="0"/>
        <v>0.32396219999999998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161.9811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1"/>
        <v>0</v>
      </c>
    </row>
    <row r="15" spans="1:21">
      <c r="A15" s="137" t="s">
        <v>138</v>
      </c>
      <c r="B15" s="11" t="s">
        <v>18</v>
      </c>
      <c r="C15" s="27" t="s">
        <v>13</v>
      </c>
      <c r="D15" s="11" t="s">
        <v>48</v>
      </c>
      <c r="E15" s="34">
        <v>19.62</v>
      </c>
      <c r="F15" s="35">
        <f>SUM(E15*2/100)</f>
        <v>0.39240000000000003</v>
      </c>
      <c r="G15" s="35">
        <v>271.12</v>
      </c>
      <c r="H15" s="36">
        <f t="shared" si="0"/>
        <v>0.106387488</v>
      </c>
      <c r="I15" s="37">
        <f>F15/12*G15</f>
        <v>8.8656240000000004</v>
      </c>
      <c r="J15" s="37">
        <f>F15/12*G15</f>
        <v>8.8656240000000004</v>
      </c>
      <c r="K15" s="37">
        <f>F15/12*G15</f>
        <v>8.8656240000000004</v>
      </c>
      <c r="L15" s="37">
        <f>F15/12*G15</f>
        <v>8.8656240000000004</v>
      </c>
      <c r="M15" s="37">
        <f t="shared" si="3"/>
        <v>8.8656240000000004</v>
      </c>
      <c r="N15" s="37">
        <f>F15/12*G15</f>
        <v>8.8656240000000004</v>
      </c>
      <c r="O15" s="37">
        <f>F15/12*G15</f>
        <v>8.8656240000000004</v>
      </c>
      <c r="P15" s="37">
        <v>0</v>
      </c>
      <c r="Q15" s="37">
        <f>F15/2*G15</f>
        <v>53.193744000000002</v>
      </c>
      <c r="R15" s="37">
        <v>0</v>
      </c>
      <c r="S15" s="37">
        <v>0</v>
      </c>
      <c r="T15" s="37">
        <v>0</v>
      </c>
      <c r="U15" s="37">
        <f t="shared" si="11"/>
        <v>53.193744000000002</v>
      </c>
    </row>
    <row r="16" spans="1:21">
      <c r="A16" s="137" t="s">
        <v>139</v>
      </c>
      <c r="B16" s="11" t="s">
        <v>19</v>
      </c>
      <c r="C16" s="27" t="s">
        <v>13</v>
      </c>
      <c r="D16" s="11" t="s">
        <v>48</v>
      </c>
      <c r="E16" s="34">
        <v>8.68</v>
      </c>
      <c r="F16" s="35">
        <f>SUM(E16*2/100)</f>
        <v>0.1736</v>
      </c>
      <c r="G16" s="35">
        <v>268.92</v>
      </c>
      <c r="H16" s="36">
        <f t="shared" si="0"/>
        <v>4.6684512000000004E-2</v>
      </c>
      <c r="I16" s="37">
        <f>F16/12*G16</f>
        <v>3.8903760000000003</v>
      </c>
      <c r="J16" s="37">
        <f>F16/12*G16</f>
        <v>3.8903760000000003</v>
      </c>
      <c r="K16" s="37">
        <f>F16/12*G16</f>
        <v>3.8903760000000003</v>
      </c>
      <c r="L16" s="37">
        <f>F16/12*G16</f>
        <v>3.8903760000000003</v>
      </c>
      <c r="M16" s="37">
        <f t="shared" si="3"/>
        <v>3.8903760000000003</v>
      </c>
      <c r="N16" s="37">
        <f t="shared" si="4"/>
        <v>3.8903760000000003</v>
      </c>
      <c r="O16" s="37">
        <f>F16/12*G16</f>
        <v>3.8903760000000003</v>
      </c>
      <c r="P16" s="37">
        <v>0</v>
      </c>
      <c r="Q16" s="37">
        <f>F16/2*G16</f>
        <v>23.342256000000003</v>
      </c>
      <c r="R16" s="37">
        <v>0</v>
      </c>
      <c r="S16" s="37">
        <v>0</v>
      </c>
      <c r="T16" s="37">
        <v>0</v>
      </c>
      <c r="U16" s="37">
        <f t="shared" si="11"/>
        <v>23.342256000000003</v>
      </c>
    </row>
    <row r="17" spans="1:23">
      <c r="A17" s="137" t="s">
        <v>140</v>
      </c>
      <c r="B17" s="11" t="s">
        <v>20</v>
      </c>
      <c r="C17" s="27" t="s">
        <v>21</v>
      </c>
      <c r="D17" s="11" t="s">
        <v>90</v>
      </c>
      <c r="E17" s="34">
        <v>215</v>
      </c>
      <c r="F17" s="35">
        <f>SUM(E17/100)</f>
        <v>2.15</v>
      </c>
      <c r="G17" s="35">
        <v>335.05</v>
      </c>
      <c r="H17" s="36">
        <f t="shared" si="0"/>
        <v>0.72035749999999998</v>
      </c>
      <c r="I17" s="37">
        <v>0</v>
      </c>
      <c r="J17" s="37">
        <v>0</v>
      </c>
      <c r="K17" s="37">
        <v>0</v>
      </c>
      <c r="L17" s="37">
        <v>0</v>
      </c>
      <c r="M17" s="37">
        <f>F17*G17</f>
        <v>720.35749999999996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1"/>
        <v>0</v>
      </c>
    </row>
    <row r="18" spans="1:23">
      <c r="A18" s="137" t="s">
        <v>141</v>
      </c>
      <c r="B18" s="11" t="s">
        <v>22</v>
      </c>
      <c r="C18" s="27" t="s">
        <v>21</v>
      </c>
      <c r="D18" s="11" t="s">
        <v>90</v>
      </c>
      <c r="E18" s="39">
        <v>17.64</v>
      </c>
      <c r="F18" s="35">
        <f>SUM(E18/100)</f>
        <v>0.1764</v>
      </c>
      <c r="G18" s="35">
        <v>55.1</v>
      </c>
      <c r="H18" s="36">
        <f t="shared" si="0"/>
        <v>9.7196399999999999E-3</v>
      </c>
      <c r="I18" s="37">
        <v>0</v>
      </c>
      <c r="J18" s="37">
        <v>0</v>
      </c>
      <c r="K18" s="37">
        <v>0</v>
      </c>
      <c r="L18" s="37">
        <v>0</v>
      </c>
      <c r="M18" s="37">
        <f>F18*G18</f>
        <v>9.7196400000000001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1"/>
        <v>0</v>
      </c>
    </row>
    <row r="19" spans="1:23">
      <c r="A19" s="137" t="s">
        <v>142</v>
      </c>
      <c r="B19" s="11" t="s">
        <v>97</v>
      </c>
      <c r="C19" s="27" t="s">
        <v>21</v>
      </c>
      <c r="D19" s="11" t="s">
        <v>90</v>
      </c>
      <c r="E19" s="40">
        <v>4.5</v>
      </c>
      <c r="F19" s="41">
        <v>0.05</v>
      </c>
      <c r="G19" s="35">
        <v>484.94</v>
      </c>
      <c r="H19" s="36">
        <f>F19*G19/1000</f>
        <v>2.4247000000000001E-2</v>
      </c>
      <c r="I19" s="37">
        <v>0</v>
      </c>
      <c r="J19" s="37">
        <v>0</v>
      </c>
      <c r="K19" s="37">
        <v>0</v>
      </c>
      <c r="L19" s="37">
        <v>0</v>
      </c>
      <c r="M19" s="37">
        <f>F19*G19</f>
        <v>24.247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1"/>
        <v>0</v>
      </c>
    </row>
    <row r="20" spans="1:23" ht="25.5">
      <c r="A20" s="137" t="s">
        <v>143</v>
      </c>
      <c r="B20" s="11" t="s">
        <v>98</v>
      </c>
      <c r="C20" s="27" t="s">
        <v>21</v>
      </c>
      <c r="D20" s="11" t="s">
        <v>90</v>
      </c>
      <c r="E20" s="39">
        <v>9.4499999999999993</v>
      </c>
      <c r="F20" s="35">
        <v>0.09</v>
      </c>
      <c r="G20" s="35">
        <v>268.92</v>
      </c>
      <c r="H20" s="36">
        <f>F20*G20/1000</f>
        <v>2.42028E-2</v>
      </c>
      <c r="I20" s="37">
        <v>0</v>
      </c>
      <c r="J20" s="37">
        <v>0</v>
      </c>
      <c r="K20" s="37">
        <v>0</v>
      </c>
      <c r="L20" s="37">
        <v>0</v>
      </c>
      <c r="M20" s="37">
        <f>F20*G20</f>
        <v>24.2028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1"/>
        <v>0</v>
      </c>
    </row>
    <row r="21" spans="1:23">
      <c r="A21" s="137" t="s">
        <v>144</v>
      </c>
      <c r="B21" s="11" t="s">
        <v>23</v>
      </c>
      <c r="C21" s="27" t="s">
        <v>21</v>
      </c>
      <c r="D21" s="11" t="s">
        <v>90</v>
      </c>
      <c r="E21" s="34">
        <v>14.4</v>
      </c>
      <c r="F21" s="35">
        <f>SUM(E21/100)</f>
        <v>0.14400000000000002</v>
      </c>
      <c r="G21" s="35">
        <v>648.04999999999995</v>
      </c>
      <c r="H21" s="36">
        <f t="shared" si="0"/>
        <v>9.3319200000000005E-2</v>
      </c>
      <c r="I21" s="37">
        <v>0</v>
      </c>
      <c r="J21" s="37">
        <v>0</v>
      </c>
      <c r="K21" s="37">
        <v>0</v>
      </c>
      <c r="L21" s="37">
        <v>0</v>
      </c>
      <c r="M21" s="37">
        <f>F21*G21</f>
        <v>93.319200000000009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>SUM(P21:T21)</f>
        <v>0</v>
      </c>
    </row>
    <row r="22" spans="1:23" s="19" customFormat="1">
      <c r="A22" s="138"/>
      <c r="B22" s="20" t="s">
        <v>24</v>
      </c>
      <c r="C22" s="42"/>
      <c r="D22" s="20"/>
      <c r="E22" s="43"/>
      <c r="F22" s="44"/>
      <c r="G22" s="44"/>
      <c r="H22" s="45">
        <f>SUM(H11:H21)</f>
        <v>68.934951619999993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28237.399033333335</v>
      </c>
      <c r="V22" s="154"/>
      <c r="W22" s="154"/>
    </row>
    <row r="23" spans="1:23">
      <c r="A23" s="137"/>
      <c r="B23" s="12" t="s">
        <v>25</v>
      </c>
      <c r="C23" s="27"/>
      <c r="D23" s="11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3" ht="25.5" customHeight="1">
      <c r="A24" s="137" t="s">
        <v>145</v>
      </c>
      <c r="B24" s="11" t="s">
        <v>181</v>
      </c>
      <c r="C24" s="27" t="s">
        <v>27</v>
      </c>
      <c r="D24" s="11" t="s">
        <v>26</v>
      </c>
      <c r="E24" s="35">
        <v>58</v>
      </c>
      <c r="F24" s="35">
        <f>SUM(E24*52/1000)</f>
        <v>3.016</v>
      </c>
      <c r="G24" s="35">
        <v>193.97</v>
      </c>
      <c r="H24" s="36">
        <f t="shared" ref="H24:H32" si="12">SUM(F24*G24/1000)</f>
        <v>0.58501351999999995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97.502253333333343</v>
      </c>
      <c r="N24" s="37">
        <f>F24/6*G24</f>
        <v>97.502253333333343</v>
      </c>
      <c r="O24" s="37">
        <f>F24/6*G24</f>
        <v>97.502253333333343</v>
      </c>
      <c r="P24" s="37">
        <f>F24/6*G24</f>
        <v>97.502253333333343</v>
      </c>
      <c r="Q24" s="37">
        <f>F24/6*G24</f>
        <v>97.502253333333343</v>
      </c>
      <c r="R24" s="37">
        <f>F24/6*G24</f>
        <v>97.502253333333343</v>
      </c>
      <c r="S24" s="37">
        <v>0</v>
      </c>
      <c r="T24" s="37">
        <v>0</v>
      </c>
      <c r="U24" s="37">
        <f>SUM(P24:T24)</f>
        <v>292.50676000000004</v>
      </c>
    </row>
    <row r="25" spans="1:23" ht="38.25" customHeight="1">
      <c r="A25" s="137" t="s">
        <v>146</v>
      </c>
      <c r="B25" s="11" t="s">
        <v>126</v>
      </c>
      <c r="C25" s="27" t="s">
        <v>27</v>
      </c>
      <c r="D25" s="11" t="s">
        <v>28</v>
      </c>
      <c r="E25" s="35">
        <v>48.3</v>
      </c>
      <c r="F25" s="35">
        <f>SUM(E25*78/1000)</f>
        <v>3.7673999999999994</v>
      </c>
      <c r="G25" s="35">
        <v>321.82</v>
      </c>
      <c r="H25" s="36">
        <f t="shared" si="12"/>
        <v>1.2124246679999999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202.07077799999996</v>
      </c>
      <c r="N25" s="37">
        <f t="shared" ref="N25:N28" si="13">F25/6*G25</f>
        <v>202.07077799999996</v>
      </c>
      <c r="O25" s="37">
        <f>F25/6*G25</f>
        <v>202.07077799999996</v>
      </c>
      <c r="P25" s="37">
        <f t="shared" ref="P25:P28" si="14">F25/6*G25</f>
        <v>202.07077799999996</v>
      </c>
      <c r="Q25" s="37">
        <f t="shared" ref="Q25" si="15">F25/6*G25</f>
        <v>202.07077799999996</v>
      </c>
      <c r="R25" s="37">
        <f t="shared" ref="R25" si="16">F25/6*G25</f>
        <v>202.07077799999996</v>
      </c>
      <c r="S25" s="37">
        <v>0</v>
      </c>
      <c r="T25" s="37">
        <v>0</v>
      </c>
      <c r="U25" s="37">
        <f t="shared" ref="U25:U32" si="17">SUM(P25:T25)</f>
        <v>606.21233399999983</v>
      </c>
    </row>
    <row r="26" spans="1:23">
      <c r="A26" s="137" t="s">
        <v>147</v>
      </c>
      <c r="B26" s="11" t="s">
        <v>29</v>
      </c>
      <c r="C26" s="27" t="s">
        <v>27</v>
      </c>
      <c r="D26" s="11" t="s">
        <v>30</v>
      </c>
      <c r="E26" s="35">
        <v>58</v>
      </c>
      <c r="F26" s="35">
        <f>SUM(E26/1000)</f>
        <v>5.8000000000000003E-2</v>
      </c>
      <c r="G26" s="35">
        <v>3758.28</v>
      </c>
      <c r="H26" s="36">
        <f t="shared" si="12"/>
        <v>0.21798024000000002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217.98024000000001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17"/>
        <v>0</v>
      </c>
    </row>
    <row r="27" spans="1:23">
      <c r="A27" s="137" t="s">
        <v>182</v>
      </c>
      <c r="B27" s="11" t="s">
        <v>183</v>
      </c>
      <c r="C27" s="27" t="s">
        <v>58</v>
      </c>
      <c r="D27" s="11" t="s">
        <v>33</v>
      </c>
      <c r="E27" s="35">
        <v>1</v>
      </c>
      <c r="F27" s="35">
        <f>E27*155/100</f>
        <v>1.55</v>
      </c>
      <c r="G27" s="35">
        <v>1620.15</v>
      </c>
      <c r="H27" s="36">
        <f t="shared" ref="H27" si="18">SUM(F27*G27/1000)</f>
        <v>2.5112325000000002</v>
      </c>
      <c r="I27" s="37"/>
      <c r="J27" s="37"/>
      <c r="K27" s="37"/>
      <c r="L27" s="37"/>
      <c r="M27" s="37"/>
      <c r="N27" s="37"/>
      <c r="O27" s="37"/>
      <c r="P27" s="37">
        <f t="shared" si="14"/>
        <v>418.53875000000005</v>
      </c>
      <c r="Q27" s="37">
        <f>F27/6*G27</f>
        <v>418.53875000000005</v>
      </c>
      <c r="R27" s="37">
        <f>F27/6*G27</f>
        <v>418.53875000000005</v>
      </c>
      <c r="S27" s="37">
        <v>0</v>
      </c>
      <c r="T27" s="37"/>
      <c r="U27" s="37">
        <f t="shared" si="17"/>
        <v>1255.61625</v>
      </c>
    </row>
    <row r="28" spans="1:23">
      <c r="A28" s="137" t="s">
        <v>148</v>
      </c>
      <c r="B28" s="11" t="s">
        <v>31</v>
      </c>
      <c r="C28" s="27" t="s">
        <v>32</v>
      </c>
      <c r="D28" s="11" t="s">
        <v>33</v>
      </c>
      <c r="E28" s="48">
        <f>1/3</f>
        <v>0.33333333333333331</v>
      </c>
      <c r="F28" s="35">
        <f>155/3</f>
        <v>51.666666666666664</v>
      </c>
      <c r="G28" s="35">
        <v>70.540000000000006</v>
      </c>
      <c r="H28" s="36">
        <f>SUM(G28*155/3/1000)</f>
        <v>3.644566666666667</v>
      </c>
      <c r="I28" s="37">
        <v>0</v>
      </c>
      <c r="J28" s="37">
        <v>0</v>
      </c>
      <c r="K28" s="37">
        <v>0</v>
      </c>
      <c r="L28" s="37">
        <v>0</v>
      </c>
      <c r="M28" s="37">
        <f>F28/6*G28</f>
        <v>607.42777777777781</v>
      </c>
      <c r="N28" s="37">
        <f t="shared" si="13"/>
        <v>607.42777777777781</v>
      </c>
      <c r="O28" s="37">
        <f>F28/6*G28</f>
        <v>607.42777777777781</v>
      </c>
      <c r="P28" s="37">
        <f t="shared" si="14"/>
        <v>607.42777777777781</v>
      </c>
      <c r="Q28" s="37">
        <f t="shared" ref="Q28" si="19">F28/6*G28</f>
        <v>607.42777777777781</v>
      </c>
      <c r="R28" s="37">
        <f t="shared" ref="R28" si="20">F28/6*G28</f>
        <v>607.42777777777781</v>
      </c>
      <c r="S28" s="37">
        <v>0</v>
      </c>
      <c r="T28" s="37">
        <v>0</v>
      </c>
      <c r="U28" s="37">
        <f t="shared" si="17"/>
        <v>1822.2833333333333</v>
      </c>
    </row>
    <row r="29" spans="1:23" ht="12.75" customHeight="1">
      <c r="A29" s="137" t="s">
        <v>149</v>
      </c>
      <c r="B29" s="11" t="s">
        <v>34</v>
      </c>
      <c r="C29" s="27" t="s">
        <v>35</v>
      </c>
      <c r="D29" s="11" t="s">
        <v>36</v>
      </c>
      <c r="E29" s="49">
        <v>0.1</v>
      </c>
      <c r="F29" s="35">
        <f>SUM(E29*365)</f>
        <v>36.5</v>
      </c>
      <c r="G29" s="35">
        <v>182.96</v>
      </c>
      <c r="H29" s="36">
        <f t="shared" si="12"/>
        <v>6.6780400000000002</v>
      </c>
      <c r="I29" s="37">
        <f>F29/12*G29</f>
        <v>556.50333333333333</v>
      </c>
      <c r="J29" s="37">
        <f>F29/12*G29</f>
        <v>556.50333333333333</v>
      </c>
      <c r="K29" s="37">
        <f>F29/12*G29</f>
        <v>556.50333333333333</v>
      </c>
      <c r="L29" s="37">
        <f>F29/12*G29</f>
        <v>556.50333333333333</v>
      </c>
      <c r="M29" s="37">
        <f>F29/12*G29</f>
        <v>556.50333333333333</v>
      </c>
      <c r="N29" s="37">
        <f>F29/12*G29</f>
        <v>556.50333333333333</v>
      </c>
      <c r="O29" s="37">
        <f>F29/12*G29</f>
        <v>556.50333333333333</v>
      </c>
      <c r="P29" s="37">
        <f>F29/12*G29</f>
        <v>556.50333333333333</v>
      </c>
      <c r="Q29" s="37">
        <f>F29/12*G29</f>
        <v>556.50333333333333</v>
      </c>
      <c r="R29" s="37">
        <f>F29/12*G29</f>
        <v>556.50333333333333</v>
      </c>
      <c r="S29" s="37">
        <f>F29/12*G29</f>
        <v>556.50333333333333</v>
      </c>
      <c r="T29" s="37">
        <f>F29/12*G29</f>
        <v>556.50333333333333</v>
      </c>
      <c r="U29" s="37">
        <f t="shared" si="17"/>
        <v>2782.5166666666664</v>
      </c>
    </row>
    <row r="30" spans="1:23" ht="12.75" customHeight="1">
      <c r="A30" s="137" t="s">
        <v>150</v>
      </c>
      <c r="B30" s="11" t="s">
        <v>127</v>
      </c>
      <c r="C30" s="27" t="s">
        <v>35</v>
      </c>
      <c r="D30" s="11" t="s">
        <v>37</v>
      </c>
      <c r="E30" s="34"/>
      <c r="F30" s="35">
        <v>1</v>
      </c>
      <c r="G30" s="35">
        <v>238.07</v>
      </c>
      <c r="H30" s="36">
        <f t="shared" si="12"/>
        <v>0.23807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17"/>
        <v>0</v>
      </c>
    </row>
    <row r="31" spans="1:23" ht="13.5" customHeight="1">
      <c r="A31" s="137" t="s">
        <v>124</v>
      </c>
      <c r="B31" s="11" t="s">
        <v>128</v>
      </c>
      <c r="C31" s="27" t="s">
        <v>38</v>
      </c>
      <c r="D31" s="11" t="s">
        <v>37</v>
      </c>
      <c r="E31" s="34"/>
      <c r="F31" s="35">
        <v>1</v>
      </c>
      <c r="G31" s="35">
        <v>1413.96</v>
      </c>
      <c r="H31" s="36">
        <f t="shared" si="12"/>
        <v>1.4139600000000001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17"/>
        <v>0</v>
      </c>
    </row>
    <row r="32" spans="1:23">
      <c r="A32" s="137"/>
      <c r="B32" s="50" t="s">
        <v>39</v>
      </c>
      <c r="C32" s="27" t="s">
        <v>40</v>
      </c>
      <c r="D32" s="50" t="s">
        <v>36</v>
      </c>
      <c r="E32" s="34">
        <v>1839.1</v>
      </c>
      <c r="F32" s="35">
        <f>SUM(E32*12)</f>
        <v>22069.199999999997</v>
      </c>
      <c r="G32" s="35">
        <v>4.58</v>
      </c>
      <c r="H32" s="36">
        <f t="shared" si="12"/>
        <v>101.07693599999999</v>
      </c>
      <c r="I32" s="37">
        <f>F32/12*G32</f>
        <v>8423.0779999999995</v>
      </c>
      <c r="J32" s="37">
        <f>F32/12*G32</f>
        <v>8423.0779999999995</v>
      </c>
      <c r="K32" s="37">
        <f>F32/12*G32</f>
        <v>8423.0779999999995</v>
      </c>
      <c r="L32" s="37">
        <f>F32/12*G32</f>
        <v>8423.0779999999995</v>
      </c>
      <c r="M32" s="37">
        <f>F32/12*G32</f>
        <v>8423.0779999999995</v>
      </c>
      <c r="N32" s="37">
        <f>F32/12*G32</f>
        <v>8423.0779999999995</v>
      </c>
      <c r="O32" s="37">
        <f t="shared" ref="O32" si="21">F32/12*G32</f>
        <v>8423.0779999999995</v>
      </c>
      <c r="P32" s="37">
        <f>F32/12*G32</f>
        <v>8423.0779999999995</v>
      </c>
      <c r="Q32" s="37">
        <f t="shared" ref="Q32" si="22">F32/12*G32</f>
        <v>8423.0779999999995</v>
      </c>
      <c r="R32" s="37">
        <f t="shared" ref="R32" si="23">F32/12*G32</f>
        <v>8423.0779999999995</v>
      </c>
      <c r="S32" s="37">
        <f t="shared" ref="S32" si="24">F32/12*G32</f>
        <v>8423.0779999999995</v>
      </c>
      <c r="T32" s="37">
        <f t="shared" ref="T32" si="25">F32/12*G32</f>
        <v>8423.0779999999995</v>
      </c>
      <c r="U32" s="37">
        <f t="shared" si="17"/>
        <v>42115.39</v>
      </c>
    </row>
    <row r="33" spans="1:23" s="19" customFormat="1">
      <c r="A33" s="138"/>
      <c r="B33" s="20" t="s">
        <v>24</v>
      </c>
      <c r="C33" s="42"/>
      <c r="D33" s="20"/>
      <c r="E33" s="43"/>
      <c r="F33" s="44"/>
      <c r="G33" s="44"/>
      <c r="H33" s="51">
        <f>SUM(H24:H32)</f>
        <v>117.57822359466665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>
        <f>SUM(U24:U32)</f>
        <v>48874.525344000001</v>
      </c>
      <c r="V33" s="154"/>
      <c r="W33" s="154"/>
    </row>
    <row r="34" spans="1:23">
      <c r="A34" s="137"/>
      <c r="B34" s="12" t="s">
        <v>42</v>
      </c>
      <c r="C34" s="27"/>
      <c r="D34" s="11"/>
      <c r="E34" s="34"/>
      <c r="F34" s="35"/>
      <c r="G34" s="35"/>
      <c r="H34" s="36" t="s">
        <v>41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3" ht="12.75" customHeight="1">
      <c r="A35" s="137" t="s">
        <v>124</v>
      </c>
      <c r="B35" s="13" t="s">
        <v>43</v>
      </c>
      <c r="C35" s="27" t="s">
        <v>38</v>
      </c>
      <c r="D35" s="11"/>
      <c r="E35" s="34"/>
      <c r="F35" s="35">
        <v>2</v>
      </c>
      <c r="G35" s="35">
        <v>1900.37</v>
      </c>
      <c r="H35" s="36">
        <f t="shared" ref="H35:H40" si="26">SUM(F35*G35/1000)</f>
        <v>3.8007399999999998</v>
      </c>
      <c r="I35" s="37">
        <f t="shared" ref="I35:I40" si="27">F35/6*G35</f>
        <v>633.45666666666659</v>
      </c>
      <c r="J35" s="37">
        <f t="shared" ref="J35:J40" si="28">F35/6*G35</f>
        <v>633.45666666666659</v>
      </c>
      <c r="K35" s="37">
        <f>F35/6*G35</f>
        <v>633.45666666666659</v>
      </c>
      <c r="L35" s="37">
        <f>F35/6*G35</f>
        <v>633.45666666666659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633.45666666666659</v>
      </c>
      <c r="T35" s="37">
        <f>F35/6*G35</f>
        <v>633.45666666666659</v>
      </c>
      <c r="U35" s="37">
        <f t="shared" ref="U35:U40" si="29">SUM(P35:T35)</f>
        <v>1266.9133333333332</v>
      </c>
    </row>
    <row r="36" spans="1:23" s="1" customFormat="1">
      <c r="A36" s="139" t="s">
        <v>151</v>
      </c>
      <c r="B36" s="13" t="s">
        <v>44</v>
      </c>
      <c r="C36" s="52" t="s">
        <v>45</v>
      </c>
      <c r="D36" s="13" t="s">
        <v>184</v>
      </c>
      <c r="E36" s="53">
        <v>48.3</v>
      </c>
      <c r="F36" s="53">
        <f>SUM(E36*30/1000)</f>
        <v>1.4490000000000001</v>
      </c>
      <c r="G36" s="53">
        <v>2616.4899999999998</v>
      </c>
      <c r="H36" s="36">
        <f t="shared" si="26"/>
        <v>3.7912940100000001</v>
      </c>
      <c r="I36" s="54">
        <f t="shared" si="27"/>
        <v>631.88233500000001</v>
      </c>
      <c r="J36" s="54">
        <f t="shared" si="28"/>
        <v>631.88233500000001</v>
      </c>
      <c r="K36" s="37">
        <f t="shared" ref="K36:K40" si="30">F36/6*G36</f>
        <v>631.88233500000001</v>
      </c>
      <c r="L36" s="37">
        <f t="shared" ref="L36:L40" si="31">F36/6*G36</f>
        <v>631.88233500000001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ref="S36:S40" si="32">F36/6*G36</f>
        <v>631.88233500000001</v>
      </c>
      <c r="T36" s="37">
        <f t="shared" ref="T36:T40" si="33">F36/6*G36</f>
        <v>631.88233500000001</v>
      </c>
      <c r="U36" s="37">
        <f t="shared" si="29"/>
        <v>1263.76467</v>
      </c>
      <c r="V36" s="155"/>
      <c r="W36" s="155"/>
    </row>
    <row r="37" spans="1:23" ht="25.5" customHeight="1">
      <c r="A37" s="137" t="s">
        <v>152</v>
      </c>
      <c r="B37" s="11" t="s">
        <v>129</v>
      </c>
      <c r="C37" s="27" t="s">
        <v>45</v>
      </c>
      <c r="D37" s="11" t="s">
        <v>46</v>
      </c>
      <c r="E37" s="35">
        <v>48.3</v>
      </c>
      <c r="F37" s="53">
        <f>SUM(E37*155/1000)</f>
        <v>7.4865000000000004</v>
      </c>
      <c r="G37" s="35">
        <v>436.45</v>
      </c>
      <c r="H37" s="36">
        <f t="shared" si="26"/>
        <v>3.2674829250000004</v>
      </c>
      <c r="I37" s="37">
        <f t="shared" si="27"/>
        <v>544.5804875</v>
      </c>
      <c r="J37" s="37">
        <f t="shared" si="28"/>
        <v>544.5804875</v>
      </c>
      <c r="K37" s="37">
        <f t="shared" si="30"/>
        <v>544.5804875</v>
      </c>
      <c r="L37" s="37">
        <f t="shared" si="31"/>
        <v>544.5804875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32"/>
        <v>544.5804875</v>
      </c>
      <c r="T37" s="37">
        <f t="shared" si="33"/>
        <v>544.5804875</v>
      </c>
      <c r="U37" s="37">
        <f t="shared" si="29"/>
        <v>1089.160975</v>
      </c>
    </row>
    <row r="38" spans="1:23" ht="51" customHeight="1">
      <c r="A38" s="137" t="s">
        <v>153</v>
      </c>
      <c r="B38" s="11" t="s">
        <v>130</v>
      </c>
      <c r="C38" s="27" t="s">
        <v>27</v>
      </c>
      <c r="D38" s="11" t="s">
        <v>185</v>
      </c>
      <c r="E38" s="35">
        <f>E36</f>
        <v>48.3</v>
      </c>
      <c r="F38" s="53">
        <f>SUM(E38*35/1000)</f>
        <v>1.6904999999999999</v>
      </c>
      <c r="G38" s="35">
        <v>7221.21</v>
      </c>
      <c r="H38" s="36">
        <f t="shared" si="26"/>
        <v>12.207455505</v>
      </c>
      <c r="I38" s="37">
        <f t="shared" si="27"/>
        <v>2034.5759175000001</v>
      </c>
      <c r="J38" s="37">
        <f t="shared" si="28"/>
        <v>2034.5759175000001</v>
      </c>
      <c r="K38" s="37">
        <f t="shared" si="30"/>
        <v>2034.5759175000001</v>
      </c>
      <c r="L38" s="37">
        <f t="shared" si="31"/>
        <v>2034.5759175000001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 t="shared" si="32"/>
        <v>2034.5759175000001</v>
      </c>
      <c r="T38" s="37">
        <f t="shared" si="33"/>
        <v>2034.5759175000001</v>
      </c>
      <c r="U38" s="37">
        <f t="shared" si="29"/>
        <v>4069.1518350000001</v>
      </c>
    </row>
    <row r="39" spans="1:23" ht="12.75" customHeight="1">
      <c r="A39" s="137" t="s">
        <v>154</v>
      </c>
      <c r="B39" s="11" t="s">
        <v>131</v>
      </c>
      <c r="C39" s="27" t="s">
        <v>27</v>
      </c>
      <c r="D39" s="11" t="s">
        <v>186</v>
      </c>
      <c r="E39" s="35">
        <f>E36</f>
        <v>48.3</v>
      </c>
      <c r="F39" s="53">
        <f>SUM(E39*20/1000)</f>
        <v>0.96599999999999997</v>
      </c>
      <c r="G39" s="35">
        <v>533.45000000000005</v>
      </c>
      <c r="H39" s="36">
        <f t="shared" si="26"/>
        <v>0.51531270000000007</v>
      </c>
      <c r="I39" s="37">
        <f t="shared" si="27"/>
        <v>85.885450000000006</v>
      </c>
      <c r="J39" s="37">
        <f t="shared" si="28"/>
        <v>85.885450000000006</v>
      </c>
      <c r="K39" s="37">
        <f t="shared" si="30"/>
        <v>85.885450000000006</v>
      </c>
      <c r="L39" s="37">
        <f t="shared" si="31"/>
        <v>85.885450000000006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 t="shared" si="32"/>
        <v>85.885450000000006</v>
      </c>
      <c r="T39" s="37">
        <f t="shared" si="33"/>
        <v>85.885450000000006</v>
      </c>
      <c r="U39" s="37">
        <f t="shared" si="29"/>
        <v>171.77090000000001</v>
      </c>
    </row>
    <row r="40" spans="1:23" s="2" customFormat="1">
      <c r="A40" s="139"/>
      <c r="B40" s="13" t="s">
        <v>132</v>
      </c>
      <c r="C40" s="52" t="s">
        <v>35</v>
      </c>
      <c r="D40" s="13"/>
      <c r="E40" s="49"/>
      <c r="F40" s="53">
        <v>0.5</v>
      </c>
      <c r="G40" s="53">
        <v>992.97</v>
      </c>
      <c r="H40" s="36">
        <f t="shared" si="26"/>
        <v>0.49648500000000001</v>
      </c>
      <c r="I40" s="54">
        <f t="shared" si="27"/>
        <v>82.747500000000002</v>
      </c>
      <c r="J40" s="54">
        <f t="shared" si="28"/>
        <v>82.747500000000002</v>
      </c>
      <c r="K40" s="37">
        <f t="shared" si="30"/>
        <v>82.747500000000002</v>
      </c>
      <c r="L40" s="37">
        <f t="shared" si="31"/>
        <v>82.747500000000002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f t="shared" si="32"/>
        <v>82.747500000000002</v>
      </c>
      <c r="T40" s="37">
        <f t="shared" si="33"/>
        <v>82.747500000000002</v>
      </c>
      <c r="U40" s="37">
        <f t="shared" si="29"/>
        <v>165.495</v>
      </c>
      <c r="V40" s="154"/>
      <c r="W40" s="154"/>
    </row>
    <row r="41" spans="1:23" s="19" customFormat="1">
      <c r="A41" s="138"/>
      <c r="B41" s="20" t="s">
        <v>24</v>
      </c>
      <c r="C41" s="42"/>
      <c r="D41" s="20"/>
      <c r="E41" s="43"/>
      <c r="F41" s="44" t="s">
        <v>41</v>
      </c>
      <c r="G41" s="44"/>
      <c r="H41" s="51">
        <f>SUM(H35:H40)</f>
        <v>24.07877014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SUM(U35:U40)</f>
        <v>8026.2567133333341</v>
      </c>
      <c r="V41" s="154"/>
      <c r="W41" s="154"/>
    </row>
    <row r="42" spans="1:23">
      <c r="A42" s="137"/>
      <c r="B42" s="14" t="s">
        <v>47</v>
      </c>
      <c r="C42" s="27"/>
      <c r="D42" s="11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3">
      <c r="A43" s="137" t="s">
        <v>155</v>
      </c>
      <c r="B43" s="11" t="s">
        <v>202</v>
      </c>
      <c r="C43" s="27" t="s">
        <v>27</v>
      </c>
      <c r="D43" s="11" t="s">
        <v>48</v>
      </c>
      <c r="E43" s="34">
        <v>1044.7</v>
      </c>
      <c r="F43" s="35">
        <f>SUM(E43*2/1000)</f>
        <v>2.0893999999999999</v>
      </c>
      <c r="G43" s="55">
        <v>1283.46</v>
      </c>
      <c r="H43" s="36">
        <f t="shared" ref="H43:H53" si="34">SUM(F43*G43/1000)</f>
        <v>2.6816613240000002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1340.8306620000001</v>
      </c>
      <c r="N43" s="37">
        <v>0</v>
      </c>
      <c r="O43" s="37">
        <v>0</v>
      </c>
      <c r="P43" s="37">
        <v>0</v>
      </c>
      <c r="Q43" s="37">
        <f>F43/2*G43</f>
        <v>1340.8306620000001</v>
      </c>
      <c r="R43" s="37">
        <v>0</v>
      </c>
      <c r="S43" s="37">
        <v>0</v>
      </c>
      <c r="T43" s="37">
        <v>0</v>
      </c>
      <c r="U43" s="37">
        <f t="shared" ref="U43:U53" si="35">SUM(P43:T43)</f>
        <v>1340.8306620000001</v>
      </c>
    </row>
    <row r="44" spans="1:23">
      <c r="A44" s="137" t="s">
        <v>156</v>
      </c>
      <c r="B44" s="11" t="s">
        <v>49</v>
      </c>
      <c r="C44" s="27" t="s">
        <v>27</v>
      </c>
      <c r="D44" s="11" t="s">
        <v>48</v>
      </c>
      <c r="E44" s="34">
        <v>19.8</v>
      </c>
      <c r="F44" s="35">
        <f>SUM(E44*2/1000)</f>
        <v>3.9600000000000003E-2</v>
      </c>
      <c r="G44" s="55">
        <v>4192.6400000000003</v>
      </c>
      <c r="H44" s="36">
        <f t="shared" si="34"/>
        <v>0.16602854400000003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7" si="36">F44/2*G44</f>
        <v>83.01427200000002</v>
      </c>
      <c r="N44" s="37">
        <v>0</v>
      </c>
      <c r="O44" s="37">
        <v>0</v>
      </c>
      <c r="P44" s="37">
        <v>0</v>
      </c>
      <c r="Q44" s="37">
        <f t="shared" ref="Q44:Q47" si="37">F44/2*G44</f>
        <v>83.01427200000002</v>
      </c>
      <c r="R44" s="37">
        <v>0</v>
      </c>
      <c r="S44" s="37">
        <v>0</v>
      </c>
      <c r="T44" s="37">
        <v>0</v>
      </c>
      <c r="U44" s="37">
        <f t="shared" si="35"/>
        <v>83.01427200000002</v>
      </c>
    </row>
    <row r="45" spans="1:23" ht="12.75" customHeight="1">
      <c r="A45" s="137" t="s">
        <v>157</v>
      </c>
      <c r="B45" s="11" t="s">
        <v>50</v>
      </c>
      <c r="C45" s="27" t="s">
        <v>27</v>
      </c>
      <c r="D45" s="11" t="s">
        <v>48</v>
      </c>
      <c r="E45" s="34">
        <v>660.84</v>
      </c>
      <c r="F45" s="35">
        <f>SUM(E45*2/1000)</f>
        <v>1.32168</v>
      </c>
      <c r="G45" s="55">
        <v>1711.28</v>
      </c>
      <c r="H45" s="36">
        <f t="shared" si="34"/>
        <v>2.2617645503999997</v>
      </c>
      <c r="I45" s="37">
        <v>0</v>
      </c>
      <c r="J45" s="37">
        <v>0</v>
      </c>
      <c r="K45" s="37">
        <v>0</v>
      </c>
      <c r="L45" s="37">
        <v>0</v>
      </c>
      <c r="M45" s="37">
        <f>F45/2*G45</f>
        <v>1130.8822751999999</v>
      </c>
      <c r="N45" s="37">
        <v>0</v>
      </c>
      <c r="O45" s="37">
        <v>0</v>
      </c>
      <c r="P45" s="37">
        <v>0</v>
      </c>
      <c r="Q45" s="37">
        <f t="shared" si="37"/>
        <v>1130.8822751999999</v>
      </c>
      <c r="R45" s="37">
        <v>0</v>
      </c>
      <c r="S45" s="37">
        <v>0</v>
      </c>
      <c r="T45" s="37">
        <v>0</v>
      </c>
      <c r="U45" s="37">
        <f t="shared" si="35"/>
        <v>1130.8822751999999</v>
      </c>
    </row>
    <row r="46" spans="1:23">
      <c r="A46" s="137" t="s">
        <v>158</v>
      </c>
      <c r="B46" s="11" t="s">
        <v>51</v>
      </c>
      <c r="C46" s="27" t="s">
        <v>27</v>
      </c>
      <c r="D46" s="11" t="s">
        <v>48</v>
      </c>
      <c r="E46" s="34">
        <v>1156.21</v>
      </c>
      <c r="F46" s="35">
        <f>SUM(E46*2/1000)</f>
        <v>2.3124199999999999</v>
      </c>
      <c r="G46" s="55">
        <v>1179.73</v>
      </c>
      <c r="H46" s="36">
        <f t="shared" si="34"/>
        <v>2.7280312466000001</v>
      </c>
      <c r="I46" s="37">
        <v>0</v>
      </c>
      <c r="J46" s="37">
        <v>0</v>
      </c>
      <c r="K46" s="37">
        <v>0</v>
      </c>
      <c r="L46" s="37">
        <v>0</v>
      </c>
      <c r="M46" s="37">
        <f t="shared" si="36"/>
        <v>1364.0156233</v>
      </c>
      <c r="N46" s="37">
        <v>0</v>
      </c>
      <c r="O46" s="37">
        <v>0</v>
      </c>
      <c r="P46" s="37">
        <v>0</v>
      </c>
      <c r="Q46" s="37">
        <f t="shared" si="37"/>
        <v>1364.0156233</v>
      </c>
      <c r="R46" s="37">
        <v>0</v>
      </c>
      <c r="S46" s="37">
        <v>0</v>
      </c>
      <c r="T46" s="37">
        <v>0</v>
      </c>
      <c r="U46" s="37">
        <f t="shared" si="35"/>
        <v>1364.0156233</v>
      </c>
    </row>
    <row r="47" spans="1:23">
      <c r="A47" s="137" t="s">
        <v>163</v>
      </c>
      <c r="B47" s="11" t="s">
        <v>99</v>
      </c>
      <c r="C47" s="27" t="s">
        <v>100</v>
      </c>
      <c r="D47" s="11" t="s">
        <v>187</v>
      </c>
      <c r="E47" s="34">
        <v>17.2</v>
      </c>
      <c r="F47" s="35">
        <f>SUM(E47*2/100)</f>
        <v>0.34399999999999997</v>
      </c>
      <c r="G47" s="55">
        <v>90.61</v>
      </c>
      <c r="H47" s="36">
        <f t="shared" si="34"/>
        <v>3.1169839999999997E-2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36"/>
        <v>15.584919999999999</v>
      </c>
      <c r="N47" s="37">
        <v>0</v>
      </c>
      <c r="O47" s="37">
        <v>0</v>
      </c>
      <c r="P47" s="37">
        <v>0</v>
      </c>
      <c r="Q47" s="37">
        <f t="shared" si="37"/>
        <v>15.584919999999999</v>
      </c>
      <c r="R47" s="37">
        <v>0</v>
      </c>
      <c r="S47" s="37">
        <v>0</v>
      </c>
      <c r="T47" s="37">
        <v>0</v>
      </c>
      <c r="U47" s="37">
        <f t="shared" si="35"/>
        <v>15.584919999999999</v>
      </c>
    </row>
    <row r="48" spans="1:23" ht="25.5">
      <c r="A48" s="137" t="s">
        <v>159</v>
      </c>
      <c r="B48" s="11" t="s">
        <v>52</v>
      </c>
      <c r="C48" s="27" t="s">
        <v>27</v>
      </c>
      <c r="D48" s="11" t="s">
        <v>53</v>
      </c>
      <c r="E48" s="34">
        <v>1839.1</v>
      </c>
      <c r="F48" s="35">
        <f>SUM(E48*5/1000)</f>
        <v>9.1954999999999991</v>
      </c>
      <c r="G48" s="55">
        <v>1711.28</v>
      </c>
      <c r="H48" s="36">
        <f t="shared" si="34"/>
        <v>15.736075239999998</v>
      </c>
      <c r="I48" s="37">
        <f>F48/5*G48</f>
        <v>3147.2150479999996</v>
      </c>
      <c r="J48" s="37">
        <f>F48/5*G48</f>
        <v>3147.2150479999996</v>
      </c>
      <c r="K48" s="37">
        <v>0</v>
      </c>
      <c r="L48" s="37">
        <v>0</v>
      </c>
      <c r="M48" s="37">
        <f>F48/5*G48</f>
        <v>3147.2150479999996</v>
      </c>
      <c r="N48" s="37">
        <v>0</v>
      </c>
      <c r="O48" s="37">
        <v>0</v>
      </c>
      <c r="P48" s="37">
        <v>0</v>
      </c>
      <c r="Q48" s="37">
        <f>F48/5*G48</f>
        <v>3147.2150479999996</v>
      </c>
      <c r="R48" s="37">
        <v>0</v>
      </c>
      <c r="S48" s="37">
        <v>0</v>
      </c>
      <c r="T48" s="37">
        <f>F48/5*G48</f>
        <v>3147.2150479999996</v>
      </c>
      <c r="U48" s="37">
        <f t="shared" si="35"/>
        <v>6294.4300959999991</v>
      </c>
    </row>
    <row r="49" spans="1:23" ht="38.25" customHeight="1">
      <c r="A49" s="137" t="s">
        <v>160</v>
      </c>
      <c r="B49" s="11" t="s">
        <v>54</v>
      </c>
      <c r="C49" s="27" t="s">
        <v>27</v>
      </c>
      <c r="D49" s="11" t="s">
        <v>48</v>
      </c>
      <c r="E49" s="34">
        <f>E48</f>
        <v>1839.1</v>
      </c>
      <c r="F49" s="35">
        <f>SUM(E49*2/1000)</f>
        <v>3.6781999999999999</v>
      </c>
      <c r="G49" s="55">
        <v>1510.06</v>
      </c>
      <c r="H49" s="36">
        <f t="shared" si="34"/>
        <v>5.5543026919999994</v>
      </c>
      <c r="I49" s="37">
        <v>0</v>
      </c>
      <c r="J49" s="37">
        <v>0</v>
      </c>
      <c r="K49" s="37">
        <v>0</v>
      </c>
      <c r="L49" s="37">
        <v>0</v>
      </c>
      <c r="M49" s="133">
        <f t="shared" ref="M49:M50" si="38">F49/2*G49</f>
        <v>2777.1513459999996</v>
      </c>
      <c r="N49" s="37">
        <v>0</v>
      </c>
      <c r="O49" s="37">
        <v>0</v>
      </c>
      <c r="P49" s="37">
        <v>0</v>
      </c>
      <c r="Q49" s="37">
        <v>0</v>
      </c>
      <c r="R49" s="37">
        <f>F49/2*G49</f>
        <v>2777.1513459999996</v>
      </c>
      <c r="S49" s="37">
        <v>0</v>
      </c>
      <c r="T49" s="37">
        <v>0</v>
      </c>
      <c r="U49" s="37">
        <f t="shared" si="35"/>
        <v>2777.1513459999996</v>
      </c>
    </row>
    <row r="50" spans="1:23" ht="25.5" customHeight="1">
      <c r="A50" s="137" t="s">
        <v>161</v>
      </c>
      <c r="B50" s="11" t="s">
        <v>55</v>
      </c>
      <c r="C50" s="27" t="s">
        <v>56</v>
      </c>
      <c r="D50" s="11" t="s">
        <v>48</v>
      </c>
      <c r="E50" s="34">
        <v>9</v>
      </c>
      <c r="F50" s="35">
        <f>SUM(E50*2/100)</f>
        <v>0.18</v>
      </c>
      <c r="G50" s="55">
        <v>3850.4</v>
      </c>
      <c r="H50" s="36">
        <f t="shared" si="34"/>
        <v>0.69307200000000002</v>
      </c>
      <c r="I50" s="37">
        <v>0</v>
      </c>
      <c r="J50" s="37">
        <v>0</v>
      </c>
      <c r="K50" s="37">
        <v>0</v>
      </c>
      <c r="L50" s="37">
        <v>0</v>
      </c>
      <c r="M50" s="37">
        <f t="shared" si="38"/>
        <v>346.536</v>
      </c>
      <c r="N50" s="37">
        <v>0</v>
      </c>
      <c r="O50" s="37">
        <v>0</v>
      </c>
      <c r="P50" s="37">
        <v>0</v>
      </c>
      <c r="Q50" s="37">
        <v>0</v>
      </c>
      <c r="R50" s="37">
        <f t="shared" ref="R50:R51" si="39">F50/2*G50</f>
        <v>346.536</v>
      </c>
      <c r="S50" s="37">
        <v>0</v>
      </c>
      <c r="T50" s="37">
        <v>0</v>
      </c>
      <c r="U50" s="37">
        <f t="shared" si="35"/>
        <v>346.536</v>
      </c>
    </row>
    <row r="51" spans="1:23">
      <c r="A51" s="137" t="s">
        <v>162</v>
      </c>
      <c r="B51" s="11" t="s">
        <v>57</v>
      </c>
      <c r="C51" s="27" t="s">
        <v>58</v>
      </c>
      <c r="D51" s="11" t="s">
        <v>48</v>
      </c>
      <c r="E51" s="34">
        <v>1</v>
      </c>
      <c r="F51" s="35">
        <v>0.02</v>
      </c>
      <c r="G51" s="55">
        <v>7033.13</v>
      </c>
      <c r="H51" s="36">
        <f t="shared" si="34"/>
        <v>0.1406626</v>
      </c>
      <c r="I51" s="37">
        <v>0</v>
      </c>
      <c r="J51" s="37">
        <v>0</v>
      </c>
      <c r="K51" s="37">
        <v>0</v>
      </c>
      <c r="L51" s="37">
        <v>0</v>
      </c>
      <c r="M51" s="37">
        <f>F51/2*G51</f>
        <v>70.331299999999999</v>
      </c>
      <c r="N51" s="37">
        <v>0</v>
      </c>
      <c r="O51" s="37">
        <v>0</v>
      </c>
      <c r="P51" s="37">
        <v>0</v>
      </c>
      <c r="Q51" s="37">
        <v>0</v>
      </c>
      <c r="R51" s="37">
        <f t="shared" si="39"/>
        <v>70.331299999999999</v>
      </c>
      <c r="S51" s="37">
        <v>0</v>
      </c>
      <c r="T51" s="37">
        <v>0</v>
      </c>
      <c r="U51" s="37">
        <f t="shared" si="35"/>
        <v>70.331299999999999</v>
      </c>
    </row>
    <row r="52" spans="1:23">
      <c r="A52" s="137" t="s">
        <v>101</v>
      </c>
      <c r="B52" s="11" t="s">
        <v>102</v>
      </c>
      <c r="C52" s="27" t="s">
        <v>32</v>
      </c>
      <c r="D52" s="11" t="s">
        <v>91</v>
      </c>
      <c r="E52" s="34">
        <v>36</v>
      </c>
      <c r="F52" s="35">
        <f>E52*3</f>
        <v>108</v>
      </c>
      <c r="G52" s="55">
        <v>175.6</v>
      </c>
      <c r="H52" s="36">
        <f t="shared" si="34"/>
        <v>18.9648</v>
      </c>
      <c r="I52" s="37">
        <f>E52*G52</f>
        <v>6321.5999999999995</v>
      </c>
      <c r="J52" s="37">
        <v>0</v>
      </c>
      <c r="K52" s="37">
        <v>0</v>
      </c>
      <c r="L52" s="37">
        <f>E52*G52</f>
        <v>6321.5999999999995</v>
      </c>
      <c r="M52" s="37">
        <v>0</v>
      </c>
      <c r="N52" s="37">
        <v>0</v>
      </c>
      <c r="O52" s="37">
        <v>0</v>
      </c>
      <c r="P52" s="37">
        <f>E52*G52</f>
        <v>6321.5999999999995</v>
      </c>
      <c r="Q52" s="37">
        <v>0</v>
      </c>
      <c r="R52" s="37">
        <v>0</v>
      </c>
      <c r="S52" s="37">
        <v>0</v>
      </c>
      <c r="T52" s="37">
        <v>0</v>
      </c>
      <c r="U52" s="37">
        <f t="shared" si="35"/>
        <v>6321.5999999999995</v>
      </c>
    </row>
    <row r="53" spans="1:23" ht="13.5" customHeight="1">
      <c r="A53" s="137" t="s">
        <v>60</v>
      </c>
      <c r="B53" s="11" t="s">
        <v>61</v>
      </c>
      <c r="C53" s="27" t="s">
        <v>32</v>
      </c>
      <c r="D53" s="11" t="s">
        <v>91</v>
      </c>
      <c r="E53" s="34">
        <v>36</v>
      </c>
      <c r="F53" s="35">
        <f>E53*3</f>
        <v>108</v>
      </c>
      <c r="G53" s="56">
        <v>81.73</v>
      </c>
      <c r="H53" s="36">
        <f t="shared" si="34"/>
        <v>8.8268400000000007</v>
      </c>
      <c r="I53" s="37">
        <f>E53*G53</f>
        <v>2942.28</v>
      </c>
      <c r="J53" s="37">
        <v>0</v>
      </c>
      <c r="K53" s="37">
        <v>0</v>
      </c>
      <c r="L53" s="37">
        <f>E53*G53</f>
        <v>2942.28</v>
      </c>
      <c r="M53" s="37">
        <v>0</v>
      </c>
      <c r="N53" s="37">
        <v>0</v>
      </c>
      <c r="O53" s="37">
        <v>0</v>
      </c>
      <c r="P53" s="37">
        <f>E53*G53</f>
        <v>2942.28</v>
      </c>
      <c r="Q53" s="37">
        <v>0</v>
      </c>
      <c r="R53" s="37">
        <v>0</v>
      </c>
      <c r="S53" s="37">
        <v>0</v>
      </c>
      <c r="T53" s="37">
        <v>0</v>
      </c>
      <c r="U53" s="37">
        <f t="shared" si="35"/>
        <v>2942.28</v>
      </c>
    </row>
    <row r="54" spans="1:23" s="21" customFormat="1">
      <c r="A54" s="140"/>
      <c r="B54" s="20" t="s">
        <v>24</v>
      </c>
      <c r="C54" s="57"/>
      <c r="D54" s="20"/>
      <c r="E54" s="58"/>
      <c r="F54" s="59"/>
      <c r="G54" s="59"/>
      <c r="H54" s="51">
        <f>SUM(H43:H53)</f>
        <v>57.784408037000006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22686.656494499999</v>
      </c>
      <c r="V54" s="154"/>
      <c r="W54" s="154"/>
    </row>
    <row r="55" spans="1:23">
      <c r="A55" s="137"/>
      <c r="B55" s="12" t="s">
        <v>62</v>
      </c>
      <c r="C55" s="27"/>
      <c r="D55" s="11"/>
      <c r="E55" s="34"/>
      <c r="F55" s="35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3" ht="38.25">
      <c r="A56" s="137" t="s">
        <v>164</v>
      </c>
      <c r="B56" s="11" t="s">
        <v>133</v>
      </c>
      <c r="C56" s="27" t="s">
        <v>96</v>
      </c>
      <c r="D56" s="11" t="s">
        <v>103</v>
      </c>
      <c r="E56" s="34">
        <v>12.5</v>
      </c>
      <c r="F56" s="35">
        <f>E56*6/100</f>
        <v>0.75</v>
      </c>
      <c r="G56" s="61">
        <v>2306.62</v>
      </c>
      <c r="H56" s="36">
        <f>F56*G56/1000</f>
        <v>1.729965</v>
      </c>
      <c r="I56" s="37">
        <f>F56/6*G56</f>
        <v>288.32749999999999</v>
      </c>
      <c r="J56" s="37">
        <f>F56/6*G56</f>
        <v>288.32749999999999</v>
      </c>
      <c r="K56" s="37">
        <f>F56/6*G56</f>
        <v>288.32749999999999</v>
      </c>
      <c r="L56" s="37">
        <f>F56/6*G56</f>
        <v>288.32749999999999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288.32749999999999</v>
      </c>
      <c r="T56" s="37">
        <f>F56/6*G56</f>
        <v>288.32749999999999</v>
      </c>
      <c r="U56" s="37">
        <f t="shared" ref="U56:U57" si="40">SUM(P56:T56)</f>
        <v>576.65499999999997</v>
      </c>
    </row>
    <row r="57" spans="1:23">
      <c r="A57" s="141" t="s">
        <v>124</v>
      </c>
      <c r="B57" s="24" t="s">
        <v>125</v>
      </c>
      <c r="C57" s="62" t="s">
        <v>188</v>
      </c>
      <c r="D57" s="24" t="s">
        <v>37</v>
      </c>
      <c r="E57" s="63"/>
      <c r="F57" s="64">
        <v>2</v>
      </c>
      <c r="G57" s="66">
        <v>1501</v>
      </c>
      <c r="H57" s="36">
        <f>F57*G57/1000</f>
        <v>3.0019999999999998</v>
      </c>
      <c r="I57" s="37"/>
      <c r="J57" s="37"/>
      <c r="K57" s="37"/>
      <c r="L57" s="37"/>
      <c r="M57" s="37"/>
      <c r="N57" s="37"/>
      <c r="O57" s="37"/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 t="shared" si="40"/>
        <v>0</v>
      </c>
    </row>
    <row r="58" spans="1:23" ht="12.75" customHeight="1">
      <c r="A58" s="141"/>
      <c r="B58" s="25" t="s">
        <v>63</v>
      </c>
      <c r="C58" s="62"/>
      <c r="D58" s="24"/>
      <c r="E58" s="63"/>
      <c r="F58" s="64"/>
      <c r="G58" s="146"/>
      <c r="H58" s="6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3" ht="12.75" customHeight="1">
      <c r="A59" s="141" t="s">
        <v>165</v>
      </c>
      <c r="B59" s="24" t="s">
        <v>104</v>
      </c>
      <c r="C59" s="62" t="s">
        <v>21</v>
      </c>
      <c r="D59" s="24" t="s">
        <v>30</v>
      </c>
      <c r="E59" s="63">
        <v>164</v>
      </c>
      <c r="F59" s="64">
        <f>E59/100</f>
        <v>1.64</v>
      </c>
      <c r="G59" s="66">
        <v>987.51</v>
      </c>
      <c r="H59" s="65">
        <f>G59*F59/1000</f>
        <v>1.6195164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f t="shared" ref="U59:U80" si="41">SUM(P59:T59)</f>
        <v>0</v>
      </c>
    </row>
    <row r="60" spans="1:23">
      <c r="A60" s="141"/>
      <c r="B60" s="15" t="s">
        <v>64</v>
      </c>
      <c r="C60" s="62"/>
      <c r="D60" s="24"/>
      <c r="E60" s="63"/>
      <c r="F60" s="64"/>
      <c r="G60" s="64"/>
      <c r="H60" s="65" t="s">
        <v>41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3" ht="12.75" customHeight="1">
      <c r="A61" s="67" t="s">
        <v>166</v>
      </c>
      <c r="B61" s="16" t="s">
        <v>65</v>
      </c>
      <c r="C61" s="67" t="s">
        <v>59</v>
      </c>
      <c r="D61" s="9" t="s">
        <v>37</v>
      </c>
      <c r="E61" s="40">
        <v>1</v>
      </c>
      <c r="F61" s="35">
        <f>E61</f>
        <v>1</v>
      </c>
      <c r="G61" s="55">
        <v>276.74</v>
      </c>
      <c r="H61" s="129">
        <f t="shared" ref="H61:H77" si="42">SUM(F61*G61/1000)</f>
        <v>0.27673999999999999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f t="shared" si="41"/>
        <v>0</v>
      </c>
    </row>
    <row r="62" spans="1:23" ht="12.75" customHeight="1">
      <c r="A62" s="67" t="s">
        <v>167</v>
      </c>
      <c r="B62" s="16" t="s">
        <v>66</v>
      </c>
      <c r="C62" s="67" t="s">
        <v>59</v>
      </c>
      <c r="D62" s="9" t="s">
        <v>37</v>
      </c>
      <c r="E62" s="40">
        <v>3</v>
      </c>
      <c r="F62" s="35">
        <v>3</v>
      </c>
      <c r="G62" s="55">
        <v>94.89</v>
      </c>
      <c r="H62" s="129">
        <f t="shared" si="42"/>
        <v>0.28467000000000003</v>
      </c>
      <c r="I62" s="37">
        <f>1*G62</f>
        <v>94.89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f t="shared" si="41"/>
        <v>0</v>
      </c>
    </row>
    <row r="63" spans="1:23" s="2" customFormat="1">
      <c r="A63" s="68" t="s">
        <v>168</v>
      </c>
      <c r="B63" s="16" t="s">
        <v>67</v>
      </c>
      <c r="C63" s="68" t="s">
        <v>68</v>
      </c>
      <c r="D63" s="9" t="s">
        <v>30</v>
      </c>
      <c r="E63" s="34">
        <v>7265</v>
      </c>
      <c r="F63" s="56">
        <f>SUM(E63/100)</f>
        <v>72.650000000000006</v>
      </c>
      <c r="G63" s="55">
        <v>263.99</v>
      </c>
      <c r="H63" s="129">
        <f t="shared" si="42"/>
        <v>19.178873500000002</v>
      </c>
      <c r="I63" s="54">
        <v>0</v>
      </c>
      <c r="J63" s="54">
        <v>0</v>
      </c>
      <c r="K63" s="54">
        <v>0</v>
      </c>
      <c r="L63" s="54">
        <v>0</v>
      </c>
      <c r="M63" s="37">
        <f>F63*G63</f>
        <v>19178.873500000002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37">
        <f t="shared" si="41"/>
        <v>0</v>
      </c>
      <c r="V63" s="154"/>
      <c r="W63" s="154"/>
    </row>
    <row r="64" spans="1:23" ht="12.75" customHeight="1">
      <c r="A64" s="67" t="s">
        <v>169</v>
      </c>
      <c r="B64" s="16" t="s">
        <v>69</v>
      </c>
      <c r="C64" s="67" t="s">
        <v>70</v>
      </c>
      <c r="D64" s="9" t="s">
        <v>30</v>
      </c>
      <c r="E64" s="34">
        <f>E63</f>
        <v>7265</v>
      </c>
      <c r="F64" s="55">
        <f>SUM(E64/1000)</f>
        <v>7.2649999999999997</v>
      </c>
      <c r="G64" s="55">
        <v>205.57</v>
      </c>
      <c r="H64" s="129">
        <f t="shared" si="42"/>
        <v>1.4934660500000001</v>
      </c>
      <c r="I64" s="37">
        <v>0</v>
      </c>
      <c r="J64" s="37">
        <v>0</v>
      </c>
      <c r="K64" s="37">
        <v>0</v>
      </c>
      <c r="L64" s="37">
        <v>0</v>
      </c>
      <c r="M64" s="37">
        <f t="shared" ref="M64:M67" si="43">F64*G64</f>
        <v>1493.46605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41"/>
        <v>0</v>
      </c>
    </row>
    <row r="65" spans="1:23">
      <c r="A65" s="67" t="s">
        <v>170</v>
      </c>
      <c r="B65" s="16" t="s">
        <v>71</v>
      </c>
      <c r="C65" s="67" t="s">
        <v>72</v>
      </c>
      <c r="D65" s="9" t="s">
        <v>30</v>
      </c>
      <c r="E65" s="34">
        <v>1090</v>
      </c>
      <c r="F65" s="55">
        <f>SUM(E65/100)</f>
        <v>10.9</v>
      </c>
      <c r="G65" s="55">
        <v>2581.5300000000002</v>
      </c>
      <c r="H65" s="129">
        <f t="shared" si="42"/>
        <v>28.138677000000005</v>
      </c>
      <c r="I65" s="37">
        <v>0</v>
      </c>
      <c r="J65" s="37">
        <v>0</v>
      </c>
      <c r="K65" s="37">
        <v>0</v>
      </c>
      <c r="L65" s="37">
        <v>0</v>
      </c>
      <c r="M65" s="37">
        <f>F65*G65</f>
        <v>28138.677000000003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41"/>
        <v>0</v>
      </c>
    </row>
    <row r="66" spans="1:23">
      <c r="A66" s="67"/>
      <c r="B66" s="17" t="s">
        <v>92</v>
      </c>
      <c r="C66" s="67" t="s">
        <v>35</v>
      </c>
      <c r="D66" s="9"/>
      <c r="E66" s="34">
        <v>7.6</v>
      </c>
      <c r="F66" s="55">
        <f>SUM(E66)</f>
        <v>7.6</v>
      </c>
      <c r="G66" s="55">
        <v>47.45</v>
      </c>
      <c r="H66" s="129">
        <f t="shared" si="42"/>
        <v>0.36062</v>
      </c>
      <c r="I66" s="37">
        <v>0</v>
      </c>
      <c r="J66" s="37">
        <v>0</v>
      </c>
      <c r="K66" s="37">
        <v>0</v>
      </c>
      <c r="L66" s="37">
        <v>0</v>
      </c>
      <c r="M66" s="37">
        <f t="shared" si="43"/>
        <v>360.62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41"/>
        <v>0</v>
      </c>
    </row>
    <row r="67" spans="1:23" ht="12.75" customHeight="1">
      <c r="A67" s="145"/>
      <c r="B67" s="17" t="s">
        <v>93</v>
      </c>
      <c r="C67" s="67" t="s">
        <v>35</v>
      </c>
      <c r="D67" s="9"/>
      <c r="E67" s="34">
        <f>E66</f>
        <v>7.6</v>
      </c>
      <c r="F67" s="55">
        <f>SUM(E67)</f>
        <v>7.6</v>
      </c>
      <c r="G67" s="55">
        <v>44.27</v>
      </c>
      <c r="H67" s="129">
        <f t="shared" si="42"/>
        <v>0.33645199999999997</v>
      </c>
      <c r="I67" s="37">
        <v>0</v>
      </c>
      <c r="J67" s="37">
        <v>0</v>
      </c>
      <c r="K67" s="37">
        <v>0</v>
      </c>
      <c r="L67" s="37">
        <v>0</v>
      </c>
      <c r="M67" s="37">
        <f t="shared" si="43"/>
        <v>336.452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41"/>
        <v>0</v>
      </c>
    </row>
    <row r="68" spans="1:23">
      <c r="A68" s="67" t="s">
        <v>199</v>
      </c>
      <c r="B68" s="9" t="s">
        <v>200</v>
      </c>
      <c r="C68" s="67" t="s">
        <v>201</v>
      </c>
      <c r="D68" s="9" t="s">
        <v>30</v>
      </c>
      <c r="E68" s="40">
        <v>2</v>
      </c>
      <c r="F68" s="35">
        <f>SUM(E68)</f>
        <v>2</v>
      </c>
      <c r="G68" s="55">
        <v>62.07</v>
      </c>
      <c r="H68" s="129">
        <f t="shared" si="42"/>
        <v>0.12414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f>G68*F68</f>
        <v>124.14</v>
      </c>
      <c r="R68" s="37">
        <v>0</v>
      </c>
      <c r="S68" s="37">
        <v>0</v>
      </c>
      <c r="T68" s="37">
        <v>0</v>
      </c>
      <c r="U68" s="37">
        <f t="shared" si="41"/>
        <v>124.14</v>
      </c>
    </row>
    <row r="69" spans="1:23" ht="25.5">
      <c r="A69" s="67"/>
      <c r="B69" s="9" t="s">
        <v>189</v>
      </c>
      <c r="C69" s="147" t="s">
        <v>190</v>
      </c>
      <c r="D69" s="9" t="s">
        <v>37</v>
      </c>
      <c r="E69" s="40">
        <f>E32</f>
        <v>1839.1</v>
      </c>
      <c r="F69" s="35">
        <f>SUM(E32*12)</f>
        <v>22069.199999999997</v>
      </c>
      <c r="G69" s="55">
        <v>2.16</v>
      </c>
      <c r="H69" s="129">
        <f t="shared" si="42"/>
        <v>47.669471999999992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f>F69/12*G69</f>
        <v>3972.4559999999997</v>
      </c>
      <c r="Q69" s="37">
        <f>F69/12*G69</f>
        <v>3972.4559999999997</v>
      </c>
      <c r="R69" s="37">
        <f>F69/12*G69</f>
        <v>3972.4559999999997</v>
      </c>
      <c r="S69" s="37">
        <f>F69/12*G69</f>
        <v>3972.4559999999997</v>
      </c>
      <c r="T69" s="37">
        <f>F69/12*G69</f>
        <v>3972.4559999999997</v>
      </c>
      <c r="U69" s="37">
        <f t="shared" si="41"/>
        <v>19862.28</v>
      </c>
    </row>
    <row r="70" spans="1:23">
      <c r="A70" s="67"/>
      <c r="B70" s="18" t="s">
        <v>73</v>
      </c>
      <c r="C70" s="67"/>
      <c r="D70" s="9"/>
      <c r="E70" s="40"/>
      <c r="F70" s="55"/>
      <c r="G70" s="55"/>
      <c r="H70" s="129" t="s">
        <v>41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3">
      <c r="A71" s="67" t="s">
        <v>191</v>
      </c>
      <c r="B71" s="9" t="s">
        <v>192</v>
      </c>
      <c r="C71" s="67" t="s">
        <v>193</v>
      </c>
      <c r="D71" s="9" t="s">
        <v>37</v>
      </c>
      <c r="E71" s="40">
        <v>1</v>
      </c>
      <c r="F71" s="55">
        <f>E71</f>
        <v>1</v>
      </c>
      <c r="G71" s="55">
        <v>976.4</v>
      </c>
      <c r="H71" s="129">
        <f t="shared" ref="H71:H75" si="44">SUM(F71*G71/1000)</f>
        <v>0.97639999999999993</v>
      </c>
      <c r="I71" s="37"/>
      <c r="J71" s="37"/>
      <c r="K71" s="37"/>
      <c r="L71" s="37"/>
      <c r="M71" s="37"/>
      <c r="N71" s="37"/>
      <c r="O71" s="37"/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 t="shared" si="41"/>
        <v>0</v>
      </c>
    </row>
    <row r="72" spans="1:23">
      <c r="A72" s="67" t="s">
        <v>194</v>
      </c>
      <c r="B72" s="9" t="s">
        <v>195</v>
      </c>
      <c r="C72" s="67" t="s">
        <v>196</v>
      </c>
      <c r="D72" s="9"/>
      <c r="E72" s="40">
        <v>1</v>
      </c>
      <c r="F72" s="55">
        <v>1</v>
      </c>
      <c r="G72" s="55">
        <v>650</v>
      </c>
      <c r="H72" s="129">
        <f t="shared" si="44"/>
        <v>0.65</v>
      </c>
      <c r="I72" s="37"/>
      <c r="J72" s="37"/>
      <c r="K72" s="37"/>
      <c r="L72" s="37"/>
      <c r="M72" s="37"/>
      <c r="N72" s="37"/>
      <c r="O72" s="37"/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 t="shared" si="41"/>
        <v>0</v>
      </c>
    </row>
    <row r="73" spans="1:23">
      <c r="A73" s="67" t="s">
        <v>171</v>
      </c>
      <c r="B73" s="9" t="s">
        <v>106</v>
      </c>
      <c r="C73" s="67" t="s">
        <v>105</v>
      </c>
      <c r="D73" s="9" t="s">
        <v>37</v>
      </c>
      <c r="E73" s="40">
        <v>3</v>
      </c>
      <c r="F73" s="55">
        <f>E73/10</f>
        <v>0.3</v>
      </c>
      <c r="G73" s="55">
        <v>624.16999999999996</v>
      </c>
      <c r="H73" s="129">
        <f t="shared" si="44"/>
        <v>0.18725099999999997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 t="shared" si="41"/>
        <v>0</v>
      </c>
    </row>
    <row r="74" spans="1:23">
      <c r="A74" s="67" t="s">
        <v>173</v>
      </c>
      <c r="B74" s="9" t="s">
        <v>94</v>
      </c>
      <c r="C74" s="67" t="s">
        <v>32</v>
      </c>
      <c r="D74" s="9" t="s">
        <v>37</v>
      </c>
      <c r="E74" s="40">
        <v>1</v>
      </c>
      <c r="F74" s="55">
        <v>1</v>
      </c>
      <c r="G74" s="55">
        <v>1061.4100000000001</v>
      </c>
      <c r="H74" s="129">
        <f t="shared" si="44"/>
        <v>1.0614100000000002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f t="shared" si="41"/>
        <v>0</v>
      </c>
    </row>
    <row r="75" spans="1:23">
      <c r="A75" s="67" t="s">
        <v>172</v>
      </c>
      <c r="B75" s="9" t="s">
        <v>74</v>
      </c>
      <c r="C75" s="67" t="s">
        <v>32</v>
      </c>
      <c r="D75" s="9" t="s">
        <v>37</v>
      </c>
      <c r="E75" s="40">
        <v>1</v>
      </c>
      <c r="F75" s="35">
        <f>SUM(E75)</f>
        <v>1</v>
      </c>
      <c r="G75" s="55">
        <v>446.12</v>
      </c>
      <c r="H75" s="129">
        <f t="shared" si="44"/>
        <v>0.44612000000000002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7">
        <f t="shared" si="41"/>
        <v>0</v>
      </c>
    </row>
    <row r="76" spans="1:23">
      <c r="A76" s="67"/>
      <c r="B76" s="69" t="s">
        <v>75</v>
      </c>
      <c r="C76" s="67"/>
      <c r="D76" s="9"/>
      <c r="E76" s="40"/>
      <c r="F76" s="55"/>
      <c r="G76" s="55" t="s">
        <v>41</v>
      </c>
      <c r="H76" s="129" t="s">
        <v>41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3" s="2" customFormat="1">
      <c r="A77" s="68" t="s">
        <v>76</v>
      </c>
      <c r="B77" s="70" t="s">
        <v>77</v>
      </c>
      <c r="C77" s="68" t="s">
        <v>72</v>
      </c>
      <c r="D77" s="16"/>
      <c r="E77" s="71"/>
      <c r="F77" s="56">
        <v>1.3</v>
      </c>
      <c r="G77" s="56">
        <v>3433.68</v>
      </c>
      <c r="H77" s="129">
        <f t="shared" si="42"/>
        <v>4.4637839999999995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37">
        <f t="shared" si="41"/>
        <v>0</v>
      </c>
      <c r="V77" s="154"/>
      <c r="W77" s="154"/>
    </row>
    <row r="78" spans="1:23" s="21" customFormat="1">
      <c r="A78" s="72"/>
      <c r="B78" s="20" t="s">
        <v>24</v>
      </c>
      <c r="C78" s="73"/>
      <c r="D78" s="74"/>
      <c r="E78" s="75"/>
      <c r="F78" s="60"/>
      <c r="G78" s="60"/>
      <c r="H78" s="76">
        <f>SUM(H56:H77)</f>
        <v>111.99955695</v>
      </c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>
        <f>SUM(U56:U77)</f>
        <v>20563.074999999997</v>
      </c>
      <c r="V78" s="154"/>
      <c r="W78" s="154"/>
    </row>
    <row r="79" spans="1:23">
      <c r="A79" s="142" t="s">
        <v>121</v>
      </c>
      <c r="B79" s="11" t="s">
        <v>122</v>
      </c>
      <c r="C79" s="78"/>
      <c r="D79" s="79"/>
      <c r="E79" s="126"/>
      <c r="F79" s="80">
        <v>1</v>
      </c>
      <c r="G79" s="81">
        <v>12632.8</v>
      </c>
      <c r="H79" s="129">
        <f>G79*F79/1000</f>
        <v>12.6328</v>
      </c>
      <c r="I79" s="37">
        <v>0</v>
      </c>
      <c r="J79" s="37">
        <v>0</v>
      </c>
      <c r="K79" s="37">
        <v>0</v>
      </c>
      <c r="L79" s="37">
        <v>0</v>
      </c>
      <c r="M79" s="38">
        <v>0</v>
      </c>
      <c r="N79" s="38">
        <v>0</v>
      </c>
      <c r="O79" s="37">
        <v>0</v>
      </c>
      <c r="P79" s="37">
        <v>0</v>
      </c>
      <c r="Q79" s="37">
        <v>0</v>
      </c>
      <c r="R79" s="37">
        <v>0</v>
      </c>
      <c r="S79" s="37">
        <f>G79</f>
        <v>12632.8</v>
      </c>
      <c r="T79" s="37">
        <v>0</v>
      </c>
      <c r="U79" s="37">
        <f t="shared" si="41"/>
        <v>12632.8</v>
      </c>
    </row>
    <row r="80" spans="1:23" ht="12.75" customHeight="1">
      <c r="A80" s="143"/>
      <c r="B80" s="77" t="s">
        <v>78</v>
      </c>
      <c r="C80" s="67" t="s">
        <v>79</v>
      </c>
      <c r="D80" s="82"/>
      <c r="E80" s="55">
        <v>1839.1</v>
      </c>
      <c r="F80" s="55">
        <f>SUM(E80*12)</f>
        <v>22069.199999999997</v>
      </c>
      <c r="G80" s="83">
        <v>2.95</v>
      </c>
      <c r="H80" s="129">
        <f>SUM(F80*G80/1000)</f>
        <v>65.104139999999987</v>
      </c>
      <c r="I80" s="37">
        <f>F80/12*G80</f>
        <v>5425.3449999999993</v>
      </c>
      <c r="J80" s="37">
        <f>F80/12*G80</f>
        <v>5425.3449999999993</v>
      </c>
      <c r="K80" s="37">
        <f>F80/12*G80</f>
        <v>5425.3449999999993</v>
      </c>
      <c r="L80" s="37">
        <f>F80/12*G80</f>
        <v>5425.3449999999993</v>
      </c>
      <c r="M80" s="38">
        <f>F80/12*G80</f>
        <v>5425.3449999999993</v>
      </c>
      <c r="N80" s="38">
        <f>F80/12*G80</f>
        <v>5425.3449999999993</v>
      </c>
      <c r="O80" s="37">
        <f>F80/12*G80</f>
        <v>5425.3449999999993</v>
      </c>
      <c r="P80" s="37">
        <f>F80/12*G80</f>
        <v>5425.3449999999993</v>
      </c>
      <c r="Q80" s="37">
        <f>F80/12*G80</f>
        <v>5425.3449999999993</v>
      </c>
      <c r="R80" s="37">
        <f>F80/12*G80</f>
        <v>5425.3449999999993</v>
      </c>
      <c r="S80" s="37">
        <f>F80/12*G80</f>
        <v>5425.3449999999993</v>
      </c>
      <c r="T80" s="37">
        <f>F80/12*G80</f>
        <v>5425.3449999999993</v>
      </c>
      <c r="U80" s="37">
        <f t="shared" si="41"/>
        <v>27126.724999999999</v>
      </c>
    </row>
    <row r="81" spans="1:23" s="19" customFormat="1">
      <c r="A81" s="84"/>
      <c r="B81" s="20" t="s">
        <v>24</v>
      </c>
      <c r="C81" s="85"/>
      <c r="D81" s="86"/>
      <c r="E81" s="87"/>
      <c r="F81" s="46"/>
      <c r="G81" s="88"/>
      <c r="H81" s="47">
        <f>SUM(H79:H80)</f>
        <v>77.73693999999999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f>SUM(U79:U80)</f>
        <v>39759.524999999994</v>
      </c>
      <c r="V81" s="154"/>
      <c r="W81" s="154"/>
    </row>
    <row r="82" spans="1:23" ht="25.5" customHeight="1">
      <c r="A82" s="89"/>
      <c r="B82" s="9" t="s">
        <v>80</v>
      </c>
      <c r="C82" s="67"/>
      <c r="D82" s="90"/>
      <c r="E82" s="34">
        <f>E80</f>
        <v>1839.1</v>
      </c>
      <c r="F82" s="55">
        <f>E82*12</f>
        <v>22069.199999999997</v>
      </c>
      <c r="G82" s="55">
        <v>3.05</v>
      </c>
      <c r="H82" s="129">
        <f>F82*G82/1000</f>
        <v>67.311059999999983</v>
      </c>
      <c r="I82" s="37">
        <f>F82/12*G82</f>
        <v>5609.2549999999983</v>
      </c>
      <c r="J82" s="37">
        <f>F82/12*G82</f>
        <v>5609.2549999999983</v>
      </c>
      <c r="K82" s="37">
        <f>F82/12*G82</f>
        <v>5609.2549999999983</v>
      </c>
      <c r="L82" s="37">
        <f>F82/12*G82</f>
        <v>5609.2549999999983</v>
      </c>
      <c r="M82" s="37">
        <f>F82/12*G82</f>
        <v>5609.2549999999983</v>
      </c>
      <c r="N82" s="37">
        <f>F82/12*G82</f>
        <v>5609.2549999999983</v>
      </c>
      <c r="O82" s="37">
        <f>F82/12*G82</f>
        <v>5609.2549999999983</v>
      </c>
      <c r="P82" s="37">
        <f>F82/12*G82</f>
        <v>5609.2549999999983</v>
      </c>
      <c r="Q82" s="37">
        <f>F82/12*G82</f>
        <v>5609.2549999999983</v>
      </c>
      <c r="R82" s="37">
        <f>F82/12*G82</f>
        <v>5609.2549999999983</v>
      </c>
      <c r="S82" s="37">
        <f>F82/12*G82</f>
        <v>5609.2549999999983</v>
      </c>
      <c r="T82" s="37">
        <f t="shared" ref="T82" si="45">F82/12*G82</f>
        <v>5609.2549999999983</v>
      </c>
      <c r="U82" s="37">
        <f>SUM(P82:T82)</f>
        <v>28046.274999999991</v>
      </c>
    </row>
    <row r="83" spans="1:23" ht="25.5" customHeight="1">
      <c r="A83" s="89"/>
      <c r="B83" s="9" t="s">
        <v>210</v>
      </c>
      <c r="C83" s="67" t="s">
        <v>211</v>
      </c>
      <c r="D83" s="90"/>
      <c r="E83" s="126"/>
      <c r="F83" s="55"/>
      <c r="G83" s="55"/>
      <c r="H83" s="129">
        <v>59.113</v>
      </c>
      <c r="I83" s="37"/>
      <c r="J83" s="37"/>
      <c r="K83" s="37"/>
      <c r="L83" s="37"/>
      <c r="M83" s="37"/>
      <c r="N83" s="37"/>
      <c r="O83" s="37"/>
      <c r="P83" s="37">
        <v>4926.08</v>
      </c>
      <c r="Q83" s="37">
        <v>4926.08</v>
      </c>
      <c r="R83" s="37">
        <v>4926.08</v>
      </c>
      <c r="S83" s="37">
        <v>4926.08</v>
      </c>
      <c r="T83" s="37">
        <v>4926.08</v>
      </c>
      <c r="U83" s="37">
        <f>SUM(P83:T83)</f>
        <v>24630.400000000001</v>
      </c>
    </row>
    <row r="84" spans="1:23" s="19" customFormat="1">
      <c r="A84" s="84"/>
      <c r="B84" s="91" t="s">
        <v>81</v>
      </c>
      <c r="C84" s="92"/>
      <c r="D84" s="91"/>
      <c r="E84" s="46"/>
      <c r="F84" s="46"/>
      <c r="G84" s="46"/>
      <c r="H84" s="76">
        <f>H82</f>
        <v>67.311059999999983</v>
      </c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122">
        <f>U82</f>
        <v>28046.274999999991</v>
      </c>
      <c r="V84" s="154"/>
      <c r="W84" s="154"/>
    </row>
    <row r="85" spans="1:23" s="19" customFormat="1">
      <c r="A85" s="84"/>
      <c r="B85" s="91" t="s">
        <v>82</v>
      </c>
      <c r="C85" s="93"/>
      <c r="D85" s="94"/>
      <c r="E85" s="95"/>
      <c r="F85" s="95"/>
      <c r="G85" s="95"/>
      <c r="H85" s="76">
        <f>SUM(H84+H81+H78+H54+H41+H33+H22)</f>
        <v>525.42391034166667</v>
      </c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122">
        <f>SUM(U84+U81+U78+U54+U41+U33+U22)</f>
        <v>196193.71258516668</v>
      </c>
      <c r="V85" s="154"/>
      <c r="W85" s="154"/>
    </row>
    <row r="86" spans="1:23">
      <c r="A86" s="89"/>
      <c r="B86" s="90" t="s">
        <v>83</v>
      </c>
      <c r="C86" s="67"/>
      <c r="D86" s="90"/>
      <c r="E86" s="55"/>
      <c r="F86" s="55"/>
      <c r="G86" s="55" t="s">
        <v>84</v>
      </c>
      <c r="H86" s="96">
        <f>E82</f>
        <v>1839.1</v>
      </c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3" s="19" customFormat="1">
      <c r="A87" s="84"/>
      <c r="B87" s="94" t="s">
        <v>85</v>
      </c>
      <c r="C87" s="93"/>
      <c r="D87" s="94"/>
      <c r="E87" s="95"/>
      <c r="F87" s="95"/>
      <c r="G87" s="95"/>
      <c r="H87" s="97">
        <f>SUM(H85/H86/12*1000)</f>
        <v>23.808017977165765</v>
      </c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123"/>
      <c r="V87" s="154"/>
      <c r="W87" s="154"/>
    </row>
    <row r="88" spans="1:23">
      <c r="A88" s="89"/>
      <c r="B88" s="90"/>
      <c r="C88" s="67"/>
      <c r="D88" s="90"/>
      <c r="E88" s="55"/>
      <c r="F88" s="55"/>
      <c r="G88" s="55"/>
      <c r="H88" s="98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124"/>
    </row>
    <row r="89" spans="1:23">
      <c r="A89" s="149"/>
      <c r="B89" s="150" t="s">
        <v>86</v>
      </c>
      <c r="C89" s="67"/>
      <c r="D89" s="90"/>
      <c r="E89" s="55"/>
      <c r="F89" s="55"/>
      <c r="G89" s="55"/>
      <c r="H89" s="5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3" ht="25.5" customHeight="1">
      <c r="A90" s="131" t="s">
        <v>161</v>
      </c>
      <c r="B90" s="132" t="s">
        <v>134</v>
      </c>
      <c r="C90" s="130" t="s">
        <v>56</v>
      </c>
      <c r="D90" s="90"/>
      <c r="E90" s="55"/>
      <c r="F90" s="55">
        <v>0.02</v>
      </c>
      <c r="G90" s="55">
        <v>3397.65</v>
      </c>
      <c r="H90" s="129">
        <f t="shared" ref="H90:H95" si="46">G90*F90/1000</f>
        <v>6.7953E-2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f>G90*0.01</f>
        <v>33.976500000000001</v>
      </c>
      <c r="P90" s="37">
        <f>G90*0.01</f>
        <v>33.976500000000001</v>
      </c>
      <c r="Q90" s="37">
        <v>0</v>
      </c>
      <c r="R90" s="37">
        <v>0</v>
      </c>
      <c r="S90" s="37">
        <f>G90*0.01</f>
        <v>33.976500000000001</v>
      </c>
      <c r="T90" s="37">
        <v>0</v>
      </c>
      <c r="U90" s="37">
        <f t="shared" ref="U90:U95" si="47">SUM(P90:T90)</f>
        <v>67.953000000000003</v>
      </c>
    </row>
    <row r="91" spans="1:23" ht="25.5">
      <c r="A91" s="148" t="s">
        <v>197</v>
      </c>
      <c r="B91" s="132" t="s">
        <v>198</v>
      </c>
      <c r="C91" s="128" t="s">
        <v>59</v>
      </c>
      <c r="D91" s="90"/>
      <c r="E91" s="55"/>
      <c r="F91" s="55">
        <v>4</v>
      </c>
      <c r="G91" s="55">
        <v>79.09</v>
      </c>
      <c r="H91" s="129">
        <f t="shared" si="46"/>
        <v>0.31636000000000003</v>
      </c>
      <c r="I91" s="37"/>
      <c r="J91" s="37"/>
      <c r="K91" s="37"/>
      <c r="L91" s="37"/>
      <c r="M91" s="37"/>
      <c r="N91" s="37"/>
      <c r="O91" s="37"/>
      <c r="P91" s="37">
        <f>G91</f>
        <v>79.09</v>
      </c>
      <c r="Q91" s="37">
        <f>G91</f>
        <v>79.09</v>
      </c>
      <c r="R91" s="37">
        <f>G91</f>
        <v>79.09</v>
      </c>
      <c r="S91" s="37">
        <f>G91</f>
        <v>79.09</v>
      </c>
      <c r="T91" s="37">
        <v>0</v>
      </c>
      <c r="U91" s="37">
        <f t="shared" si="47"/>
        <v>316.36</v>
      </c>
    </row>
    <row r="92" spans="1:23">
      <c r="A92" s="130" t="s">
        <v>203</v>
      </c>
      <c r="B92" s="151" t="s">
        <v>204</v>
      </c>
      <c r="C92" s="130" t="s">
        <v>205</v>
      </c>
      <c r="D92" s="152"/>
      <c r="E92" s="55"/>
      <c r="F92" s="55">
        <v>2</v>
      </c>
      <c r="G92" s="55">
        <v>185.81</v>
      </c>
      <c r="H92" s="129">
        <f t="shared" si="46"/>
        <v>0.37162000000000001</v>
      </c>
      <c r="I92" s="37"/>
      <c r="J92" s="37"/>
      <c r="K92" s="37"/>
      <c r="L92" s="37"/>
      <c r="M92" s="37"/>
      <c r="N92" s="37"/>
      <c r="O92" s="37"/>
      <c r="P92" s="37">
        <v>0</v>
      </c>
      <c r="Q92" s="37">
        <f>G92</f>
        <v>185.81</v>
      </c>
      <c r="R92" s="37">
        <v>0</v>
      </c>
      <c r="S92" s="37">
        <v>0</v>
      </c>
      <c r="T92" s="37">
        <f>G92</f>
        <v>185.81</v>
      </c>
      <c r="U92" s="37">
        <f t="shared" si="47"/>
        <v>371.62</v>
      </c>
    </row>
    <row r="93" spans="1:23" ht="25.5">
      <c r="A93" s="153" t="s">
        <v>208</v>
      </c>
      <c r="B93" s="132" t="s">
        <v>206</v>
      </c>
      <c r="C93" s="148" t="s">
        <v>207</v>
      </c>
      <c r="D93" s="152"/>
      <c r="E93" s="55"/>
      <c r="F93" s="55">
        <f>0.52/10</f>
        <v>5.2000000000000005E-2</v>
      </c>
      <c r="G93" s="55">
        <v>8916.31</v>
      </c>
      <c r="H93" s="129">
        <f t="shared" si="46"/>
        <v>0.46364812</v>
      </c>
      <c r="I93" s="37"/>
      <c r="J93" s="37"/>
      <c r="K93" s="37"/>
      <c r="L93" s="37"/>
      <c r="M93" s="37"/>
      <c r="N93" s="37"/>
      <c r="O93" s="37"/>
      <c r="P93" s="37">
        <v>0</v>
      </c>
      <c r="Q93" s="37">
        <f>G93*F93</f>
        <v>463.64812000000001</v>
      </c>
      <c r="R93" s="37">
        <v>0</v>
      </c>
      <c r="S93" s="37">
        <v>0</v>
      </c>
      <c r="T93" s="37">
        <v>0</v>
      </c>
      <c r="U93" s="37">
        <f t="shared" si="47"/>
        <v>463.64812000000001</v>
      </c>
    </row>
    <row r="94" spans="1:23" ht="38.25">
      <c r="A94" s="131" t="s">
        <v>219</v>
      </c>
      <c r="B94" s="132" t="s">
        <v>217</v>
      </c>
      <c r="C94" s="131" t="s">
        <v>218</v>
      </c>
      <c r="D94" s="152"/>
      <c r="E94" s="55"/>
      <c r="F94" s="55">
        <v>1</v>
      </c>
      <c r="G94" s="55">
        <v>51.39</v>
      </c>
      <c r="H94" s="129">
        <f t="shared" si="46"/>
        <v>5.1389999999999998E-2</v>
      </c>
      <c r="I94" s="37"/>
      <c r="J94" s="37"/>
      <c r="K94" s="37"/>
      <c r="L94" s="37"/>
      <c r="M94" s="37"/>
      <c r="N94" s="37"/>
      <c r="O94" s="37"/>
      <c r="P94" s="37">
        <v>0</v>
      </c>
      <c r="Q94" s="37">
        <v>0</v>
      </c>
      <c r="R94" s="37">
        <f>G94</f>
        <v>51.39</v>
      </c>
      <c r="S94" s="37">
        <v>0</v>
      </c>
      <c r="T94" s="37">
        <v>0</v>
      </c>
      <c r="U94" s="37">
        <f t="shared" si="47"/>
        <v>51.39</v>
      </c>
    </row>
    <row r="95" spans="1:23" ht="25.5">
      <c r="A95" s="148" t="s">
        <v>215</v>
      </c>
      <c r="B95" s="132" t="s">
        <v>216</v>
      </c>
      <c r="C95" s="131" t="s">
        <v>214</v>
      </c>
      <c r="D95" s="152"/>
      <c r="E95" s="55"/>
      <c r="F95" s="55">
        <v>1</v>
      </c>
      <c r="G95" s="55">
        <v>625.07000000000005</v>
      </c>
      <c r="H95" s="129">
        <f t="shared" si="46"/>
        <v>0.62507000000000001</v>
      </c>
      <c r="I95" s="37"/>
      <c r="J95" s="37"/>
      <c r="K95" s="37"/>
      <c r="L95" s="37"/>
      <c r="M95" s="37"/>
      <c r="N95" s="37"/>
      <c r="O95" s="37"/>
      <c r="P95" s="37">
        <v>0</v>
      </c>
      <c r="Q95" s="37">
        <v>0</v>
      </c>
      <c r="R95" s="37">
        <f>G95</f>
        <v>625.07000000000005</v>
      </c>
      <c r="S95" s="37">
        <v>0</v>
      </c>
      <c r="T95" s="37">
        <v>0</v>
      </c>
      <c r="U95" s="37">
        <f t="shared" si="47"/>
        <v>625.07000000000005</v>
      </c>
    </row>
    <row r="96" spans="1:23" s="19" customFormat="1">
      <c r="A96" s="99"/>
      <c r="B96" s="100" t="s">
        <v>87</v>
      </c>
      <c r="C96" s="99"/>
      <c r="D96" s="99"/>
      <c r="E96" s="95"/>
      <c r="F96" s="95"/>
      <c r="G96" s="95"/>
      <c r="H96" s="47">
        <f>SUM(H90:H95)</f>
        <v>1.89604112</v>
      </c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46">
        <f>SUM(U90:U95)</f>
        <v>1896.0411200000003</v>
      </c>
      <c r="V96" s="154"/>
      <c r="W96" s="154"/>
    </row>
    <row r="97" spans="1:23">
      <c r="A97" s="101"/>
      <c r="B97" s="102"/>
      <c r="C97" s="101"/>
      <c r="D97" s="101"/>
      <c r="E97" s="55"/>
      <c r="F97" s="55"/>
      <c r="G97" s="55"/>
      <c r="H97" s="103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125"/>
    </row>
    <row r="98" spans="1:23" ht="12" customHeight="1">
      <c r="A98" s="89"/>
      <c r="B98" s="18" t="s">
        <v>88</v>
      </c>
      <c r="C98" s="67"/>
      <c r="D98" s="90"/>
      <c r="E98" s="55"/>
      <c r="F98" s="55"/>
      <c r="G98" s="55"/>
      <c r="H98" s="104">
        <f>H96/E99/12*1000</f>
        <v>8.5913450419589296E-2</v>
      </c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125"/>
    </row>
    <row r="99" spans="1:23" s="19" customFormat="1">
      <c r="A99" s="105"/>
      <c r="B99" s="106" t="s">
        <v>89</v>
      </c>
      <c r="C99" s="107"/>
      <c r="D99" s="106"/>
      <c r="E99" s="144">
        <v>1839.1</v>
      </c>
      <c r="F99" s="108">
        <f>SUM(E99*12)</f>
        <v>22069.199999999997</v>
      </c>
      <c r="G99" s="109">
        <f>H87+H98</f>
        <v>23.893931427585354</v>
      </c>
      <c r="H99" s="110">
        <f>SUM(F99*G99/1000)</f>
        <v>527.31995146166662</v>
      </c>
      <c r="I99" s="95">
        <f t="shared" ref="I99:R99" si="48">SUM(I11:I98)</f>
        <v>50655.880737999993</v>
      </c>
      <c r="J99" s="95">
        <f t="shared" si="48"/>
        <v>33107.78084466666</v>
      </c>
      <c r="K99" s="95">
        <f t="shared" si="48"/>
        <v>29960.565796666662</v>
      </c>
      <c r="L99" s="95">
        <f t="shared" si="48"/>
        <v>39224.44579666666</v>
      </c>
      <c r="M99" s="95">
        <f t="shared" si="48"/>
        <v>87601.568225611132</v>
      </c>
      <c r="N99" s="95">
        <f t="shared" si="48"/>
        <v>26566.110749111111</v>
      </c>
      <c r="O99" s="95">
        <f t="shared" si="48"/>
        <v>26600.087249111111</v>
      </c>
      <c r="P99" s="95">
        <f t="shared" si="48"/>
        <v>45247.3759991111</v>
      </c>
      <c r="Q99" s="95">
        <f t="shared" si="48"/>
        <v>43881.1964196111</v>
      </c>
      <c r="R99" s="95">
        <f t="shared" si="48"/>
        <v>39819.998145111102</v>
      </c>
      <c r="S99" s="95">
        <f>SUM(S11:S98)</f>
        <v>51592.212296666657</v>
      </c>
      <c r="T99" s="95">
        <f>SUM(T11:T98)</f>
        <v>42179.370844666657</v>
      </c>
      <c r="U99" s="46">
        <f>U85+U96</f>
        <v>198089.75370516669</v>
      </c>
      <c r="V99" s="154"/>
      <c r="W99" s="154"/>
    </row>
    <row r="100" spans="1:23">
      <c r="A100" s="111"/>
      <c r="B100" s="111"/>
      <c r="C100" s="111"/>
      <c r="D100" s="111"/>
      <c r="E100" s="112"/>
      <c r="F100" s="112"/>
      <c r="G100" s="112"/>
      <c r="H100" s="112"/>
      <c r="I100" s="112"/>
      <c r="J100" s="112"/>
      <c r="K100" s="112"/>
      <c r="L100" s="112"/>
      <c r="M100" s="111"/>
      <c r="N100" s="112"/>
      <c r="O100" s="111"/>
      <c r="P100" s="111"/>
      <c r="Q100" s="111"/>
      <c r="R100" s="111"/>
      <c r="S100" s="111"/>
      <c r="T100" s="111"/>
      <c r="U100" s="111"/>
    </row>
    <row r="101" spans="1:23">
      <c r="A101" s="111"/>
      <c r="B101" s="111"/>
      <c r="C101" s="111"/>
      <c r="D101" s="111"/>
      <c r="E101" s="112"/>
      <c r="F101" s="112"/>
      <c r="G101" s="112"/>
      <c r="H101" s="112"/>
      <c r="I101" s="112"/>
      <c r="J101" s="113"/>
      <c r="K101" s="114"/>
      <c r="L101" s="113"/>
      <c r="M101" s="112"/>
      <c r="N101" s="111"/>
      <c r="O101" s="111"/>
      <c r="P101" s="111"/>
      <c r="Q101" s="111"/>
      <c r="R101" s="111"/>
      <c r="S101" s="111"/>
      <c r="T101" s="111"/>
      <c r="U101" s="111"/>
    </row>
    <row r="102" spans="1:23" ht="45">
      <c r="A102" s="111"/>
      <c r="B102" s="115" t="s">
        <v>123</v>
      </c>
      <c r="C102" s="159">
        <v>175794.54</v>
      </c>
      <c r="D102" s="160"/>
      <c r="E102" s="160"/>
      <c r="F102" s="161"/>
      <c r="G102" s="112"/>
      <c r="H102" s="112"/>
      <c r="I102" s="112"/>
      <c r="J102" s="113"/>
      <c r="K102" s="114"/>
      <c r="L102" s="113"/>
      <c r="M102" s="112"/>
      <c r="N102" s="111"/>
      <c r="O102" s="111"/>
      <c r="P102" s="111"/>
      <c r="Q102" s="111"/>
      <c r="R102" s="111"/>
      <c r="S102" s="111"/>
      <c r="T102" s="111"/>
      <c r="U102" s="111"/>
    </row>
    <row r="103" spans="1:23" ht="30">
      <c r="A103" s="111"/>
      <c r="B103" s="22" t="s">
        <v>174</v>
      </c>
      <c r="C103" s="159">
        <f>(41526.87*7)+(52671.83*5)</f>
        <v>554047.24</v>
      </c>
      <c r="D103" s="160"/>
      <c r="E103" s="160"/>
      <c r="F103" s="161"/>
      <c r="G103" s="112"/>
      <c r="H103" s="112"/>
      <c r="I103" s="112"/>
      <c r="J103" s="113"/>
      <c r="K103" s="114"/>
      <c r="L103" s="113"/>
      <c r="M103" s="112"/>
      <c r="N103" s="111"/>
      <c r="O103" s="111"/>
      <c r="P103" s="111"/>
      <c r="Q103" s="111"/>
      <c r="R103" s="111"/>
      <c r="S103" s="111"/>
      <c r="T103" s="111"/>
      <c r="U103" s="111"/>
    </row>
    <row r="104" spans="1:23" ht="30">
      <c r="A104" s="111"/>
      <c r="B104" s="22" t="s">
        <v>175</v>
      </c>
      <c r="C104" s="159">
        <f>SUM(U99-U96)+278406.39</f>
        <v>474600.10258516669</v>
      </c>
      <c r="D104" s="160"/>
      <c r="E104" s="160"/>
      <c r="F104" s="161"/>
      <c r="G104" s="112"/>
      <c r="H104" s="112"/>
      <c r="I104" s="112"/>
      <c r="J104" s="113"/>
      <c r="K104" s="114"/>
      <c r="L104" s="113"/>
      <c r="M104" s="112"/>
      <c r="N104" s="111"/>
      <c r="O104" s="111"/>
      <c r="P104" s="111"/>
      <c r="Q104" s="111"/>
      <c r="R104" s="111"/>
      <c r="S104" s="111"/>
      <c r="T104" s="111"/>
      <c r="U104" s="111"/>
    </row>
    <row r="105" spans="1:23" ht="30">
      <c r="A105" s="111"/>
      <c r="B105" s="22" t="s">
        <v>176</v>
      </c>
      <c r="C105" s="159">
        <f>SUM(U96)+8693.3</f>
        <v>10589.341119999999</v>
      </c>
      <c r="D105" s="160"/>
      <c r="E105" s="160"/>
      <c r="F105" s="161"/>
      <c r="G105" s="112"/>
      <c r="H105" s="112"/>
      <c r="I105" s="112"/>
      <c r="K105" s="114"/>
      <c r="L105" s="113"/>
      <c r="M105" s="112"/>
      <c r="N105" s="111"/>
      <c r="O105" s="111"/>
      <c r="P105" s="111"/>
      <c r="Q105" s="111"/>
      <c r="R105" s="111"/>
      <c r="S105" s="111"/>
      <c r="T105" s="111"/>
      <c r="U105" s="111"/>
    </row>
    <row r="106" spans="1:23" ht="18">
      <c r="A106" s="111"/>
      <c r="B106" s="121" t="s">
        <v>177</v>
      </c>
      <c r="C106" s="159">
        <f>(29847.63+32487.18+42450.46+47337.13+44678.46+30243.41+36109.32)+51992.05+39125+41247.43+46920.35+45567.33</f>
        <v>488005.74999999994</v>
      </c>
      <c r="D106" s="160"/>
      <c r="E106" s="160"/>
      <c r="F106" s="161"/>
      <c r="G106" s="111"/>
      <c r="J106" s="117"/>
      <c r="K106" s="118"/>
      <c r="L106" s="119"/>
      <c r="M106" s="116"/>
      <c r="N106" s="116"/>
      <c r="O106" s="111"/>
      <c r="P106" s="116" t="s">
        <v>95</v>
      </c>
      <c r="Q106" s="111"/>
      <c r="R106" s="111"/>
      <c r="S106" s="111"/>
      <c r="T106" s="111"/>
      <c r="U106" s="111"/>
    </row>
    <row r="107" spans="1:23" ht="78.75">
      <c r="A107" s="111"/>
      <c r="B107" s="23" t="s">
        <v>212</v>
      </c>
      <c r="C107" s="162">
        <v>219522.27</v>
      </c>
      <c r="D107" s="163"/>
      <c r="E107" s="163"/>
      <c r="F107" s="164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</row>
    <row r="108" spans="1:23" ht="45">
      <c r="A108" s="111"/>
      <c r="B108" s="120" t="s">
        <v>213</v>
      </c>
      <c r="C108" s="156">
        <f>SUM(C104+C105-C103)+C102</f>
        <v>106936.74370516671</v>
      </c>
      <c r="D108" s="157"/>
      <c r="E108" s="157"/>
      <c r="F108" s="158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</row>
    <row r="110" spans="1:23">
      <c r="J110" s="4"/>
      <c r="K110" s="5"/>
      <c r="L110" s="5"/>
      <c r="M110" s="3"/>
    </row>
    <row r="111" spans="1:23">
      <c r="G111" s="6"/>
      <c r="H111" s="6"/>
    </row>
    <row r="112" spans="1:23">
      <c r="G112" s="7"/>
    </row>
  </sheetData>
  <mergeCells count="11">
    <mergeCell ref="B3:L3"/>
    <mergeCell ref="B4:L4"/>
    <mergeCell ref="B5:L5"/>
    <mergeCell ref="B6:L6"/>
    <mergeCell ref="C102:F102"/>
    <mergeCell ref="C108:F108"/>
    <mergeCell ref="C103:F103"/>
    <mergeCell ref="C104:F104"/>
    <mergeCell ref="C105:F105"/>
    <mergeCell ref="C106:F106"/>
    <mergeCell ref="C107:F107"/>
  </mergeCells>
  <pageMargins left="0.51181102362204722" right="0.11811023622047245" top="0.15748031496062992" bottom="0.19685039370078741" header="0.15748031496062992" footer="0.15748031496062992"/>
  <pageSetup paperSize="9" scale="4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Нефт.,7</vt:lpstr>
      <vt:lpstr>'Нефт.,7'!Область_печати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2017-05-12T07:24:03Z</cp:lastPrinted>
  <dcterms:created xsi:type="dcterms:W3CDTF">2014-02-05T12:20:20Z</dcterms:created>
  <dcterms:modified xsi:type="dcterms:W3CDTF">2017-05-12T07:24:06Z</dcterms:modified>
</cp:coreProperties>
</file>