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975" windowHeight="5565"/>
  </bookViews>
  <sheets>
    <sheet name="Сов.14" sheetId="1" r:id="rId1"/>
  </sheets>
  <definedNames>
    <definedName name="_xlnm.Print_Area" localSheetId="0">Сов.14!$A$1:$U$112</definedName>
  </definedNames>
  <calcPr calcId="124519"/>
</workbook>
</file>

<file path=xl/calcChain.xml><?xml version="1.0" encoding="utf-8"?>
<calcChain xmlns="http://schemas.openxmlformats.org/spreadsheetml/2006/main">
  <c r="S99" i="1"/>
  <c r="U99" s="1"/>
  <c r="U100" s="1"/>
  <c r="H99"/>
  <c r="H100" s="1"/>
  <c r="T93"/>
  <c r="S94"/>
  <c r="T91"/>
  <c r="S91"/>
  <c r="U98"/>
  <c r="S98"/>
  <c r="H98"/>
  <c r="U97"/>
  <c r="S97"/>
  <c r="H97"/>
  <c r="U90"/>
  <c r="U89"/>
  <c r="H88"/>
  <c r="U88"/>
  <c r="T88"/>
  <c r="T63"/>
  <c r="K36"/>
  <c r="T103"/>
  <c r="S103"/>
  <c r="T81"/>
  <c r="S81"/>
  <c r="T79"/>
  <c r="S79"/>
  <c r="T57"/>
  <c r="S57"/>
  <c r="T56"/>
  <c r="S56"/>
  <c r="T55"/>
  <c r="S55"/>
  <c r="T47"/>
  <c r="T39"/>
  <c r="S39"/>
  <c r="T38"/>
  <c r="S38"/>
  <c r="T37"/>
  <c r="S37"/>
  <c r="T35"/>
  <c r="S35"/>
  <c r="T34"/>
  <c r="S34"/>
  <c r="T33"/>
  <c r="S33"/>
  <c r="T30"/>
  <c r="S30"/>
  <c r="T27"/>
  <c r="S27"/>
  <c r="T16"/>
  <c r="S16"/>
  <c r="T15"/>
  <c r="S15"/>
  <c r="T13"/>
  <c r="S13"/>
  <c r="T12"/>
  <c r="S12"/>
  <c r="T11"/>
  <c r="S11"/>
  <c r="U96"/>
  <c r="P96"/>
  <c r="H96"/>
  <c r="U95"/>
  <c r="P95"/>
  <c r="H95"/>
  <c r="P88"/>
  <c r="Q93"/>
  <c r="O94"/>
  <c r="U94" s="1"/>
  <c r="H94"/>
  <c r="P52"/>
  <c r="P51"/>
  <c r="R50"/>
  <c r="U93"/>
  <c r="M93"/>
  <c r="H93"/>
  <c r="L52"/>
  <c r="L51"/>
  <c r="M26"/>
  <c r="F26"/>
  <c r="Q26" s="1"/>
  <c r="L92"/>
  <c r="U92" s="1"/>
  <c r="H92"/>
  <c r="L88"/>
  <c r="I88"/>
  <c r="L56"/>
  <c r="L50"/>
  <c r="L39"/>
  <c r="L33"/>
  <c r="F78"/>
  <c r="N78" s="1"/>
  <c r="U78" s="1"/>
  <c r="H78"/>
  <c r="K91"/>
  <c r="K56"/>
  <c r="K39"/>
  <c r="K33"/>
  <c r="J91"/>
  <c r="U91" s="1"/>
  <c r="H91"/>
  <c r="J56"/>
  <c r="J39"/>
  <c r="J33"/>
  <c r="I52"/>
  <c r="U52" s="1"/>
  <c r="I51"/>
  <c r="F52"/>
  <c r="I90"/>
  <c r="H90"/>
  <c r="I89"/>
  <c r="H89"/>
  <c r="U76"/>
  <c r="U73"/>
  <c r="U72"/>
  <c r="U64"/>
  <c r="U63"/>
  <c r="U61"/>
  <c r="U59"/>
  <c r="U51"/>
  <c r="U50"/>
  <c r="U36"/>
  <c r="U29"/>
  <c r="U28"/>
  <c r="I56"/>
  <c r="U56" s="1"/>
  <c r="I39"/>
  <c r="U39" s="1"/>
  <c r="I33"/>
  <c r="U33" s="1"/>
  <c r="F51"/>
  <c r="N26" l="1"/>
  <c r="U26" s="1"/>
  <c r="P26"/>
  <c r="R26"/>
  <c r="O26"/>
  <c r="H36"/>
  <c r="C109" l="1"/>
  <c r="F57"/>
  <c r="I57" l="1"/>
  <c r="K57"/>
  <c r="J57"/>
  <c r="L57"/>
  <c r="F34"/>
  <c r="F16"/>
  <c r="F37"/>
  <c r="H33"/>
  <c r="F19"/>
  <c r="N19" s="1"/>
  <c r="U19" s="1"/>
  <c r="F103"/>
  <c r="H102"/>
  <c r="E81"/>
  <c r="H84" s="1"/>
  <c r="F79"/>
  <c r="H76"/>
  <c r="H74"/>
  <c r="F73"/>
  <c r="H72"/>
  <c r="F70"/>
  <c r="F69"/>
  <c r="F68"/>
  <c r="F67"/>
  <c r="F66"/>
  <c r="F65"/>
  <c r="H64"/>
  <c r="H63"/>
  <c r="F59"/>
  <c r="H59" s="1"/>
  <c r="H57"/>
  <c r="F55"/>
  <c r="H52"/>
  <c r="H51"/>
  <c r="H50"/>
  <c r="F49"/>
  <c r="F48"/>
  <c r="F47"/>
  <c r="F46"/>
  <c r="F45"/>
  <c r="F44"/>
  <c r="F43"/>
  <c r="F42"/>
  <c r="H39"/>
  <c r="F38"/>
  <c r="H37"/>
  <c r="F35"/>
  <c r="H34"/>
  <c r="F30"/>
  <c r="H29"/>
  <c r="H28"/>
  <c r="F27"/>
  <c r="H26"/>
  <c r="F25"/>
  <c r="F24"/>
  <c r="F23"/>
  <c r="F20"/>
  <c r="F18"/>
  <c r="F17"/>
  <c r="H16"/>
  <c r="F15"/>
  <c r="F14"/>
  <c r="E13"/>
  <c r="F13" s="1"/>
  <c r="F12"/>
  <c r="F11"/>
  <c r="Q11" l="1"/>
  <c r="O11"/>
  <c r="N11"/>
  <c r="L11"/>
  <c r="R11"/>
  <c r="P11"/>
  <c r="M11"/>
  <c r="K11"/>
  <c r="J11"/>
  <c r="Q13"/>
  <c r="O13"/>
  <c r="N13"/>
  <c r="L13"/>
  <c r="R13"/>
  <c r="P13"/>
  <c r="M13"/>
  <c r="K13"/>
  <c r="J13"/>
  <c r="Q15"/>
  <c r="O15"/>
  <c r="N15"/>
  <c r="M15"/>
  <c r="K15"/>
  <c r="J15"/>
  <c r="R15"/>
  <c r="P15"/>
  <c r="L15"/>
  <c r="H17"/>
  <c r="N17"/>
  <c r="U17" s="1"/>
  <c r="H20"/>
  <c r="N20"/>
  <c r="U20" s="1"/>
  <c r="H24"/>
  <c r="Q24"/>
  <c r="O24"/>
  <c r="R24"/>
  <c r="P24"/>
  <c r="N24"/>
  <c r="M24"/>
  <c r="U24" s="1"/>
  <c r="Q30"/>
  <c r="O30"/>
  <c r="L30"/>
  <c r="J30"/>
  <c r="R30"/>
  <c r="P30"/>
  <c r="N30"/>
  <c r="M30"/>
  <c r="K30"/>
  <c r="K35"/>
  <c r="L35"/>
  <c r="J35"/>
  <c r="L38"/>
  <c r="K38"/>
  <c r="J38"/>
  <c r="H42"/>
  <c r="R42"/>
  <c r="L42"/>
  <c r="U42" s="1"/>
  <c r="H44"/>
  <c r="R44"/>
  <c r="L44"/>
  <c r="H46"/>
  <c r="R46"/>
  <c r="L46"/>
  <c r="U46" s="1"/>
  <c r="H48"/>
  <c r="R48"/>
  <c r="L48"/>
  <c r="H65"/>
  <c r="M65"/>
  <c r="U65" s="1"/>
  <c r="H67"/>
  <c r="M67"/>
  <c r="U67" s="1"/>
  <c r="H69"/>
  <c r="M69"/>
  <c r="U69" s="1"/>
  <c r="I79"/>
  <c r="Q79"/>
  <c r="O79"/>
  <c r="M79"/>
  <c r="L79"/>
  <c r="R79"/>
  <c r="P79"/>
  <c r="N79"/>
  <c r="K79"/>
  <c r="J79"/>
  <c r="I37"/>
  <c r="J37"/>
  <c r="L37"/>
  <c r="K37"/>
  <c r="I34"/>
  <c r="L34"/>
  <c r="J34"/>
  <c r="K34"/>
  <c r="U57"/>
  <c r="I12"/>
  <c r="Q12"/>
  <c r="O12"/>
  <c r="M12"/>
  <c r="K12"/>
  <c r="J12"/>
  <c r="R12"/>
  <c r="P12"/>
  <c r="N12"/>
  <c r="L12"/>
  <c r="H14"/>
  <c r="N14"/>
  <c r="U14" s="1"/>
  <c r="H18"/>
  <c r="N18"/>
  <c r="U18" s="1"/>
  <c r="H23"/>
  <c r="Q23"/>
  <c r="O23"/>
  <c r="N23"/>
  <c r="M23"/>
  <c r="R23"/>
  <c r="P23"/>
  <c r="H25"/>
  <c r="N25"/>
  <c r="U25" s="1"/>
  <c r="Q27"/>
  <c r="O27"/>
  <c r="N27"/>
  <c r="M27"/>
  <c r="K27"/>
  <c r="R27"/>
  <c r="P27"/>
  <c r="L27"/>
  <c r="J27"/>
  <c r="H43"/>
  <c r="L43"/>
  <c r="U43" s="1"/>
  <c r="R43"/>
  <c r="H45"/>
  <c r="L45"/>
  <c r="R45"/>
  <c r="M47"/>
  <c r="P47"/>
  <c r="J47"/>
  <c r="H49"/>
  <c r="R49"/>
  <c r="L49"/>
  <c r="U49" s="1"/>
  <c r="K55"/>
  <c r="J55"/>
  <c r="L55"/>
  <c r="H66"/>
  <c r="M66"/>
  <c r="U66" s="1"/>
  <c r="H68"/>
  <c r="M68"/>
  <c r="U68" s="1"/>
  <c r="H70"/>
  <c r="Q70"/>
  <c r="U70" s="1"/>
  <c r="Q16"/>
  <c r="O16"/>
  <c r="L16"/>
  <c r="J16"/>
  <c r="R16"/>
  <c r="P16"/>
  <c r="N16"/>
  <c r="M16"/>
  <c r="K16"/>
  <c r="I16"/>
  <c r="U16" s="1"/>
  <c r="H27"/>
  <c r="I27"/>
  <c r="U27" s="1"/>
  <c r="H30"/>
  <c r="I30"/>
  <c r="U30" s="1"/>
  <c r="H35"/>
  <c r="I35"/>
  <c r="U35" s="1"/>
  <c r="H11"/>
  <c r="I11"/>
  <c r="U11" s="1"/>
  <c r="H13"/>
  <c r="I13"/>
  <c r="U13" s="1"/>
  <c r="H15"/>
  <c r="I15"/>
  <c r="U15" s="1"/>
  <c r="H38"/>
  <c r="I38"/>
  <c r="U38" s="1"/>
  <c r="H47"/>
  <c r="H53" s="1"/>
  <c r="I47"/>
  <c r="U47" s="1"/>
  <c r="H55"/>
  <c r="I55"/>
  <c r="U55" s="1"/>
  <c r="U77" s="1"/>
  <c r="H73"/>
  <c r="H79"/>
  <c r="H80" s="1"/>
  <c r="H12"/>
  <c r="H31"/>
  <c r="F81"/>
  <c r="H19"/>
  <c r="H40"/>
  <c r="I81" l="1"/>
  <c r="Q81"/>
  <c r="O81"/>
  <c r="N81"/>
  <c r="K81"/>
  <c r="J81"/>
  <c r="R81"/>
  <c r="P81"/>
  <c r="M81"/>
  <c r="L81"/>
  <c r="U45"/>
  <c r="U23"/>
  <c r="U12"/>
  <c r="U21" s="1"/>
  <c r="U48"/>
  <c r="U44"/>
  <c r="U53" s="1"/>
  <c r="J103"/>
  <c r="M103"/>
  <c r="R103"/>
  <c r="N103"/>
  <c r="Q103"/>
  <c r="U34"/>
  <c r="U37"/>
  <c r="U79"/>
  <c r="U80" s="1"/>
  <c r="K103"/>
  <c r="P103"/>
  <c r="L103"/>
  <c r="O103"/>
  <c r="H77"/>
  <c r="H21"/>
  <c r="U31"/>
  <c r="H81"/>
  <c r="H82" s="1"/>
  <c r="I103"/>
  <c r="U40" l="1"/>
  <c r="U81"/>
  <c r="U82" s="1"/>
  <c r="U83" s="1"/>
  <c r="U103" s="1"/>
  <c r="H83"/>
  <c r="H85" s="1"/>
  <c r="G103" s="1"/>
  <c r="H103" s="1"/>
  <c r="C112" l="1"/>
  <c r="C108"/>
</calcChain>
</file>

<file path=xl/sharedStrings.xml><?xml version="1.0" encoding="utf-8"?>
<sst xmlns="http://schemas.openxmlformats.org/spreadsheetml/2006/main" count="306" uniqueCount="226">
  <si>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</si>
  <si>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</si>
  <si>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</si>
  <si>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</si>
  <si>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</si>
  <si>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</si>
  <si>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</si>
  <si>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</si>
  <si>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</si>
  <si>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</si>
  <si>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</si>
  <si>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</si>
  <si>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ТЭР 51-001</t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</si>
  <si>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</si>
  <si>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</si>
  <si>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</si>
  <si>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2-5 этажа</t>
  </si>
  <si>
    <t>2 раза в неделю 104 раза в год</t>
  </si>
  <si>
    <t>ТЭР 51-009</t>
  </si>
  <si>
    <t>Мытье лестничных  площадок и маршей 1-5 этаж.</t>
  </si>
  <si>
    <t xml:space="preserve">2 раза в месяц   24 раза в год </t>
  </si>
  <si>
    <t xml:space="preserve"> ТЭР 51-031</t>
  </si>
  <si>
    <t>Мытье окон</t>
  </si>
  <si>
    <t>10м2</t>
  </si>
  <si>
    <t>ТЭР 51-025</t>
  </si>
  <si>
    <t>Влажная протирка перил</t>
  </si>
  <si>
    <t>ТЭР 51-023</t>
  </si>
  <si>
    <t>Влажная протирка почтовых ящиков</t>
  </si>
  <si>
    <t>ТЭР 51-018</t>
  </si>
  <si>
    <t xml:space="preserve">Влажная уборка стен </t>
  </si>
  <si>
    <t>100 м2</t>
  </si>
  <si>
    <t>ТЭР 51-019</t>
  </si>
  <si>
    <t>Влажная протирка дверей</t>
  </si>
  <si>
    <t>ТЭР 51-020</t>
  </si>
  <si>
    <t>Влажная протирка подоконников</t>
  </si>
  <si>
    <t>ТЭР 51-024</t>
  </si>
  <si>
    <t>Влажная протирка отопительных приборов</t>
  </si>
  <si>
    <t>итого:</t>
  </si>
  <si>
    <t>Летняя уборка</t>
  </si>
  <si>
    <t>ТЭР 53-020</t>
  </si>
  <si>
    <t xml:space="preserve"> - Уборка  газонов</t>
  </si>
  <si>
    <t>1000-м2</t>
  </si>
  <si>
    <t>2 раза в неделю 52 раза в сезон</t>
  </si>
  <si>
    <t>ТЭР 53-001</t>
  </si>
  <si>
    <t xml:space="preserve"> - Подметание территории с усовершенствованным покрытием асф:крыльца,контейнерн пл,проезд,тротуар</t>
  </si>
  <si>
    <t>1000м2</t>
  </si>
  <si>
    <t>3 раза в неделю 78 раз за сезон</t>
  </si>
  <si>
    <t>ТЭР 53-021</t>
  </si>
  <si>
    <t>Уборка газонов сильной загрязненности</t>
  </si>
  <si>
    <t>1 раз в год</t>
  </si>
  <si>
    <t>ТЭР 52-033</t>
  </si>
  <si>
    <t xml:space="preserve"> - Уборка контейнерной площадки (16 кв.м.)</t>
  </si>
  <si>
    <t>шт.</t>
  </si>
  <si>
    <t>155 раз</t>
  </si>
  <si>
    <t>пр.ТЭР 52-003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</si>
  <si>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</si>
  <si>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</si>
  <si>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</si>
  <si>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</si>
  <si>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ТЭР 53-030</t>
  </si>
  <si>
    <t xml:space="preserve">Погрузка травы , ветвей </t>
  </si>
  <si>
    <t>Калькул.</t>
  </si>
  <si>
    <t>Вывоз смета,травы,ветвей и т.п.- м/ч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</si>
  <si>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</si>
  <si>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</si>
  <si>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</si>
  <si>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</si>
  <si>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</si>
  <si>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</si>
  <si>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ТЭР 54-013</t>
  </si>
  <si>
    <t xml:space="preserve">Сдвигание снега в дни снегопада </t>
  </si>
  <si>
    <t>1000 м2</t>
  </si>
  <si>
    <t>ТЭР 54-003</t>
  </si>
  <si>
    <t xml:space="preserve">Подметание снега с тротуара-,крылец,конт площадок </t>
  </si>
  <si>
    <t>155 раз за сезон</t>
  </si>
  <si>
    <t>ТЭР 54-022</t>
  </si>
  <si>
    <t>Очистка территории 1-го класса с усовершенствованным покрытием под скребок: ступеньки и площадки крылец , контейнерные площадки</t>
  </si>
  <si>
    <t>ТЭР 54-025</t>
  </si>
  <si>
    <t xml:space="preserve">Пескопосыпка территории : крыльца и тротуары </t>
  </si>
  <si>
    <t>45 раз за сезон</t>
  </si>
  <si>
    <t>Стоимость песка- 100м2-0,002м3</t>
  </si>
  <si>
    <t xml:space="preserve"> II. Плановые осмотры</t>
  </si>
  <si>
    <t>ТЭР 42-002</t>
  </si>
  <si>
    <t>Осмотр шиферной  кровли</t>
  </si>
  <si>
    <t>2 раза в год</t>
  </si>
  <si>
    <t>ТЭР 42-007</t>
  </si>
  <si>
    <t>Осмотр деревянных заполнений проемов</t>
  </si>
  <si>
    <t>ТЭР 42-009</t>
  </si>
  <si>
    <t>Осмотр внутренней и наружной отделки здания</t>
  </si>
  <si>
    <t>ТЭР 42-010</t>
  </si>
  <si>
    <t>Осмотр каменных конструкций</t>
  </si>
  <si>
    <t>ТЭР 42-003</t>
  </si>
  <si>
    <t>Осмотр деревянных конструкций стропил</t>
  </si>
  <si>
    <t>100 м3</t>
  </si>
  <si>
    <t>ТЭР 42-011</t>
  </si>
  <si>
    <t xml:space="preserve">Осмотр СО </t>
  </si>
  <si>
    <t>1 раз в месяц (5 раз за сезон)</t>
  </si>
  <si>
    <t>ТЭР 42-013</t>
  </si>
  <si>
    <t>Осмотр электросетей, арматуры и электрооборудования на чердаках, подвалах и техэтажах</t>
  </si>
  <si>
    <t>ТЭР 42-012</t>
  </si>
  <si>
    <t>Осмотр электросетей,арматуры и электооборудования на лестничных клетках</t>
  </si>
  <si>
    <t>100 лест.</t>
  </si>
  <si>
    <t>ТЭР 42-014</t>
  </si>
  <si>
    <t>Осмотр вводных электрических щитков</t>
  </si>
  <si>
    <t>100 шт.</t>
  </si>
  <si>
    <t>2-1-1а</t>
  </si>
  <si>
    <t xml:space="preserve">Проверка дымоходов </t>
  </si>
  <si>
    <t>шт</t>
  </si>
  <si>
    <t>2-1-1б</t>
  </si>
  <si>
    <t>Проверка вентканалов</t>
  </si>
  <si>
    <t>Кровля</t>
  </si>
  <si>
    <t>ТЭР 54-041 и 42</t>
  </si>
  <si>
    <t xml:space="preserve"> Очистка края кровли от слежавшегося снега со сбрасыванием сосулек (10% от S кровли) </t>
  </si>
  <si>
    <t xml:space="preserve">6 раз за сезон </t>
  </si>
  <si>
    <t xml:space="preserve">пр.ТЭР 54-041 </t>
  </si>
  <si>
    <t>Осмотр и очистка оголовков дымоходов и вентканалов от наледи и снега (по необходимости) зимой</t>
  </si>
  <si>
    <t>Чердак, подвал, технический этаж</t>
  </si>
  <si>
    <t>ТЭР 51-034</t>
  </si>
  <si>
    <t>Лестничная клетка</t>
  </si>
  <si>
    <t>ТЭР 15-018</t>
  </si>
  <si>
    <t xml:space="preserve"> - установка пружин на входных дверях</t>
  </si>
  <si>
    <t>Отопление</t>
  </si>
  <si>
    <t>ТЭР 31-065</t>
  </si>
  <si>
    <t>Ликвидация воздушных пробок в стояках</t>
  </si>
  <si>
    <t>ТЭР 31-064</t>
  </si>
  <si>
    <t>Ликвидация воздушных пробок в радиаторах</t>
  </si>
  <si>
    <t>ТЭР 31-052</t>
  </si>
  <si>
    <t xml:space="preserve">Промывка СО </t>
  </si>
  <si>
    <t>100м3</t>
  </si>
  <si>
    <t>ТЭР 31-043</t>
  </si>
  <si>
    <t>Спуск воды и наполнение системы без осмотра</t>
  </si>
  <si>
    <t>1000м3</t>
  </si>
  <si>
    <t>ТЭР 31-068</t>
  </si>
  <si>
    <t>Гидравлическое испытание СО</t>
  </si>
  <si>
    <t>100м</t>
  </si>
  <si>
    <t>ТЭР 31-045</t>
  </si>
  <si>
    <t>Проверка на прогрев отопительных приборов</t>
  </si>
  <si>
    <t>прибор</t>
  </si>
  <si>
    <t>Электроснабжение</t>
  </si>
  <si>
    <t>ТЭР 33-019</t>
  </si>
  <si>
    <t>Смена ламп накаливания</t>
  </si>
  <si>
    <t>10 шт</t>
  </si>
  <si>
    <t>ТЭР 33-049</t>
  </si>
  <si>
    <t>Замена ламп ДРЛ</t>
  </si>
  <si>
    <t>2-2-1-3-3</t>
  </si>
  <si>
    <t>Мелкий ремонт электропроводки</t>
  </si>
  <si>
    <t>1п.м.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</si>
  <si>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</si>
  <si>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</si>
  <si>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</si>
  <si>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</si>
  <si>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</si>
  <si>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</si>
  <si>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</si>
  <si>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</si>
  <si>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</si>
  <si>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</si>
  <si>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</si>
  <si>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</si>
  <si>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10 м2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</si>
  <si>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</si>
  <si>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</si>
  <si>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</si>
  <si>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</si>
  <si>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>1 раз в месяц</t>
  </si>
  <si>
    <t xml:space="preserve">1 раз в год  </t>
  </si>
  <si>
    <t>35 раз за сезон</t>
  </si>
  <si>
    <t>1 раз в 2 месяца</t>
  </si>
  <si>
    <t>30 раз за сезон</t>
  </si>
  <si>
    <t>Вывоз снега с придомовой территории</t>
  </si>
  <si>
    <t>Очистка козырьков над входами в подъезды от слежавшегося снега со сбрасыванием сосулек</t>
  </si>
  <si>
    <t>Очистка от мусора</t>
  </si>
  <si>
    <t>Вода для промывки СО</t>
  </si>
  <si>
    <t>Спуск воды после промывки СО в канализацию</t>
  </si>
  <si>
    <t>Ремонт групповых щитков на лестничной клетке без ремонта автоматов</t>
  </si>
  <si>
    <t>ТЭР 33-030</t>
  </si>
  <si>
    <t>Генеральный директор ООО "Жилсервис"_______Ю.Л.Куканов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</si>
  <si>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</si>
  <si>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</si>
  <si>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</si>
  <si>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</si>
  <si>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</si>
  <si>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</si>
  <si>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</si>
  <si>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</si>
  <si>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</si>
  <si>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</si>
  <si>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</si>
  <si>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4 раза в год</t>
  </si>
  <si>
    <t>Баланс выполненных работ на 01.01.2015 г. ( -долг за предприятием, +долг за населением)</t>
  </si>
  <si>
    <t>Ремонт силового предохранительного шкафа (без стоимости материалов)</t>
  </si>
  <si>
    <t>ТЭР 33-032</t>
  </si>
  <si>
    <t>Смена стекол в деревянных переплетах при площади стекла до 1,0 м2</t>
  </si>
  <si>
    <t>ТЭР 15-009</t>
  </si>
  <si>
    <t>3 раза в год</t>
  </si>
  <si>
    <t>калькуляция</t>
  </si>
  <si>
    <t>Работа автовышки</t>
  </si>
  <si>
    <t>1 маш/час</t>
  </si>
  <si>
    <r>
      <t xml:space="preserve">по адресу:   </t>
    </r>
    <r>
      <rPr>
        <b/>
        <sz val="14"/>
        <color indexed="10"/>
        <rFont val="Arial"/>
        <family val="2"/>
        <charset val="204"/>
      </rPr>
      <t>ул. Советская, 14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 2015 год</t>
    </r>
  </si>
  <si>
    <t>Стоимость (руб.)</t>
  </si>
  <si>
    <t>договор</t>
  </si>
  <si>
    <t>ТО внутридомового газ.оборудования</t>
  </si>
  <si>
    <t>10 м</t>
  </si>
  <si>
    <t>5 этажей, 4 подъезда</t>
  </si>
  <si>
    <t>Ремонт и регулировка доводчика (со стоимостью доводчика)</t>
  </si>
  <si>
    <t>1шт.</t>
  </si>
  <si>
    <t xml:space="preserve">Смена сгонов у трубопроводов диаметром до 20 мм </t>
  </si>
  <si>
    <t>1 сгон</t>
  </si>
  <si>
    <t>ТЭР 31-009</t>
  </si>
  <si>
    <t>Выполне  ние       май</t>
  </si>
  <si>
    <t>прим. 15-046</t>
  </si>
  <si>
    <t>Ремонт оконных рам (слуховые окна)</t>
  </si>
  <si>
    <t>Ремонт отдельных мест покрытия из асбоцементных листов обыкновенного профиля</t>
  </si>
  <si>
    <t>ТЭР 17-006</t>
  </si>
  <si>
    <t>Смена обделок из листовой стали, примыканий к дымовым трубам</t>
  </si>
  <si>
    <t>ТЭР 17-060</t>
  </si>
  <si>
    <t>Начислено за содержание и текущий ремонт за 2015  г.</t>
  </si>
  <si>
    <t xml:space="preserve">Выполнено работ по содержанию за  2015 г. </t>
  </si>
  <si>
    <t>Выполнено работ по текущему ремонту за  2015 г.</t>
  </si>
  <si>
    <t>Фактически оплачено за  2015 г.</t>
  </si>
  <si>
    <t>Просроченная задолженность по Вашему дому по статье "Содержание и текущий ремонт МКД" на конец декабря 2015 г., составляет:</t>
  </si>
  <si>
    <t>Баланс выполненных работ на 01.01.2016 г.( -долг за предприятием, +долг за населением)</t>
  </si>
  <si>
    <t>100шт</t>
  </si>
  <si>
    <t>Ремонт и регулировка доводчика (без стоимости доводчика)</t>
  </si>
  <si>
    <t>Смена дверных приборов /замки навесные)</t>
  </si>
  <si>
    <t>ТЭР 15-051</t>
  </si>
</sst>
</file>

<file path=xl/styles.xml><?xml version="1.0" encoding="utf-8"?>
<styleSheet xmlns="http://schemas.openxmlformats.org/spreadsheetml/2006/main">
  <numFmts count="1">
    <numFmt numFmtId="164" formatCode="0.000"/>
  </numFmts>
  <fonts count="19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3" borderId="0" xfId="0" applyFont="1" applyFill="1"/>
    <xf numFmtId="0" fontId="0" fillId="3" borderId="0" xfId="0" applyFill="1"/>
    <xf numFmtId="4" fontId="1" fillId="4" borderId="4" xfId="0" applyNumberFormat="1" applyFont="1" applyFill="1" applyBorder="1" applyAlignment="1">
      <alignment horizontal="center" vertical="center" wrapText="1"/>
    </xf>
    <xf numFmtId="4" fontId="1" fillId="7" borderId="3" xfId="0" applyNumberFormat="1" applyFont="1" applyFill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9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9" borderId="6" xfId="0" applyFont="1" applyFill="1" applyBorder="1" applyAlignment="1">
      <alignment horizontal="left" vertical="center" wrapText="1"/>
    </xf>
    <xf numFmtId="0" fontId="1" fillId="9" borderId="3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1" fillId="4" borderId="6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4" fontId="1" fillId="8" borderId="8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Continuous" vertical="center" wrapText="1"/>
    </xf>
    <xf numFmtId="0" fontId="8" fillId="0" borderId="3" xfId="0" applyFont="1" applyBorder="1" applyAlignment="1">
      <alignment horizontal="centerContinuous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left" vertical="center"/>
    </xf>
    <xf numFmtId="0" fontId="1" fillId="4" borderId="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14" borderId="3" xfId="0" applyNumberFormat="1" applyFont="1" applyFill="1" applyBorder="1" applyAlignment="1" applyProtection="1">
      <alignment horizontal="center" vertical="center" wrapText="1"/>
    </xf>
    <xf numFmtId="0" fontId="1" fillId="14" borderId="3" xfId="0" applyNumberFormat="1" applyFont="1" applyFill="1" applyBorder="1" applyAlignment="1" applyProtection="1">
      <alignment horizontal="left" vertical="center" wrapText="1"/>
    </xf>
    <xf numFmtId="0" fontId="13" fillId="10" borderId="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vertical="center"/>
    </xf>
    <xf numFmtId="4" fontId="1" fillId="10" borderId="8" xfId="0" applyNumberFormat="1" applyFont="1" applyFill="1" applyBorder="1" applyAlignment="1">
      <alignment vertical="center"/>
    </xf>
    <xf numFmtId="0" fontId="1" fillId="10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10" borderId="3" xfId="0" applyNumberFormat="1" applyFont="1" applyFill="1" applyBorder="1" applyAlignment="1">
      <alignment horizontal="center" vertical="center"/>
    </xf>
    <xf numFmtId="4" fontId="1" fillId="10" borderId="8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3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4" fontId="14" fillId="4" borderId="1" xfId="0" applyNumberFormat="1" applyFont="1" applyFill="1" applyBorder="1" applyAlignment="1">
      <alignment horizontal="center" vertical="center" wrapText="1"/>
    </xf>
    <xf numFmtId="4" fontId="1" fillId="9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2" borderId="2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4" fontId="1" fillId="9" borderId="1" xfId="0" applyNumberFormat="1" applyFont="1" applyFill="1" applyBorder="1" applyAlignment="1">
      <alignment horizontal="center" vertical="center"/>
    </xf>
    <xf numFmtId="4" fontId="1" fillId="11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4" fontId="1" fillId="4" borderId="12" xfId="0" applyNumberFormat="1" applyFont="1" applyFill="1" applyBorder="1" applyAlignment="1">
      <alignment horizontal="center" vertical="center" wrapText="1"/>
    </xf>
    <xf numFmtId="4" fontId="1" fillId="4" borderId="0" xfId="0" applyNumberFormat="1" applyFont="1" applyFill="1" applyBorder="1" applyAlignment="1">
      <alignment horizontal="center" vertical="center"/>
    </xf>
    <xf numFmtId="4" fontId="14" fillId="4" borderId="3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 wrapText="1"/>
    </xf>
    <xf numFmtId="4" fontId="1" fillId="4" borderId="6" xfId="0" applyNumberFormat="1" applyFont="1" applyFill="1" applyBorder="1" applyAlignment="1">
      <alignment horizontal="center" vertical="center"/>
    </xf>
    <xf numFmtId="4" fontId="1" fillId="4" borderId="7" xfId="0" applyNumberFormat="1" applyFont="1" applyFill="1" applyBorder="1" applyAlignment="1">
      <alignment horizontal="center" vertical="center"/>
    </xf>
    <xf numFmtId="4" fontId="1" fillId="4" borderId="13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/>
    </xf>
    <xf numFmtId="4" fontId="1" fillId="4" borderId="8" xfId="0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1" fillId="9" borderId="3" xfId="0" applyFont="1" applyFill="1" applyBorder="1" applyAlignment="1">
      <alignment horizontal="left" vertical="center"/>
    </xf>
    <xf numFmtId="4" fontId="1" fillId="9" borderId="3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2" borderId="8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5" fillId="2" borderId="7" xfId="0" applyNumberFormat="1" applyFont="1" applyFill="1" applyBorder="1" applyAlignment="1">
      <alignment horizontal="center" vertical="center"/>
    </xf>
    <xf numFmtId="4" fontId="15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4" fontId="3" fillId="4" borderId="8" xfId="0" applyNumberFormat="1" applyFont="1" applyFill="1" applyBorder="1" applyAlignment="1">
      <alignment horizontal="center" vertical="center"/>
    </xf>
    <xf numFmtId="4" fontId="15" fillId="4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4" fontId="1" fillId="2" borderId="10" xfId="0" applyNumberFormat="1" applyFont="1" applyFill="1" applyBorder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center" vertical="center"/>
    </xf>
    <xf numFmtId="4" fontId="15" fillId="2" borderId="9" xfId="0" applyNumberFormat="1" applyFont="1" applyFill="1" applyBorder="1" applyAlignment="1">
      <alignment horizontal="center" vertical="center"/>
    </xf>
    <xf numFmtId="4" fontId="3" fillId="2" borderId="11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0" fontId="1" fillId="0" borderId="0" xfId="0" applyFont="1"/>
    <xf numFmtId="4" fontId="16" fillId="0" borderId="0" xfId="0" applyNumberFormat="1" applyFont="1"/>
    <xf numFmtId="0" fontId="16" fillId="0" borderId="0" xfId="0" applyFont="1"/>
    <xf numFmtId="0" fontId="7" fillId="0" borderId="3" xfId="0" applyFont="1" applyBorder="1" applyAlignment="1">
      <alignment horizontal="center" wrapText="1"/>
    </xf>
    <xf numFmtId="0" fontId="17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1" fillId="14" borderId="3" xfId="0" applyNumberFormat="1" applyFont="1" applyFill="1" applyBorder="1" applyAlignment="1" applyProtection="1">
      <alignment horizontal="center" vertical="center"/>
    </xf>
    <xf numFmtId="0" fontId="9" fillId="14" borderId="3" xfId="0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7" fillId="0" borderId="16" xfId="0" applyFont="1" applyBorder="1" applyAlignment="1">
      <alignment horizontal="center" vertical="center" wrapText="1"/>
    </xf>
    <xf numFmtId="0" fontId="18" fillId="0" borderId="0" xfId="0" applyFont="1" applyAlignment="1"/>
    <xf numFmtId="0" fontId="1" fillId="4" borderId="2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3" fontId="1" fillId="10" borderId="8" xfId="0" applyNumberFormat="1" applyFont="1" applyFill="1" applyBorder="1" applyAlignment="1">
      <alignment horizontal="center" vertical="center"/>
    </xf>
    <xf numFmtId="4" fontId="3" fillId="12" borderId="3" xfId="0" applyNumberFormat="1" applyFont="1" applyFill="1" applyBorder="1" applyAlignment="1">
      <alignment horizontal="center" vertical="center"/>
    </xf>
    <xf numFmtId="4" fontId="15" fillId="2" borderId="3" xfId="0" applyNumberFormat="1" applyFont="1" applyFill="1" applyBorder="1" applyAlignment="1">
      <alignment horizontal="center" vertical="center"/>
    </xf>
    <xf numFmtId="4" fontId="15" fillId="10" borderId="3" xfId="0" applyNumberFormat="1" applyFont="1" applyFill="1" applyBorder="1" applyAlignment="1">
      <alignment horizontal="center" vertical="center"/>
    </xf>
    <xf numFmtId="4" fontId="3" fillId="10" borderId="3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4" fontId="0" fillId="10" borderId="3" xfId="0" applyNumberForma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14" borderId="3" xfId="0" applyNumberFormat="1" applyFont="1" applyFill="1" applyBorder="1" applyAlignment="1" applyProtection="1">
      <alignment horizontal="left" vertical="center"/>
    </xf>
    <xf numFmtId="4" fontId="7" fillId="0" borderId="8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U116"/>
  <sheetViews>
    <sheetView tabSelected="1" view="pageBreakPreview" zoomScaleNormal="75" zoomScaleSheetLayoutView="100" workbookViewId="0">
      <pane ySplit="7" topLeftCell="A108" activePane="bottomLeft" state="frozen"/>
      <selection activeCell="B1" sqref="B1"/>
      <selection pane="bottomLeft" activeCell="C107" sqref="C107:F107"/>
    </sheetView>
  </sheetViews>
  <sheetFormatPr defaultRowHeight="12.75"/>
  <cols>
    <col min="1" max="1" width="12.42578125" customWidth="1"/>
    <col min="2" max="2" width="42.5703125" customWidth="1"/>
    <col min="3" max="3" width="9.140625" customWidth="1"/>
    <col min="4" max="4" width="21.85546875" customWidth="1"/>
    <col min="5" max="5" width="10.28515625" customWidth="1"/>
    <col min="6" max="6" width="10.42578125" customWidth="1"/>
    <col min="7" max="7" width="10.7109375" customWidth="1"/>
    <col min="8" max="8" width="11.7109375" customWidth="1"/>
    <col min="9" max="10" width="10" customWidth="1"/>
    <col min="11" max="11" width="9.5703125" customWidth="1"/>
    <col min="12" max="12" width="10.28515625" customWidth="1"/>
    <col min="13" max="13" width="11.140625" customWidth="1"/>
    <col min="14" max="14" width="9.85546875" customWidth="1"/>
    <col min="15" max="15" width="9.5703125" customWidth="1"/>
    <col min="16" max="16" width="9.7109375" customWidth="1"/>
    <col min="17" max="18" width="10" customWidth="1"/>
    <col min="19" max="19" width="10.140625" customWidth="1"/>
    <col min="20" max="20" width="9.5703125" customWidth="1"/>
    <col min="21" max="21" width="11.85546875" customWidth="1"/>
  </cols>
  <sheetData>
    <row r="1" spans="1:21" ht="14.25" customHeight="1"/>
    <row r="3" spans="1:21" ht="18">
      <c r="A3" s="140"/>
      <c r="B3" s="164" t="s">
        <v>0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26"/>
      <c r="N3" s="126"/>
      <c r="O3" s="126"/>
      <c r="P3" s="126"/>
      <c r="Q3" s="126"/>
      <c r="R3" s="126"/>
      <c r="S3" s="126"/>
      <c r="T3" s="126"/>
      <c r="U3" s="126"/>
    </row>
    <row r="4" spans="1:21" ht="35.25" customHeight="1">
      <c r="A4" s="126"/>
      <c r="B4" s="165" t="s">
        <v>1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26"/>
      <c r="N4" s="126"/>
      <c r="O4" s="126"/>
      <c r="P4" s="126"/>
      <c r="Q4" s="126"/>
      <c r="R4" s="126"/>
      <c r="S4" s="126"/>
      <c r="T4" s="126"/>
      <c r="U4" s="126"/>
    </row>
    <row r="5" spans="1:21" ht="18">
      <c r="A5" s="126"/>
      <c r="B5" s="165" t="s">
        <v>198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26"/>
      <c r="N5" s="126"/>
      <c r="O5" s="126"/>
      <c r="P5" s="126"/>
      <c r="Q5" s="126"/>
      <c r="R5" s="126"/>
      <c r="S5" s="126"/>
      <c r="T5" s="126"/>
      <c r="U5" s="126"/>
    </row>
    <row r="6" spans="1:21" ht="14.25">
      <c r="A6" s="126"/>
      <c r="B6" s="166" t="s">
        <v>203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26"/>
      <c r="N6" s="126"/>
      <c r="O6" s="126"/>
      <c r="P6" s="126"/>
      <c r="Q6" s="126"/>
      <c r="R6" s="126"/>
      <c r="S6" s="126"/>
      <c r="T6" s="126"/>
      <c r="U6" s="126"/>
    </row>
    <row r="7" spans="1:21" ht="45.75" customHeight="1">
      <c r="A7" s="38" t="s">
        <v>2</v>
      </c>
      <c r="B7" s="38" t="s">
        <v>3</v>
      </c>
      <c r="C7" s="38" t="s">
        <v>4</v>
      </c>
      <c r="D7" s="38" t="s">
        <v>5</v>
      </c>
      <c r="E7" s="38" t="s">
        <v>6</v>
      </c>
      <c r="F7" s="38" t="s">
        <v>7</v>
      </c>
      <c r="G7" s="38" t="s">
        <v>8</v>
      </c>
      <c r="H7" s="39" t="s">
        <v>9</v>
      </c>
      <c r="I7" s="37" t="s">
        <v>177</v>
      </c>
      <c r="J7" s="37" t="s">
        <v>178</v>
      </c>
      <c r="K7" s="37" t="s">
        <v>179</v>
      </c>
      <c r="L7" s="37" t="s">
        <v>180</v>
      </c>
      <c r="M7" s="37" t="s">
        <v>209</v>
      </c>
      <c r="N7" s="37" t="s">
        <v>181</v>
      </c>
      <c r="O7" s="37" t="s">
        <v>182</v>
      </c>
      <c r="P7" s="37" t="s">
        <v>183</v>
      </c>
      <c r="Q7" s="37" t="s">
        <v>184</v>
      </c>
      <c r="R7" s="37" t="s">
        <v>185</v>
      </c>
      <c r="S7" s="37" t="s">
        <v>186</v>
      </c>
      <c r="T7" s="37" t="s">
        <v>187</v>
      </c>
      <c r="U7" s="37" t="s">
        <v>199</v>
      </c>
    </row>
    <row r="8" spans="1:21">
      <c r="A8" s="40">
        <v>1</v>
      </c>
      <c r="B8" s="11">
        <v>2</v>
      </c>
      <c r="C8" s="40">
        <v>3</v>
      </c>
      <c r="D8" s="11">
        <v>4</v>
      </c>
      <c r="E8" s="11">
        <v>5</v>
      </c>
      <c r="F8" s="40">
        <v>6</v>
      </c>
      <c r="G8" s="40">
        <v>7</v>
      </c>
      <c r="H8" s="141">
        <v>8</v>
      </c>
      <c r="I8" s="142">
        <v>10</v>
      </c>
      <c r="J8" s="142">
        <v>11</v>
      </c>
      <c r="K8" s="142">
        <v>12</v>
      </c>
      <c r="L8" s="142">
        <v>13</v>
      </c>
      <c r="M8" s="143">
        <v>14</v>
      </c>
      <c r="N8" s="142">
        <v>15</v>
      </c>
      <c r="O8" s="142">
        <v>16</v>
      </c>
      <c r="P8" s="142">
        <v>17</v>
      </c>
      <c r="Q8" s="142">
        <v>18</v>
      </c>
      <c r="R8" s="142">
        <v>19</v>
      </c>
      <c r="S8" s="142">
        <v>20</v>
      </c>
      <c r="T8" s="142">
        <v>21</v>
      </c>
      <c r="U8" s="142">
        <v>22</v>
      </c>
    </row>
    <row r="9" spans="1:21" ht="38.25">
      <c r="A9" s="40"/>
      <c r="B9" s="14" t="s">
        <v>10</v>
      </c>
      <c r="C9" s="40"/>
      <c r="D9" s="15"/>
      <c r="E9" s="15"/>
      <c r="F9" s="40"/>
      <c r="G9" s="40"/>
      <c r="H9" s="41"/>
      <c r="I9" s="42"/>
      <c r="J9" s="42"/>
      <c r="K9" s="42"/>
      <c r="L9" s="42"/>
      <c r="M9" s="43"/>
      <c r="N9" s="44"/>
      <c r="O9" s="44"/>
      <c r="P9" s="44"/>
      <c r="Q9" s="44"/>
      <c r="R9" s="44"/>
      <c r="S9" s="44"/>
      <c r="T9" s="44"/>
      <c r="U9" s="44"/>
    </row>
    <row r="10" spans="1:21">
      <c r="A10" s="40"/>
      <c r="B10" s="14" t="s">
        <v>11</v>
      </c>
      <c r="C10" s="40"/>
      <c r="D10" s="15"/>
      <c r="E10" s="15"/>
      <c r="F10" s="40"/>
      <c r="G10" s="40"/>
      <c r="H10" s="41"/>
      <c r="I10" s="42"/>
      <c r="J10" s="42"/>
      <c r="K10" s="42"/>
      <c r="L10" s="42"/>
      <c r="M10" s="43"/>
      <c r="N10" s="44"/>
      <c r="O10" s="44"/>
      <c r="P10" s="44"/>
      <c r="Q10" s="44"/>
      <c r="R10" s="44"/>
      <c r="S10" s="44"/>
      <c r="T10" s="44"/>
      <c r="U10" s="44"/>
    </row>
    <row r="11" spans="1:21" ht="25.5">
      <c r="A11" s="40" t="s">
        <v>12</v>
      </c>
      <c r="B11" s="15" t="s">
        <v>13</v>
      </c>
      <c r="C11" s="40" t="s">
        <v>14</v>
      </c>
      <c r="D11" s="15" t="s">
        <v>15</v>
      </c>
      <c r="E11" s="45">
        <v>43.36</v>
      </c>
      <c r="F11" s="46">
        <f>SUM(E11*156/100)</f>
        <v>67.641599999999997</v>
      </c>
      <c r="G11" s="46">
        <v>187.48</v>
      </c>
      <c r="H11" s="47">
        <f t="shared" ref="H11:H20" si="0">SUM(F11*G11/1000)</f>
        <v>12.681447167999998</v>
      </c>
      <c r="I11" s="48">
        <f>F11/12*G11</f>
        <v>1056.7872640000001</v>
      </c>
      <c r="J11" s="48">
        <f>F11/12*G11</f>
        <v>1056.7872640000001</v>
      </c>
      <c r="K11" s="48">
        <f>F11/12*G11</f>
        <v>1056.7872640000001</v>
      </c>
      <c r="L11" s="48">
        <f>F11/12*G11</f>
        <v>1056.7872640000001</v>
      </c>
      <c r="M11" s="48">
        <f>F11/12*G11</f>
        <v>1056.7872640000001</v>
      </c>
      <c r="N11" s="48">
        <f>F11/12*G11</f>
        <v>1056.7872640000001</v>
      </c>
      <c r="O11" s="48">
        <f>F11/12*G11</f>
        <v>1056.7872640000001</v>
      </c>
      <c r="P11" s="48">
        <f>F11/12*G11</f>
        <v>1056.7872640000001</v>
      </c>
      <c r="Q11" s="48">
        <f>F11/12*G11</f>
        <v>1056.7872640000001</v>
      </c>
      <c r="R11" s="48">
        <f>F11/12*G11</f>
        <v>1056.7872640000001</v>
      </c>
      <c r="S11" s="48">
        <f>F11/12*G11</f>
        <v>1056.7872640000001</v>
      </c>
      <c r="T11" s="48">
        <f>F11/12*G11</f>
        <v>1056.7872640000001</v>
      </c>
      <c r="U11" s="48">
        <f t="shared" ref="U11:U20" si="1">SUM(I11:T11)</f>
        <v>12681.447168000004</v>
      </c>
    </row>
    <row r="12" spans="1:21" ht="25.5">
      <c r="A12" s="40" t="s">
        <v>12</v>
      </c>
      <c r="B12" s="15" t="s">
        <v>16</v>
      </c>
      <c r="C12" s="40" t="s">
        <v>14</v>
      </c>
      <c r="D12" s="15" t="s">
        <v>17</v>
      </c>
      <c r="E12" s="45">
        <v>173.44</v>
      </c>
      <c r="F12" s="46">
        <f>SUM(E12*104/100)</f>
        <v>180.37759999999997</v>
      </c>
      <c r="G12" s="46">
        <v>187.48</v>
      </c>
      <c r="H12" s="47">
        <f t="shared" si="0"/>
        <v>33.817192447999993</v>
      </c>
      <c r="I12" s="48">
        <f>F12/12*G12</f>
        <v>2818.0993706666663</v>
      </c>
      <c r="J12" s="48">
        <f>F12/12*G12</f>
        <v>2818.0993706666663</v>
      </c>
      <c r="K12" s="48">
        <f>F12/12*G12</f>
        <v>2818.0993706666663</v>
      </c>
      <c r="L12" s="48">
        <f>F12/12*G12</f>
        <v>2818.0993706666663</v>
      </c>
      <c r="M12" s="48">
        <f>F12/12*G12</f>
        <v>2818.0993706666663</v>
      </c>
      <c r="N12" s="48">
        <f>F12/12*G12</f>
        <v>2818.0993706666663</v>
      </c>
      <c r="O12" s="48">
        <f>F12/12*G12</f>
        <v>2818.0993706666663</v>
      </c>
      <c r="P12" s="48">
        <f>F12/12*G12</f>
        <v>2818.0993706666663</v>
      </c>
      <c r="Q12" s="48">
        <f>F12/6*G12</f>
        <v>5636.1987413333327</v>
      </c>
      <c r="R12" s="48">
        <f>F12/12*G12</f>
        <v>2818.0993706666663</v>
      </c>
      <c r="S12" s="48">
        <f>F12/12*G12</f>
        <v>2818.0993706666663</v>
      </c>
      <c r="T12" s="48">
        <f>F12/12*G12</f>
        <v>2818.0993706666663</v>
      </c>
      <c r="U12" s="48">
        <f t="shared" si="1"/>
        <v>36635.291818666657</v>
      </c>
    </row>
    <row r="13" spans="1:21" ht="25.5">
      <c r="A13" s="40" t="s">
        <v>18</v>
      </c>
      <c r="B13" s="15" t="s">
        <v>19</v>
      </c>
      <c r="C13" s="40" t="s">
        <v>14</v>
      </c>
      <c r="D13" s="15" t="s">
        <v>20</v>
      </c>
      <c r="E13" s="45">
        <f>SUM(E11+E12)</f>
        <v>216.8</v>
      </c>
      <c r="F13" s="46">
        <f>SUM(E13*24/100)</f>
        <v>52.032000000000011</v>
      </c>
      <c r="G13" s="46">
        <v>539.30999999999995</v>
      </c>
      <c r="H13" s="47">
        <f t="shared" si="0"/>
        <v>28.061377920000002</v>
      </c>
      <c r="I13" s="48">
        <f>F13/12*G13</f>
        <v>2338.4481600000004</v>
      </c>
      <c r="J13" s="48">
        <f>F13/12*G13</f>
        <v>2338.4481600000004</v>
      </c>
      <c r="K13" s="48">
        <f>F13/12*G13</f>
        <v>2338.4481600000004</v>
      </c>
      <c r="L13" s="48">
        <f>F13/12*G13</f>
        <v>2338.4481600000004</v>
      </c>
      <c r="M13" s="48">
        <f>F13/12*G13</f>
        <v>2338.4481600000004</v>
      </c>
      <c r="N13" s="48">
        <f>F13/12*G13</f>
        <v>2338.4481600000004</v>
      </c>
      <c r="O13" s="48">
        <f>F13/12*G13</f>
        <v>2338.4481600000004</v>
      </c>
      <c r="P13" s="48">
        <f>F13/12*G13</f>
        <v>2338.4481600000004</v>
      </c>
      <c r="Q13" s="48">
        <f>F13/12*G13</f>
        <v>2338.4481600000004</v>
      </c>
      <c r="R13" s="48">
        <f>F13/12*G13</f>
        <v>2338.4481600000004</v>
      </c>
      <c r="S13" s="48">
        <f>F13/12*G13</f>
        <v>2338.4481600000004</v>
      </c>
      <c r="T13" s="48">
        <f>F13/12*G13</f>
        <v>2338.4481600000004</v>
      </c>
      <c r="U13" s="48">
        <f t="shared" si="1"/>
        <v>28061.377920000003</v>
      </c>
    </row>
    <row r="14" spans="1:21">
      <c r="A14" s="40" t="s">
        <v>21</v>
      </c>
      <c r="B14" s="15" t="s">
        <v>22</v>
      </c>
      <c r="C14" s="40" t="s">
        <v>23</v>
      </c>
      <c r="D14" s="15" t="s">
        <v>163</v>
      </c>
      <c r="E14" s="45">
        <v>40</v>
      </c>
      <c r="F14" s="46">
        <f>SUM(E14/10)</f>
        <v>4</v>
      </c>
      <c r="G14" s="46">
        <v>181.91</v>
      </c>
      <c r="H14" s="47">
        <f t="shared" si="0"/>
        <v>0.72763999999999995</v>
      </c>
      <c r="I14" s="48">
        <v>0</v>
      </c>
      <c r="J14" s="48">
        <v>0</v>
      </c>
      <c r="K14" s="48">
        <v>0</v>
      </c>
      <c r="L14" s="48">
        <v>0</v>
      </c>
      <c r="M14" s="48">
        <v>0</v>
      </c>
      <c r="N14" s="48">
        <f>F14*G14</f>
        <v>727.64</v>
      </c>
      <c r="O14" s="48">
        <v>0</v>
      </c>
      <c r="P14" s="48">
        <v>0</v>
      </c>
      <c r="Q14" s="48">
        <v>0</v>
      </c>
      <c r="R14" s="48">
        <v>0</v>
      </c>
      <c r="S14" s="48">
        <v>0</v>
      </c>
      <c r="T14" s="48">
        <v>0</v>
      </c>
      <c r="U14" s="48">
        <f t="shared" si="1"/>
        <v>727.64</v>
      </c>
    </row>
    <row r="15" spans="1:21">
      <c r="A15" s="40" t="s">
        <v>24</v>
      </c>
      <c r="B15" s="15" t="s">
        <v>25</v>
      </c>
      <c r="C15" s="40" t="s">
        <v>14</v>
      </c>
      <c r="D15" s="15" t="s">
        <v>164</v>
      </c>
      <c r="E15" s="45">
        <v>10.5</v>
      </c>
      <c r="F15" s="46">
        <f>SUM(E15*12/100)</f>
        <v>1.26</v>
      </c>
      <c r="G15" s="46">
        <v>232.92</v>
      </c>
      <c r="H15" s="47">
        <f t="shared" si="0"/>
        <v>0.2934792</v>
      </c>
      <c r="I15" s="48">
        <f>F15/12*G15</f>
        <v>24.456599999999998</v>
      </c>
      <c r="J15" s="48">
        <f>F15/12*G15</f>
        <v>24.456599999999998</v>
      </c>
      <c r="K15" s="48">
        <f>F15/12*G15</f>
        <v>24.456599999999998</v>
      </c>
      <c r="L15" s="48">
        <f>F15/12*G15</f>
        <v>24.456599999999998</v>
      </c>
      <c r="M15" s="48">
        <f>F15/12*G15</f>
        <v>24.456599999999998</v>
      </c>
      <c r="N15" s="48">
        <f>F15/12*G15</f>
        <v>24.456599999999998</v>
      </c>
      <c r="O15" s="48">
        <f>F15/12*G15</f>
        <v>24.456599999999998</v>
      </c>
      <c r="P15" s="48">
        <f>F15/12*G15</f>
        <v>24.456599999999998</v>
      </c>
      <c r="Q15" s="48">
        <f>F15/12*G15</f>
        <v>24.456599999999998</v>
      </c>
      <c r="R15" s="48">
        <f>F15/12*G15</f>
        <v>24.456599999999998</v>
      </c>
      <c r="S15" s="48">
        <f>F15/12*G15</f>
        <v>24.456599999999998</v>
      </c>
      <c r="T15" s="48">
        <f>F15/12*G15</f>
        <v>24.456599999999998</v>
      </c>
      <c r="U15" s="48">
        <f t="shared" si="1"/>
        <v>293.47919999999999</v>
      </c>
    </row>
    <row r="16" spans="1:21">
      <c r="A16" s="40" t="s">
        <v>26</v>
      </c>
      <c r="B16" s="15" t="s">
        <v>27</v>
      </c>
      <c r="C16" s="40" t="s">
        <v>14</v>
      </c>
      <c r="D16" s="15" t="s">
        <v>167</v>
      </c>
      <c r="E16" s="45">
        <v>2.7</v>
      </c>
      <c r="F16" s="46">
        <f>SUM(E16*6/100)</f>
        <v>0.16200000000000003</v>
      </c>
      <c r="G16" s="46">
        <v>231.03</v>
      </c>
      <c r="H16" s="47">
        <f t="shared" si="0"/>
        <v>3.7426860000000006E-2</v>
      </c>
      <c r="I16" s="48">
        <f>F16/12*G16</f>
        <v>3.1189050000000007</v>
      </c>
      <c r="J16" s="48">
        <f>F16/12*G16</f>
        <v>3.1189050000000007</v>
      </c>
      <c r="K16" s="48">
        <f>F16/12*G16</f>
        <v>3.1189050000000007</v>
      </c>
      <c r="L16" s="48">
        <f>F16/12*G16</f>
        <v>3.1189050000000007</v>
      </c>
      <c r="M16" s="48">
        <f>F16/12*G16</f>
        <v>3.1189050000000007</v>
      </c>
      <c r="N16" s="48">
        <f>F16/12*G16</f>
        <v>3.1189050000000007</v>
      </c>
      <c r="O16" s="48">
        <f>F16/12*G16</f>
        <v>3.1189050000000007</v>
      </c>
      <c r="P16" s="48">
        <f>F16/12*G16</f>
        <v>3.1189050000000007</v>
      </c>
      <c r="Q16" s="48">
        <f>F16/12*G16</f>
        <v>3.1189050000000007</v>
      </c>
      <c r="R16" s="48">
        <f>F16/12*G16</f>
        <v>3.1189050000000007</v>
      </c>
      <c r="S16" s="48">
        <f>F16/12*G16</f>
        <v>3.1189050000000007</v>
      </c>
      <c r="T16" s="48">
        <f>F16/12*G16</f>
        <v>3.1189050000000007</v>
      </c>
      <c r="U16" s="48">
        <f t="shared" si="1"/>
        <v>37.426860000000012</v>
      </c>
    </row>
    <row r="17" spans="1:21">
      <c r="A17" s="40" t="s">
        <v>28</v>
      </c>
      <c r="B17" s="15" t="s">
        <v>29</v>
      </c>
      <c r="C17" s="40" t="s">
        <v>30</v>
      </c>
      <c r="D17" s="15" t="s">
        <v>163</v>
      </c>
      <c r="E17" s="45">
        <v>357</v>
      </c>
      <c r="F17" s="46">
        <f>SUM(E17/100)</f>
        <v>3.57</v>
      </c>
      <c r="G17" s="46">
        <v>287.83999999999997</v>
      </c>
      <c r="H17" s="47">
        <f t="shared" si="0"/>
        <v>1.0275887999999997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f>F17*G17</f>
        <v>1027.5887999999998</v>
      </c>
      <c r="O17" s="48">
        <v>0</v>
      </c>
      <c r="P17" s="48">
        <v>0</v>
      </c>
      <c r="Q17" s="48">
        <v>0</v>
      </c>
      <c r="R17" s="48">
        <v>0</v>
      </c>
      <c r="S17" s="48">
        <v>0</v>
      </c>
      <c r="T17" s="48">
        <v>0</v>
      </c>
      <c r="U17" s="48">
        <f t="shared" si="1"/>
        <v>1027.5887999999998</v>
      </c>
    </row>
    <row r="18" spans="1:21">
      <c r="A18" s="40" t="s">
        <v>31</v>
      </c>
      <c r="B18" s="15" t="s">
        <v>32</v>
      </c>
      <c r="C18" s="40" t="s">
        <v>30</v>
      </c>
      <c r="D18" s="15" t="s">
        <v>163</v>
      </c>
      <c r="E18" s="3">
        <v>38.64</v>
      </c>
      <c r="F18" s="46">
        <f>SUM(E18/100)</f>
        <v>0.38640000000000002</v>
      </c>
      <c r="G18" s="46">
        <v>47.34</v>
      </c>
      <c r="H18" s="47">
        <f t="shared" si="0"/>
        <v>1.8292176E-2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f>F18*G18</f>
        <v>18.292176000000001</v>
      </c>
      <c r="O18" s="48">
        <v>0</v>
      </c>
      <c r="P18" s="48">
        <v>0</v>
      </c>
      <c r="Q18" s="48">
        <v>0</v>
      </c>
      <c r="R18" s="48">
        <v>0</v>
      </c>
      <c r="S18" s="48">
        <v>0</v>
      </c>
      <c r="T18" s="48">
        <v>0</v>
      </c>
      <c r="U18" s="48">
        <f t="shared" si="1"/>
        <v>18.292176000000001</v>
      </c>
    </row>
    <row r="19" spans="1:21">
      <c r="A19" s="40" t="s">
        <v>33</v>
      </c>
      <c r="B19" s="15" t="s">
        <v>34</v>
      </c>
      <c r="C19" s="40" t="s">
        <v>30</v>
      </c>
      <c r="D19" s="15" t="s">
        <v>165</v>
      </c>
      <c r="E19" s="45">
        <v>15</v>
      </c>
      <c r="F19" s="46">
        <f>E19/100</f>
        <v>0.15</v>
      </c>
      <c r="G19" s="46">
        <v>416.62</v>
      </c>
      <c r="H19" s="47">
        <f t="shared" si="0"/>
        <v>6.2492999999999993E-2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f>F19*G19</f>
        <v>62.492999999999995</v>
      </c>
      <c r="O19" s="48">
        <v>0</v>
      </c>
      <c r="P19" s="48">
        <v>0</v>
      </c>
      <c r="Q19" s="48">
        <v>0</v>
      </c>
      <c r="R19" s="48">
        <v>0</v>
      </c>
      <c r="S19" s="48">
        <v>0</v>
      </c>
      <c r="T19" s="48">
        <v>0</v>
      </c>
      <c r="U19" s="48">
        <f t="shared" si="1"/>
        <v>62.492999999999995</v>
      </c>
    </row>
    <row r="20" spans="1:21">
      <c r="A20" s="40" t="s">
        <v>35</v>
      </c>
      <c r="B20" s="15" t="s">
        <v>36</v>
      </c>
      <c r="C20" s="40" t="s">
        <v>30</v>
      </c>
      <c r="D20" s="15" t="s">
        <v>163</v>
      </c>
      <c r="E20" s="45">
        <v>6.38</v>
      </c>
      <c r="F20" s="46">
        <f>SUM(E20/100)</f>
        <v>6.3799999999999996E-2</v>
      </c>
      <c r="G20" s="46">
        <v>556.74</v>
      </c>
      <c r="H20" s="47">
        <f t="shared" si="0"/>
        <v>3.5520012000000004E-2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f>F20*G20</f>
        <v>35.520012000000001</v>
      </c>
      <c r="O20" s="48">
        <v>0</v>
      </c>
      <c r="P20" s="48">
        <v>0</v>
      </c>
      <c r="Q20" s="48">
        <v>0</v>
      </c>
      <c r="R20" s="48">
        <v>0</v>
      </c>
      <c r="S20" s="48">
        <v>0</v>
      </c>
      <c r="T20" s="48">
        <v>0</v>
      </c>
      <c r="U20" s="48">
        <f t="shared" si="1"/>
        <v>35.520012000000001</v>
      </c>
    </row>
    <row r="21" spans="1:21" s="23" customFormat="1">
      <c r="A21" s="50"/>
      <c r="B21" s="24" t="s">
        <v>37</v>
      </c>
      <c r="C21" s="51"/>
      <c r="D21" s="24"/>
      <c r="E21" s="52"/>
      <c r="F21" s="53"/>
      <c r="G21" s="53"/>
      <c r="H21" s="54">
        <f>SUM(H11:H20)</f>
        <v>76.762457583999989</v>
      </c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>
        <f>SUM(U11:U20)</f>
        <v>79580.556954666667</v>
      </c>
    </row>
    <row r="22" spans="1:21">
      <c r="A22" s="40"/>
      <c r="B22" s="16" t="s">
        <v>38</v>
      </c>
      <c r="C22" s="40"/>
      <c r="D22" s="15"/>
      <c r="E22" s="45"/>
      <c r="F22" s="46"/>
      <c r="G22" s="46"/>
      <c r="H22" s="47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</row>
    <row r="23" spans="1:21" ht="26.25" customHeight="1">
      <c r="A23" s="40" t="s">
        <v>39</v>
      </c>
      <c r="B23" s="15" t="s">
        <v>40</v>
      </c>
      <c r="C23" s="40" t="s">
        <v>41</v>
      </c>
      <c r="D23" s="15" t="s">
        <v>42</v>
      </c>
      <c r="E23" s="46">
        <v>124.74</v>
      </c>
      <c r="F23" s="46">
        <f>SUM(E23*52/1000)</f>
        <v>6.4864799999999994</v>
      </c>
      <c r="G23" s="46">
        <v>166.65</v>
      </c>
      <c r="H23" s="47">
        <f t="shared" ref="H23:H30" si="2">SUM(F23*G23/1000)</f>
        <v>1.080971892</v>
      </c>
      <c r="I23" s="48">
        <v>0</v>
      </c>
      <c r="J23" s="48">
        <v>0</v>
      </c>
      <c r="K23" s="48">
        <v>0</v>
      </c>
      <c r="L23" s="48">
        <v>0</v>
      </c>
      <c r="M23" s="48">
        <f>F23/6*G23</f>
        <v>180.16198199999997</v>
      </c>
      <c r="N23" s="48">
        <f>F23/6*G23</f>
        <v>180.16198199999997</v>
      </c>
      <c r="O23" s="48">
        <f>F23/6*G23</f>
        <v>180.16198199999997</v>
      </c>
      <c r="P23" s="48">
        <f>F23/6*G23</f>
        <v>180.16198199999997</v>
      </c>
      <c r="Q23" s="48">
        <f>F23/6*G23</f>
        <v>180.16198199999997</v>
      </c>
      <c r="R23" s="48">
        <f>F23/6*G23</f>
        <v>180.16198199999997</v>
      </c>
      <c r="S23" s="48">
        <v>0</v>
      </c>
      <c r="T23" s="48">
        <v>0</v>
      </c>
      <c r="U23" s="48">
        <f t="shared" ref="U23:U30" si="3">SUM(I23:T23)</f>
        <v>1080.9718919999998</v>
      </c>
    </row>
    <row r="24" spans="1:21" ht="38.25" customHeight="1">
      <c r="A24" s="40" t="s">
        <v>43</v>
      </c>
      <c r="B24" s="15" t="s">
        <v>44</v>
      </c>
      <c r="C24" s="40" t="s">
        <v>45</v>
      </c>
      <c r="D24" s="15" t="s">
        <v>46</v>
      </c>
      <c r="E24" s="46">
        <v>48.8</v>
      </c>
      <c r="F24" s="46">
        <f>SUM(E24*78/1000)</f>
        <v>3.8063999999999996</v>
      </c>
      <c r="G24" s="46">
        <v>276.48</v>
      </c>
      <c r="H24" s="47">
        <f t="shared" si="2"/>
        <v>1.0523934719999999</v>
      </c>
      <c r="I24" s="48">
        <v>0</v>
      </c>
      <c r="J24" s="48">
        <v>0</v>
      </c>
      <c r="K24" s="48">
        <v>0</v>
      </c>
      <c r="L24" s="48">
        <v>0</v>
      </c>
      <c r="M24" s="48">
        <f>F24/6*G24</f>
        <v>175.398912</v>
      </c>
      <c r="N24" s="48">
        <f>F24/6*G24</f>
        <v>175.398912</v>
      </c>
      <c r="O24" s="48">
        <f>F24/6*G24</f>
        <v>175.398912</v>
      </c>
      <c r="P24" s="48">
        <f>F24/6*G24</f>
        <v>175.398912</v>
      </c>
      <c r="Q24" s="48">
        <f>F24/6*G24</f>
        <v>175.398912</v>
      </c>
      <c r="R24" s="48">
        <f>F24/6*G24</f>
        <v>175.398912</v>
      </c>
      <c r="S24" s="48">
        <v>0</v>
      </c>
      <c r="T24" s="48">
        <v>0</v>
      </c>
      <c r="U24" s="48">
        <f t="shared" si="3"/>
        <v>1052.393472</v>
      </c>
    </row>
    <row r="25" spans="1:21">
      <c r="A25" s="40" t="s">
        <v>47</v>
      </c>
      <c r="B25" s="15" t="s">
        <v>48</v>
      </c>
      <c r="C25" s="40" t="s">
        <v>45</v>
      </c>
      <c r="D25" s="15" t="s">
        <v>49</v>
      </c>
      <c r="E25" s="46">
        <v>371.04</v>
      </c>
      <c r="F25" s="46">
        <f>SUM(E25/1000)</f>
        <v>0.37104000000000004</v>
      </c>
      <c r="G25" s="46">
        <v>3228.73</v>
      </c>
      <c r="H25" s="47">
        <f t="shared" si="2"/>
        <v>1.1979879792000001</v>
      </c>
      <c r="I25" s="48">
        <v>0</v>
      </c>
      <c r="J25" s="48">
        <v>0</v>
      </c>
      <c r="K25" s="48">
        <v>0</v>
      </c>
      <c r="L25" s="48">
        <v>0</v>
      </c>
      <c r="M25" s="48">
        <v>0</v>
      </c>
      <c r="N25" s="48">
        <f>F25*G25</f>
        <v>1197.9879792000002</v>
      </c>
      <c r="O25" s="48">
        <v>0</v>
      </c>
      <c r="P25" s="48">
        <v>0</v>
      </c>
      <c r="Q25" s="48">
        <v>0</v>
      </c>
      <c r="R25" s="48">
        <v>0</v>
      </c>
      <c r="S25" s="48">
        <v>0</v>
      </c>
      <c r="T25" s="48">
        <v>0</v>
      </c>
      <c r="U25" s="48">
        <f t="shared" si="3"/>
        <v>1197.9879792000002</v>
      </c>
    </row>
    <row r="26" spans="1:21">
      <c r="A26" s="40" t="s">
        <v>50</v>
      </c>
      <c r="B26" s="15" t="s">
        <v>51</v>
      </c>
      <c r="C26" s="40" t="s">
        <v>52</v>
      </c>
      <c r="D26" s="15" t="s">
        <v>53</v>
      </c>
      <c r="E26" s="57">
        <v>0.33333333333333331</v>
      </c>
      <c r="F26" s="46">
        <f>155/3</f>
        <v>51.666666666666664</v>
      </c>
      <c r="G26" s="46">
        <v>60.6</v>
      </c>
      <c r="H26" s="47">
        <f>SUM(G26*155/3/1000)</f>
        <v>3.1309999999999998</v>
      </c>
      <c r="I26" s="48">
        <v>0</v>
      </c>
      <c r="J26" s="48">
        <v>0</v>
      </c>
      <c r="K26" s="48">
        <v>0</v>
      </c>
      <c r="L26" s="48">
        <v>0</v>
      </c>
      <c r="M26" s="48">
        <f>F26/6*G26</f>
        <v>521.83333333333337</v>
      </c>
      <c r="N26" s="48">
        <f>F26/6*G26</f>
        <v>521.83333333333337</v>
      </c>
      <c r="O26" s="48">
        <f>F26/6*G26</f>
        <v>521.83333333333337</v>
      </c>
      <c r="P26" s="48">
        <f>F26/6*G26</f>
        <v>521.83333333333337</v>
      </c>
      <c r="Q26" s="48">
        <f>F26/6*G26</f>
        <v>521.83333333333337</v>
      </c>
      <c r="R26" s="48">
        <f>F26/6*G26</f>
        <v>521.83333333333337</v>
      </c>
      <c r="S26" s="48">
        <v>0</v>
      </c>
      <c r="T26" s="48">
        <v>0</v>
      </c>
      <c r="U26" s="48">
        <f t="shared" si="3"/>
        <v>3131.0000000000005</v>
      </c>
    </row>
    <row r="27" spans="1:21" ht="12.75" customHeight="1">
      <c r="A27" s="40" t="s">
        <v>54</v>
      </c>
      <c r="B27" s="15" t="s">
        <v>55</v>
      </c>
      <c r="C27" s="40" t="s">
        <v>56</v>
      </c>
      <c r="D27" s="15" t="s">
        <v>57</v>
      </c>
      <c r="E27" s="58">
        <v>0.1</v>
      </c>
      <c r="F27" s="46">
        <f>SUM(E27*365)</f>
        <v>36.5</v>
      </c>
      <c r="G27" s="46">
        <v>157.18</v>
      </c>
      <c r="H27" s="47">
        <f t="shared" si="2"/>
        <v>5.737070000000001</v>
      </c>
      <c r="I27" s="48">
        <f>F27/12*G27</f>
        <v>478.08916666666664</v>
      </c>
      <c r="J27" s="48">
        <f>F27/12*G27</f>
        <v>478.08916666666664</v>
      </c>
      <c r="K27" s="48">
        <f>F27/12*G27</f>
        <v>478.08916666666664</v>
      </c>
      <c r="L27" s="48">
        <f>F27/12*G27</f>
        <v>478.08916666666664</v>
      </c>
      <c r="M27" s="48">
        <f>F27/12*G27</f>
        <v>478.08916666666664</v>
      </c>
      <c r="N27" s="48">
        <f>F27/12*G27</f>
        <v>478.08916666666664</v>
      </c>
      <c r="O27" s="48">
        <f>F27/12*G27</f>
        <v>478.08916666666664</v>
      </c>
      <c r="P27" s="48">
        <f>F27/12*G27</f>
        <v>478.08916666666664</v>
      </c>
      <c r="Q27" s="48">
        <f>F27/12*G27</f>
        <v>478.08916666666664</v>
      </c>
      <c r="R27" s="48">
        <f>F27/12*G27</f>
        <v>478.08916666666664</v>
      </c>
      <c r="S27" s="48">
        <f>F27/12*G27</f>
        <v>478.08916666666664</v>
      </c>
      <c r="T27" s="48">
        <f>F27/12*G27</f>
        <v>478.08916666666664</v>
      </c>
      <c r="U27" s="48">
        <f t="shared" si="3"/>
        <v>5737.07</v>
      </c>
    </row>
    <row r="28" spans="1:21" ht="12.75" customHeight="1">
      <c r="A28" s="40" t="s">
        <v>59</v>
      </c>
      <c r="B28" s="15" t="s">
        <v>60</v>
      </c>
      <c r="C28" s="40" t="s">
        <v>56</v>
      </c>
      <c r="D28" s="15" t="s">
        <v>58</v>
      </c>
      <c r="E28" s="45"/>
      <c r="F28" s="46">
        <v>3</v>
      </c>
      <c r="G28" s="46">
        <v>204.32</v>
      </c>
      <c r="H28" s="47">
        <f t="shared" si="2"/>
        <v>0.61296000000000006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48">
        <v>0</v>
      </c>
      <c r="O28" s="48">
        <v>0</v>
      </c>
      <c r="P28" s="48">
        <v>0</v>
      </c>
      <c r="Q28" s="48">
        <v>0</v>
      </c>
      <c r="R28" s="48">
        <v>0</v>
      </c>
      <c r="S28" s="48">
        <v>0</v>
      </c>
      <c r="T28" s="48">
        <v>0</v>
      </c>
      <c r="U28" s="48">
        <f t="shared" si="3"/>
        <v>0</v>
      </c>
    </row>
    <row r="29" spans="1:21" ht="13.5" customHeight="1">
      <c r="A29" s="40" t="s">
        <v>61</v>
      </c>
      <c r="B29" s="15" t="s">
        <v>62</v>
      </c>
      <c r="C29" s="40" t="s">
        <v>63</v>
      </c>
      <c r="D29" s="15" t="s">
        <v>58</v>
      </c>
      <c r="E29" s="45"/>
      <c r="F29" s="46">
        <v>2</v>
      </c>
      <c r="G29" s="46">
        <v>1214.73</v>
      </c>
      <c r="H29" s="47">
        <f t="shared" si="2"/>
        <v>2.4294600000000002</v>
      </c>
      <c r="I29" s="48">
        <v>0</v>
      </c>
      <c r="J29" s="48">
        <v>0</v>
      </c>
      <c r="K29" s="48">
        <v>0</v>
      </c>
      <c r="L29" s="48">
        <v>0</v>
      </c>
      <c r="M29" s="48">
        <v>0</v>
      </c>
      <c r="N29" s="48">
        <v>0</v>
      </c>
      <c r="O29" s="48">
        <v>0</v>
      </c>
      <c r="P29" s="48">
        <v>0</v>
      </c>
      <c r="Q29" s="48">
        <v>0</v>
      </c>
      <c r="R29" s="48">
        <v>0</v>
      </c>
      <c r="S29" s="48">
        <v>0</v>
      </c>
      <c r="T29" s="48">
        <v>0</v>
      </c>
      <c r="U29" s="48">
        <f t="shared" si="3"/>
        <v>0</v>
      </c>
    </row>
    <row r="30" spans="1:21">
      <c r="A30" s="40"/>
      <c r="B30" s="59" t="s">
        <v>64</v>
      </c>
      <c r="C30" s="40" t="s">
        <v>65</v>
      </c>
      <c r="D30" s="59" t="s">
        <v>66</v>
      </c>
      <c r="E30" s="45">
        <v>2820</v>
      </c>
      <c r="F30" s="46">
        <f>SUM(E30*12)</f>
        <v>33840</v>
      </c>
      <c r="G30" s="46">
        <v>4.84</v>
      </c>
      <c r="H30" s="47">
        <f t="shared" si="2"/>
        <v>163.78560000000002</v>
      </c>
      <c r="I30" s="48">
        <f>F30/12*G30</f>
        <v>13648.8</v>
      </c>
      <c r="J30" s="48">
        <f>F30/12*G30</f>
        <v>13648.8</v>
      </c>
      <c r="K30" s="48">
        <f>F30/12*G30</f>
        <v>13648.8</v>
      </c>
      <c r="L30" s="48">
        <f>F30/12*G30</f>
        <v>13648.8</v>
      </c>
      <c r="M30" s="48">
        <f>F30/12*G30</f>
        <v>13648.8</v>
      </c>
      <c r="N30" s="48">
        <f>F30/12*G30</f>
        <v>13648.8</v>
      </c>
      <c r="O30" s="48">
        <f>F30/12*G30</f>
        <v>13648.8</v>
      </c>
      <c r="P30" s="48">
        <f>F30/12*G30</f>
        <v>13648.8</v>
      </c>
      <c r="Q30" s="48">
        <f>F30/12*G30</f>
        <v>13648.8</v>
      </c>
      <c r="R30" s="48">
        <f>F30/12*G30</f>
        <v>13648.8</v>
      </c>
      <c r="S30" s="48">
        <f>F30/12*G30</f>
        <v>13648.8</v>
      </c>
      <c r="T30" s="48">
        <f>F30/12*G30</f>
        <v>13648.8</v>
      </c>
      <c r="U30" s="48">
        <f t="shared" si="3"/>
        <v>163785.59999999998</v>
      </c>
    </row>
    <row r="31" spans="1:21" s="23" customFormat="1">
      <c r="A31" s="50"/>
      <c r="B31" s="24" t="s">
        <v>37</v>
      </c>
      <c r="C31" s="51"/>
      <c r="D31" s="24"/>
      <c r="E31" s="52"/>
      <c r="F31" s="53"/>
      <c r="G31" s="53"/>
      <c r="H31" s="60">
        <f>SUM(H23:H30)</f>
        <v>179.02744334320002</v>
      </c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>
        <f>SUM(U23:U30)</f>
        <v>175985.02334319998</v>
      </c>
    </row>
    <row r="32" spans="1:21">
      <c r="A32" s="40"/>
      <c r="B32" s="16" t="s">
        <v>67</v>
      </c>
      <c r="C32" s="40"/>
      <c r="D32" s="15"/>
      <c r="E32" s="45"/>
      <c r="F32" s="46"/>
      <c r="G32" s="46"/>
      <c r="H32" s="47" t="s">
        <v>66</v>
      </c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</row>
    <row r="33" spans="1:21" ht="25.5">
      <c r="A33" s="40" t="s">
        <v>61</v>
      </c>
      <c r="B33" s="17" t="s">
        <v>68</v>
      </c>
      <c r="C33" s="40" t="s">
        <v>63</v>
      </c>
      <c r="D33" s="15"/>
      <c r="E33" s="45"/>
      <c r="F33" s="46">
        <v>9</v>
      </c>
      <c r="G33" s="46">
        <v>1632.6</v>
      </c>
      <c r="H33" s="47">
        <f>SUM(F33*G33/1000)</f>
        <v>14.6934</v>
      </c>
      <c r="I33" s="48">
        <f>F33/6*G33</f>
        <v>2448.8999999999996</v>
      </c>
      <c r="J33" s="48">
        <f>F33/6*G33</f>
        <v>2448.8999999999996</v>
      </c>
      <c r="K33" s="48">
        <f>F33/6*G33</f>
        <v>2448.8999999999996</v>
      </c>
      <c r="L33" s="48">
        <f>F33/6*G33</f>
        <v>2448.8999999999996</v>
      </c>
      <c r="M33" s="48">
        <v>0</v>
      </c>
      <c r="N33" s="48">
        <v>0</v>
      </c>
      <c r="O33" s="48">
        <v>0</v>
      </c>
      <c r="P33" s="48">
        <v>0</v>
      </c>
      <c r="Q33" s="48">
        <v>0</v>
      </c>
      <c r="R33" s="48">
        <v>0</v>
      </c>
      <c r="S33" s="48">
        <f>F33/6*G33</f>
        <v>2448.8999999999996</v>
      </c>
      <c r="T33" s="48">
        <f>F33/6*G33</f>
        <v>2448.8999999999996</v>
      </c>
      <c r="U33" s="48">
        <f t="shared" ref="U33:U39" si="4">SUM(I33:T33)</f>
        <v>14693.399999999998</v>
      </c>
    </row>
    <row r="34" spans="1:21" s="1" customFormat="1">
      <c r="A34" s="61" t="s">
        <v>69</v>
      </c>
      <c r="B34" s="17" t="s">
        <v>70</v>
      </c>
      <c r="C34" s="61" t="s">
        <v>71</v>
      </c>
      <c r="D34" s="17" t="s">
        <v>168</v>
      </c>
      <c r="E34" s="62">
        <v>43.47</v>
      </c>
      <c r="F34" s="62">
        <f>SUM(E34*30/1000)</f>
        <v>1.3040999999999998</v>
      </c>
      <c r="G34" s="62">
        <v>2247.8000000000002</v>
      </c>
      <c r="H34" s="47">
        <f t="shared" ref="H34:H39" si="5">SUM(F34*G34/1000)</f>
        <v>2.9313559799999998</v>
      </c>
      <c r="I34" s="63">
        <f>F34/6*G34</f>
        <v>488.55932999999993</v>
      </c>
      <c r="J34" s="63">
        <f>F34/6*G34</f>
        <v>488.55932999999993</v>
      </c>
      <c r="K34" s="63">
        <f>F34/6*G34</f>
        <v>488.55932999999993</v>
      </c>
      <c r="L34" s="63">
        <f>F34/6*G34</f>
        <v>488.55932999999993</v>
      </c>
      <c r="M34" s="63">
        <v>0</v>
      </c>
      <c r="N34" s="63">
        <v>0</v>
      </c>
      <c r="O34" s="63">
        <v>0</v>
      </c>
      <c r="P34" s="63">
        <v>0</v>
      </c>
      <c r="Q34" s="63">
        <v>0</v>
      </c>
      <c r="R34" s="63">
        <v>0</v>
      </c>
      <c r="S34" s="63">
        <f>F34/6*G34</f>
        <v>488.55932999999993</v>
      </c>
      <c r="T34" s="63">
        <f>F34/6*G34</f>
        <v>488.55932999999993</v>
      </c>
      <c r="U34" s="48">
        <f t="shared" si="4"/>
        <v>2931.3559799999998</v>
      </c>
    </row>
    <row r="35" spans="1:21" ht="24.75" customHeight="1">
      <c r="A35" s="40" t="s">
        <v>72</v>
      </c>
      <c r="B35" s="15" t="s">
        <v>73</v>
      </c>
      <c r="C35" s="40" t="s">
        <v>71</v>
      </c>
      <c r="D35" s="15" t="s">
        <v>74</v>
      </c>
      <c r="E35" s="46">
        <v>48.8</v>
      </c>
      <c r="F35" s="62">
        <f>SUM(E35*155/1000)</f>
        <v>7.5640000000000001</v>
      </c>
      <c r="G35" s="46">
        <v>374.95</v>
      </c>
      <c r="H35" s="47">
        <f t="shared" si="5"/>
        <v>2.8361217999999999</v>
      </c>
      <c r="I35" s="48">
        <f>F35/6*G35</f>
        <v>472.68696666666665</v>
      </c>
      <c r="J35" s="48">
        <f>F35/6*G35</f>
        <v>472.68696666666665</v>
      </c>
      <c r="K35" s="48">
        <f>F35/6*G35</f>
        <v>472.68696666666665</v>
      </c>
      <c r="L35" s="48">
        <f>F35/6*G35</f>
        <v>472.68696666666665</v>
      </c>
      <c r="M35" s="48">
        <v>0</v>
      </c>
      <c r="N35" s="48">
        <v>0</v>
      </c>
      <c r="O35" s="48">
        <v>0</v>
      </c>
      <c r="P35" s="48">
        <v>0</v>
      </c>
      <c r="Q35" s="48">
        <v>0</v>
      </c>
      <c r="R35" s="48">
        <v>0</v>
      </c>
      <c r="S35" s="48">
        <f>F35/6*G35</f>
        <v>472.68696666666665</v>
      </c>
      <c r="T35" s="48">
        <f>F35/6*G35</f>
        <v>472.68696666666665</v>
      </c>
      <c r="U35" s="48">
        <f t="shared" si="4"/>
        <v>2836.1217999999999</v>
      </c>
    </row>
    <row r="36" spans="1:21">
      <c r="A36" s="40" t="s">
        <v>61</v>
      </c>
      <c r="B36" s="15" t="s">
        <v>169</v>
      </c>
      <c r="C36" s="40" t="s">
        <v>151</v>
      </c>
      <c r="D36" s="15"/>
      <c r="E36" s="45"/>
      <c r="F36" s="62">
        <v>110</v>
      </c>
      <c r="G36" s="46">
        <v>213.2</v>
      </c>
      <c r="H36" s="47">
        <f>F36*G36/1000</f>
        <v>23.452000000000002</v>
      </c>
      <c r="I36" s="48">
        <v>0</v>
      </c>
      <c r="J36" s="48">
        <v>0</v>
      </c>
      <c r="K36" s="48">
        <f>65*G36</f>
        <v>13858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f t="shared" si="4"/>
        <v>13858</v>
      </c>
    </row>
    <row r="37" spans="1:21" ht="51" customHeight="1">
      <c r="A37" s="40" t="s">
        <v>75</v>
      </c>
      <c r="B37" s="15" t="s">
        <v>76</v>
      </c>
      <c r="C37" s="40" t="s">
        <v>45</v>
      </c>
      <c r="D37" s="15" t="s">
        <v>166</v>
      </c>
      <c r="E37" s="46">
        <v>43.47</v>
      </c>
      <c r="F37" s="62">
        <f>SUM(E37*35/1000)</f>
        <v>1.52145</v>
      </c>
      <c r="G37" s="46">
        <v>6203.7</v>
      </c>
      <c r="H37" s="47">
        <f t="shared" si="5"/>
        <v>9.4386193649999992</v>
      </c>
      <c r="I37" s="48">
        <f>F37/6*G37</f>
        <v>1573.1032275</v>
      </c>
      <c r="J37" s="48">
        <f>F37/6*G37</f>
        <v>1573.1032275</v>
      </c>
      <c r="K37" s="48">
        <f>F37/6*G37</f>
        <v>1573.1032275</v>
      </c>
      <c r="L37" s="48">
        <f>F37/6*G37</f>
        <v>1573.1032275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f>F37/6*G37</f>
        <v>1573.1032275</v>
      </c>
      <c r="T37" s="48">
        <f>F37/6*G37</f>
        <v>1573.1032275</v>
      </c>
      <c r="U37" s="48">
        <f t="shared" si="4"/>
        <v>9438.6193650000005</v>
      </c>
    </row>
    <row r="38" spans="1:21" ht="12.75" customHeight="1">
      <c r="A38" s="40" t="s">
        <v>77</v>
      </c>
      <c r="B38" s="15" t="s">
        <v>78</v>
      </c>
      <c r="C38" s="40" t="s">
        <v>45</v>
      </c>
      <c r="D38" s="15" t="s">
        <v>79</v>
      </c>
      <c r="E38" s="46">
        <v>43.47</v>
      </c>
      <c r="F38" s="62">
        <f>SUM(E38*45/1000)</f>
        <v>1.9561499999999998</v>
      </c>
      <c r="G38" s="46">
        <v>458.28</v>
      </c>
      <c r="H38" s="47">
        <f t="shared" si="5"/>
        <v>0.89646442199999987</v>
      </c>
      <c r="I38" s="48">
        <f>F38/6*G38</f>
        <v>149.41073699999998</v>
      </c>
      <c r="J38" s="48">
        <f>F38/6*G38</f>
        <v>149.41073699999998</v>
      </c>
      <c r="K38" s="48">
        <f>F38/6*G38</f>
        <v>149.41073699999998</v>
      </c>
      <c r="L38" s="48">
        <f>F38/6*G38</f>
        <v>149.41073699999998</v>
      </c>
      <c r="M38" s="48">
        <v>0</v>
      </c>
      <c r="N38" s="48">
        <v>0</v>
      </c>
      <c r="O38" s="48">
        <v>0</v>
      </c>
      <c r="P38" s="48">
        <v>0</v>
      </c>
      <c r="Q38" s="48">
        <v>0</v>
      </c>
      <c r="R38" s="48">
        <v>0</v>
      </c>
      <c r="S38" s="48">
        <f>F38/6*G38</f>
        <v>149.41073699999998</v>
      </c>
      <c r="T38" s="48">
        <f>F38/6*G38</f>
        <v>149.41073699999998</v>
      </c>
      <c r="U38" s="48">
        <f t="shared" si="4"/>
        <v>896.46442199999979</v>
      </c>
    </row>
    <row r="39" spans="1:21" s="2" customFormat="1">
      <c r="A39" s="61"/>
      <c r="B39" s="17" t="s">
        <v>80</v>
      </c>
      <c r="C39" s="61" t="s">
        <v>56</v>
      </c>
      <c r="D39" s="17"/>
      <c r="E39" s="58"/>
      <c r="F39" s="62">
        <v>0.9</v>
      </c>
      <c r="G39" s="62">
        <v>853.06</v>
      </c>
      <c r="H39" s="47">
        <f t="shared" si="5"/>
        <v>0.76775400000000005</v>
      </c>
      <c r="I39" s="63">
        <f>F39/6*G39</f>
        <v>127.95899999999999</v>
      </c>
      <c r="J39" s="63">
        <f>F39/6*G39</f>
        <v>127.95899999999999</v>
      </c>
      <c r="K39" s="63">
        <f>F39/6*G39</f>
        <v>127.95899999999999</v>
      </c>
      <c r="L39" s="63">
        <f>F39/6*G39</f>
        <v>127.95899999999999</v>
      </c>
      <c r="M39" s="63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3">
        <f>F39/6*G39</f>
        <v>127.95899999999999</v>
      </c>
      <c r="T39" s="63">
        <f>F39/6*G39</f>
        <v>127.95899999999999</v>
      </c>
      <c r="U39" s="48">
        <f t="shared" si="4"/>
        <v>767.75399999999991</v>
      </c>
    </row>
    <row r="40" spans="1:21" s="23" customFormat="1">
      <c r="A40" s="50"/>
      <c r="B40" s="24" t="s">
        <v>37</v>
      </c>
      <c r="C40" s="51"/>
      <c r="D40" s="24"/>
      <c r="E40" s="52"/>
      <c r="F40" s="53" t="s">
        <v>66</v>
      </c>
      <c r="G40" s="53"/>
      <c r="H40" s="60">
        <f>SUM(H33:H39)</f>
        <v>55.015715567000001</v>
      </c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>
        <f>SUM(U33:U39)</f>
        <v>45421.715566999992</v>
      </c>
    </row>
    <row r="41" spans="1:21">
      <c r="A41" s="40"/>
      <c r="B41" s="18" t="s">
        <v>81</v>
      </c>
      <c r="C41" s="40"/>
      <c r="D41" s="15"/>
      <c r="E41" s="45"/>
      <c r="F41" s="46"/>
      <c r="G41" s="46"/>
      <c r="H41" s="47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</row>
    <row r="42" spans="1:21">
      <c r="A42" s="40" t="s">
        <v>82</v>
      </c>
      <c r="B42" s="15" t="s">
        <v>83</v>
      </c>
      <c r="C42" s="40" t="s">
        <v>45</v>
      </c>
      <c r="D42" s="15" t="s">
        <v>84</v>
      </c>
      <c r="E42" s="45">
        <v>1109.4000000000001</v>
      </c>
      <c r="F42" s="46">
        <f>SUM(E42*2/1000)</f>
        <v>2.2188000000000003</v>
      </c>
      <c r="G42" s="64">
        <v>865.61</v>
      </c>
      <c r="H42" s="47">
        <f t="shared" ref="H42:H52" si="6">SUM(F42*G42/1000)</f>
        <v>1.9206154680000005</v>
      </c>
      <c r="I42" s="48">
        <v>0</v>
      </c>
      <c r="J42" s="48">
        <v>0</v>
      </c>
      <c r="K42" s="48">
        <v>0</v>
      </c>
      <c r="L42" s="48">
        <f>F42/2*G42</f>
        <v>960.30773400000021</v>
      </c>
      <c r="M42" s="48">
        <v>0</v>
      </c>
      <c r="N42" s="48">
        <v>0</v>
      </c>
      <c r="O42" s="48">
        <v>0</v>
      </c>
      <c r="P42" s="48">
        <v>0</v>
      </c>
      <c r="Q42" s="48">
        <v>0</v>
      </c>
      <c r="R42" s="48">
        <f>F42/2*G42</f>
        <v>960.30773400000021</v>
      </c>
      <c r="S42" s="48">
        <v>0</v>
      </c>
      <c r="T42" s="48">
        <v>0</v>
      </c>
      <c r="U42" s="48">
        <f t="shared" ref="U42:U52" si="7">SUM(I42:T42)</f>
        <v>1920.6154680000004</v>
      </c>
    </row>
    <row r="43" spans="1:21">
      <c r="A43" s="40" t="s">
        <v>85</v>
      </c>
      <c r="B43" s="15" t="s">
        <v>86</v>
      </c>
      <c r="C43" s="40" t="s">
        <v>45</v>
      </c>
      <c r="D43" s="15" t="s">
        <v>84</v>
      </c>
      <c r="E43" s="45">
        <v>106</v>
      </c>
      <c r="F43" s="46">
        <f>SUM(E43*2/1000)</f>
        <v>0.21199999999999999</v>
      </c>
      <c r="G43" s="64">
        <v>619.46</v>
      </c>
      <c r="H43" s="47">
        <f t="shared" si="6"/>
        <v>0.13132552</v>
      </c>
      <c r="I43" s="48">
        <v>0</v>
      </c>
      <c r="J43" s="48">
        <v>0</v>
      </c>
      <c r="K43" s="48">
        <v>0</v>
      </c>
      <c r="L43" s="48">
        <f>F43/2*G43</f>
        <v>65.662760000000006</v>
      </c>
      <c r="M43" s="48">
        <v>0</v>
      </c>
      <c r="N43" s="48">
        <v>0</v>
      </c>
      <c r="O43" s="48">
        <v>0</v>
      </c>
      <c r="P43" s="48">
        <v>0</v>
      </c>
      <c r="Q43" s="48">
        <v>0</v>
      </c>
      <c r="R43" s="48">
        <f>F43/2*G43</f>
        <v>65.662760000000006</v>
      </c>
      <c r="S43" s="48">
        <v>0</v>
      </c>
      <c r="T43" s="48">
        <v>0</v>
      </c>
      <c r="U43" s="48">
        <f t="shared" si="7"/>
        <v>131.32552000000001</v>
      </c>
    </row>
    <row r="44" spans="1:21" ht="25.5">
      <c r="A44" s="40" t="s">
        <v>87</v>
      </c>
      <c r="B44" s="15" t="s">
        <v>88</v>
      </c>
      <c r="C44" s="40" t="s">
        <v>45</v>
      </c>
      <c r="D44" s="15" t="s">
        <v>84</v>
      </c>
      <c r="E44" s="45">
        <v>1563.2750000000001</v>
      </c>
      <c r="F44" s="46">
        <f>SUM(E44*2/1000)</f>
        <v>3.1265500000000004</v>
      </c>
      <c r="G44" s="64">
        <v>619.46</v>
      </c>
      <c r="H44" s="47">
        <f t="shared" si="6"/>
        <v>1.9367726630000004</v>
      </c>
      <c r="I44" s="48">
        <v>0</v>
      </c>
      <c r="J44" s="48">
        <v>0</v>
      </c>
      <c r="K44" s="48">
        <v>0</v>
      </c>
      <c r="L44" s="48">
        <f>F44/2*G44</f>
        <v>968.38633150000021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f>F44/2*G44</f>
        <v>968.38633150000021</v>
      </c>
      <c r="S44" s="48">
        <v>0</v>
      </c>
      <c r="T44" s="48">
        <v>0</v>
      </c>
      <c r="U44" s="48">
        <f t="shared" si="7"/>
        <v>1936.7726630000004</v>
      </c>
    </row>
    <row r="45" spans="1:21">
      <c r="A45" s="40" t="s">
        <v>89</v>
      </c>
      <c r="B45" s="15" t="s">
        <v>90</v>
      </c>
      <c r="C45" s="40" t="s">
        <v>45</v>
      </c>
      <c r="D45" s="15" t="s">
        <v>84</v>
      </c>
      <c r="E45" s="45">
        <v>1619.6</v>
      </c>
      <c r="F45" s="46">
        <f>SUM(E45*2/1000)</f>
        <v>3.2391999999999999</v>
      </c>
      <c r="G45" s="64">
        <v>648.64</v>
      </c>
      <c r="H45" s="47">
        <f t="shared" si="6"/>
        <v>2.1010746879999997</v>
      </c>
      <c r="I45" s="48">
        <v>0</v>
      </c>
      <c r="J45" s="48">
        <v>0</v>
      </c>
      <c r="K45" s="48">
        <v>0</v>
      </c>
      <c r="L45" s="48">
        <f>F45/2*G45</f>
        <v>1050.5373439999998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f>F45/2*G45</f>
        <v>1050.5373439999998</v>
      </c>
      <c r="S45" s="48">
        <v>0</v>
      </c>
      <c r="T45" s="48">
        <v>0</v>
      </c>
      <c r="U45" s="48">
        <f t="shared" si="7"/>
        <v>2101.0746879999997</v>
      </c>
    </row>
    <row r="46" spans="1:21">
      <c r="A46" s="40" t="s">
        <v>91</v>
      </c>
      <c r="B46" s="15" t="s">
        <v>92</v>
      </c>
      <c r="C46" s="40" t="s">
        <v>93</v>
      </c>
      <c r="D46" s="15" t="s">
        <v>84</v>
      </c>
      <c r="E46" s="45">
        <v>85.84</v>
      </c>
      <c r="F46" s="46">
        <f>SUM(E46*2/100)</f>
        <v>1.7168000000000001</v>
      </c>
      <c r="G46" s="64">
        <v>77.84</v>
      </c>
      <c r="H46" s="47">
        <f t="shared" si="6"/>
        <v>0.13363571200000002</v>
      </c>
      <c r="I46" s="48">
        <v>0</v>
      </c>
      <c r="J46" s="48">
        <v>0</v>
      </c>
      <c r="K46" s="48">
        <v>0</v>
      </c>
      <c r="L46" s="48">
        <f>F46/2*G46</f>
        <v>66.817856000000006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f>F46/2*G46</f>
        <v>66.817856000000006</v>
      </c>
      <c r="S46" s="48">
        <v>0</v>
      </c>
      <c r="T46" s="48">
        <v>0</v>
      </c>
      <c r="U46" s="48">
        <f t="shared" si="7"/>
        <v>133.63571200000001</v>
      </c>
    </row>
    <row r="47" spans="1:21" ht="25.5">
      <c r="A47" s="40" t="s">
        <v>94</v>
      </c>
      <c r="B47" s="15" t="s">
        <v>95</v>
      </c>
      <c r="C47" s="40" t="s">
        <v>45</v>
      </c>
      <c r="D47" s="15" t="s">
        <v>96</v>
      </c>
      <c r="E47" s="45">
        <v>890.5</v>
      </c>
      <c r="F47" s="46">
        <f>SUM(E47*5/1000)</f>
        <v>4.4524999999999997</v>
      </c>
      <c r="G47" s="64">
        <v>1297.28</v>
      </c>
      <c r="H47" s="47">
        <f t="shared" si="6"/>
        <v>5.7761391999999994</v>
      </c>
      <c r="I47" s="48">
        <f>F47/5*G47</f>
        <v>1155.22784</v>
      </c>
      <c r="J47" s="48">
        <f>F47/5*G47</f>
        <v>1155.22784</v>
      </c>
      <c r="K47" s="48">
        <v>0</v>
      </c>
      <c r="L47" s="48">
        <v>0</v>
      </c>
      <c r="M47" s="48">
        <f>F47/5*G47</f>
        <v>1155.22784</v>
      </c>
      <c r="N47" s="48">
        <v>0</v>
      </c>
      <c r="O47" s="48">
        <v>0</v>
      </c>
      <c r="P47" s="48">
        <f>F47/5*G47</f>
        <v>1155.22784</v>
      </c>
      <c r="Q47" s="48">
        <v>0</v>
      </c>
      <c r="R47" s="48">
        <v>0</v>
      </c>
      <c r="S47" s="48">
        <v>0</v>
      </c>
      <c r="T47" s="48">
        <f>F47/5*G47</f>
        <v>1155.22784</v>
      </c>
      <c r="U47" s="48">
        <f t="shared" si="7"/>
        <v>5776.1391999999996</v>
      </c>
    </row>
    <row r="48" spans="1:21" ht="39.6" customHeight="1">
      <c r="A48" s="40" t="s">
        <v>97</v>
      </c>
      <c r="B48" s="15" t="s">
        <v>98</v>
      </c>
      <c r="C48" s="40" t="s">
        <v>45</v>
      </c>
      <c r="D48" s="15" t="s">
        <v>84</v>
      </c>
      <c r="E48" s="45">
        <v>890.5</v>
      </c>
      <c r="F48" s="46">
        <f>SUM(E48*2/1000)</f>
        <v>1.7809999999999999</v>
      </c>
      <c r="G48" s="64">
        <v>1297.28</v>
      </c>
      <c r="H48" s="47">
        <f t="shared" si="6"/>
        <v>2.31045568</v>
      </c>
      <c r="I48" s="48">
        <v>0</v>
      </c>
      <c r="J48" s="48">
        <v>0</v>
      </c>
      <c r="K48" s="48">
        <v>0</v>
      </c>
      <c r="L48" s="48">
        <f>F48/2*G48</f>
        <v>1155.22784</v>
      </c>
      <c r="M48" s="48">
        <v>0</v>
      </c>
      <c r="N48" s="48">
        <v>0</v>
      </c>
      <c r="O48" s="48">
        <v>0</v>
      </c>
      <c r="P48" s="48">
        <v>0</v>
      </c>
      <c r="Q48" s="48">
        <v>0</v>
      </c>
      <c r="R48" s="48">
        <f>F48/2*G48</f>
        <v>1155.22784</v>
      </c>
      <c r="S48" s="48">
        <v>0</v>
      </c>
      <c r="T48" s="48">
        <v>0</v>
      </c>
      <c r="U48" s="48">
        <f t="shared" si="7"/>
        <v>2310.45568</v>
      </c>
    </row>
    <row r="49" spans="1:21" ht="28.9" customHeight="1">
      <c r="A49" s="40" t="s">
        <v>99</v>
      </c>
      <c r="B49" s="15" t="s">
        <v>100</v>
      </c>
      <c r="C49" s="40" t="s">
        <v>101</v>
      </c>
      <c r="D49" s="15" t="s">
        <v>84</v>
      </c>
      <c r="E49" s="45">
        <v>20</v>
      </c>
      <c r="F49" s="46">
        <f>SUM(E49*2/100)</f>
        <v>0.4</v>
      </c>
      <c r="G49" s="64">
        <v>2918.89</v>
      </c>
      <c r="H49" s="47">
        <f t="shared" si="6"/>
        <v>1.167556</v>
      </c>
      <c r="I49" s="48">
        <v>0</v>
      </c>
      <c r="J49" s="48">
        <v>0</v>
      </c>
      <c r="K49" s="48">
        <v>0</v>
      </c>
      <c r="L49" s="48">
        <f>F49/6*G49</f>
        <v>194.59266666666664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f>F49/2*G49</f>
        <v>583.77800000000002</v>
      </c>
      <c r="S49" s="48">
        <v>0</v>
      </c>
      <c r="T49" s="48">
        <v>0</v>
      </c>
      <c r="U49" s="48">
        <f t="shared" si="7"/>
        <v>778.37066666666669</v>
      </c>
    </row>
    <row r="50" spans="1:21">
      <c r="A50" s="40" t="s">
        <v>102</v>
      </c>
      <c r="B50" s="15" t="s">
        <v>103</v>
      </c>
      <c r="C50" s="40" t="s">
        <v>104</v>
      </c>
      <c r="D50" s="15" t="s">
        <v>84</v>
      </c>
      <c r="E50" s="45">
        <v>1</v>
      </c>
      <c r="F50" s="46">
        <v>0.02</v>
      </c>
      <c r="G50" s="64">
        <v>6042.12</v>
      </c>
      <c r="H50" s="47">
        <f t="shared" si="6"/>
        <v>0.1208424</v>
      </c>
      <c r="I50" s="48">
        <v>0</v>
      </c>
      <c r="J50" s="48">
        <v>0</v>
      </c>
      <c r="K50" s="48">
        <v>0</v>
      </c>
      <c r="L50" s="48">
        <f>F50/2*G50</f>
        <v>60.421199999999999</v>
      </c>
      <c r="M50" s="48">
        <v>0</v>
      </c>
      <c r="N50" s="48">
        <v>0</v>
      </c>
      <c r="O50" s="48">
        <v>0</v>
      </c>
      <c r="P50" s="48">
        <v>0</v>
      </c>
      <c r="Q50" s="48">
        <v>0</v>
      </c>
      <c r="R50" s="48">
        <f>F50/2*G50</f>
        <v>60.421199999999999</v>
      </c>
      <c r="S50" s="48">
        <v>0</v>
      </c>
      <c r="T50" s="48">
        <v>0</v>
      </c>
      <c r="U50" s="48">
        <f t="shared" si="7"/>
        <v>120.8424</v>
      </c>
    </row>
    <row r="51" spans="1:21" ht="13.5" customHeight="1">
      <c r="A51" s="40" t="s">
        <v>105</v>
      </c>
      <c r="B51" s="15" t="s">
        <v>106</v>
      </c>
      <c r="C51" s="40" t="s">
        <v>107</v>
      </c>
      <c r="D51" s="15" t="s">
        <v>188</v>
      </c>
      <c r="E51" s="45">
        <v>62</v>
      </c>
      <c r="F51" s="46">
        <f>SUM(E51*4)</f>
        <v>248</v>
      </c>
      <c r="G51" s="65">
        <v>150.86000000000001</v>
      </c>
      <c r="H51" s="47">
        <f t="shared" si="6"/>
        <v>37.413280000000007</v>
      </c>
      <c r="I51" s="48">
        <f>E51*G51</f>
        <v>9353.3200000000015</v>
      </c>
      <c r="J51" s="48">
        <v>0</v>
      </c>
      <c r="K51" s="48">
        <v>0</v>
      </c>
      <c r="L51" s="48">
        <f>E51*G51</f>
        <v>9353.3200000000015</v>
      </c>
      <c r="M51" s="48">
        <v>0</v>
      </c>
      <c r="N51" s="48">
        <v>0</v>
      </c>
      <c r="O51" s="48">
        <v>0</v>
      </c>
      <c r="P51" s="48">
        <f>E51*G51</f>
        <v>9353.3200000000015</v>
      </c>
      <c r="Q51" s="48">
        <v>0</v>
      </c>
      <c r="R51" s="48">
        <v>0</v>
      </c>
      <c r="S51" s="48">
        <v>0</v>
      </c>
      <c r="T51" s="48">
        <v>0</v>
      </c>
      <c r="U51" s="48">
        <f t="shared" si="7"/>
        <v>28059.960000000006</v>
      </c>
    </row>
    <row r="52" spans="1:21" ht="13.5" customHeight="1">
      <c r="A52" s="40" t="s">
        <v>108</v>
      </c>
      <c r="B52" s="15" t="s">
        <v>109</v>
      </c>
      <c r="C52" s="40" t="s">
        <v>107</v>
      </c>
      <c r="D52" s="15" t="s">
        <v>194</v>
      </c>
      <c r="E52" s="45">
        <v>124</v>
      </c>
      <c r="F52" s="46">
        <f>SUM(E52)*3</f>
        <v>372</v>
      </c>
      <c r="G52" s="65">
        <v>70.209999999999994</v>
      </c>
      <c r="H52" s="47">
        <f t="shared" si="6"/>
        <v>26.118119999999998</v>
      </c>
      <c r="I52" s="48">
        <f>E52*G52</f>
        <v>8706.0399999999991</v>
      </c>
      <c r="J52" s="48">
        <v>0</v>
      </c>
      <c r="K52" s="48">
        <v>0</v>
      </c>
      <c r="L52" s="48">
        <f>E52*G52</f>
        <v>8706.0399999999991</v>
      </c>
      <c r="M52" s="48">
        <v>0</v>
      </c>
      <c r="N52" s="48">
        <v>0</v>
      </c>
      <c r="O52" s="48">
        <v>0</v>
      </c>
      <c r="P52" s="48">
        <f>E52*G52</f>
        <v>8706.0399999999991</v>
      </c>
      <c r="Q52" s="48">
        <v>0</v>
      </c>
      <c r="R52" s="48">
        <v>0</v>
      </c>
      <c r="S52" s="48">
        <v>0</v>
      </c>
      <c r="T52" s="48">
        <v>0</v>
      </c>
      <c r="U52" s="48">
        <f t="shared" si="7"/>
        <v>26118.119999999995</v>
      </c>
    </row>
    <row r="53" spans="1:21" s="25" customFormat="1">
      <c r="A53" s="66"/>
      <c r="B53" s="24" t="s">
        <v>37</v>
      </c>
      <c r="C53" s="67"/>
      <c r="D53" s="24"/>
      <c r="E53" s="68"/>
      <c r="F53" s="69"/>
      <c r="G53" s="69"/>
      <c r="H53" s="60">
        <f>SUM(H42:H52)</f>
        <v>79.129817330999998</v>
      </c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>
        <f>SUM(U42:U52)</f>
        <v>69387.311997666664</v>
      </c>
    </row>
    <row r="54" spans="1:21">
      <c r="A54" s="40"/>
      <c r="B54" s="16" t="s">
        <v>110</v>
      </c>
      <c r="C54" s="40"/>
      <c r="D54" s="15"/>
      <c r="E54" s="45"/>
      <c r="F54" s="46"/>
      <c r="G54" s="46"/>
      <c r="H54" s="47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</row>
    <row r="55" spans="1:21" ht="25.5" customHeight="1">
      <c r="A55" s="11" t="s">
        <v>111</v>
      </c>
      <c r="B55" s="15" t="s">
        <v>112</v>
      </c>
      <c r="C55" s="40" t="s">
        <v>14</v>
      </c>
      <c r="D55" s="15" t="s">
        <v>113</v>
      </c>
      <c r="E55" s="45">
        <v>126.94</v>
      </c>
      <c r="F55" s="46">
        <f>SUM(E55*6/100)</f>
        <v>7.6163999999999996</v>
      </c>
      <c r="G55" s="64">
        <v>1654.04</v>
      </c>
      <c r="H55" s="47">
        <f>SUM(F55*G55/1000)</f>
        <v>12.597830256</v>
      </c>
      <c r="I55" s="48">
        <f>F55/6*G55</f>
        <v>2099.6383759999999</v>
      </c>
      <c r="J55" s="48">
        <f>F55/6*G55</f>
        <v>2099.6383759999999</v>
      </c>
      <c r="K55" s="48">
        <f>F55/6*G55</f>
        <v>2099.6383759999999</v>
      </c>
      <c r="L55" s="48">
        <f>F55/6*G55</f>
        <v>2099.6383759999999</v>
      </c>
      <c r="M55" s="48">
        <v>0</v>
      </c>
      <c r="N55" s="48">
        <v>0</v>
      </c>
      <c r="O55" s="48">
        <v>0</v>
      </c>
      <c r="P55" s="48">
        <v>0</v>
      </c>
      <c r="Q55" s="48">
        <v>0</v>
      </c>
      <c r="R55" s="48">
        <v>0</v>
      </c>
      <c r="S55" s="48">
        <f>F55/6*G55</f>
        <v>2099.6383759999999</v>
      </c>
      <c r="T55" s="48">
        <f>F55/6*G55</f>
        <v>2099.6383759999999</v>
      </c>
      <c r="U55" s="48">
        <f>SUM(I55:T55)</f>
        <v>12597.830255999997</v>
      </c>
    </row>
    <row r="56" spans="1:21" ht="35.25" customHeight="1">
      <c r="A56" s="11" t="s">
        <v>111</v>
      </c>
      <c r="B56" s="15" t="s">
        <v>170</v>
      </c>
      <c r="C56" s="40" t="s">
        <v>14</v>
      </c>
      <c r="D56" s="15" t="s">
        <v>113</v>
      </c>
      <c r="E56" s="71">
        <v>16</v>
      </c>
      <c r="F56" s="72">
        <v>0.96</v>
      </c>
      <c r="G56" s="46">
        <v>1654.04</v>
      </c>
      <c r="H56" s="47">
        <v>1.5880000000000001</v>
      </c>
      <c r="I56" s="48">
        <f>F56/6*G56</f>
        <v>264.64639999999997</v>
      </c>
      <c r="J56" s="48">
        <f>F56/6*G56</f>
        <v>264.64639999999997</v>
      </c>
      <c r="K56" s="48">
        <f>F56/6*G56</f>
        <v>264.64639999999997</v>
      </c>
      <c r="L56" s="48">
        <f>F56/6*G56</f>
        <v>264.64639999999997</v>
      </c>
      <c r="M56" s="48">
        <v>0</v>
      </c>
      <c r="N56" s="48">
        <v>0</v>
      </c>
      <c r="O56" s="48">
        <v>0</v>
      </c>
      <c r="P56" s="48">
        <v>0</v>
      </c>
      <c r="Q56" s="48">
        <v>0</v>
      </c>
      <c r="R56" s="48">
        <v>0</v>
      </c>
      <c r="S56" s="48">
        <f>F56/6*G56</f>
        <v>264.64639999999997</v>
      </c>
      <c r="T56" s="48">
        <f>F56/6*G56</f>
        <v>264.64639999999997</v>
      </c>
      <c r="U56" s="48">
        <f>SUM(I56:T56)</f>
        <v>1587.8784000000001</v>
      </c>
    </row>
    <row r="57" spans="1:21" ht="38.25">
      <c r="A57" s="40" t="s">
        <v>114</v>
      </c>
      <c r="B57" s="15" t="s">
        <v>115</v>
      </c>
      <c r="C57" s="40" t="s">
        <v>14</v>
      </c>
      <c r="D57" s="15" t="s">
        <v>164</v>
      </c>
      <c r="E57" s="73">
        <v>19.899999999999999</v>
      </c>
      <c r="F57" s="64">
        <f>E57*3/100</f>
        <v>0.59699999999999998</v>
      </c>
      <c r="G57" s="62">
        <v>1654.04</v>
      </c>
      <c r="H57" s="47">
        <f>SUM(F57*G57/1000)</f>
        <v>0.9874618799999999</v>
      </c>
      <c r="I57" s="48">
        <f>F57/6*G57</f>
        <v>164.57697999999999</v>
      </c>
      <c r="J57" s="48">
        <f>F57/6*G57</f>
        <v>164.57697999999999</v>
      </c>
      <c r="K57" s="48">
        <f>F57/6*G57</f>
        <v>164.57697999999999</v>
      </c>
      <c r="L57" s="48">
        <f>F57/6*G57</f>
        <v>164.57697999999999</v>
      </c>
      <c r="M57" s="48">
        <v>0</v>
      </c>
      <c r="N57" s="48">
        <v>0</v>
      </c>
      <c r="O57" s="48">
        <v>0</v>
      </c>
      <c r="P57" s="48">
        <v>0</v>
      </c>
      <c r="Q57" s="48">
        <v>0</v>
      </c>
      <c r="R57" s="48">
        <v>0</v>
      </c>
      <c r="S57" s="48">
        <f>F57/6*G57</f>
        <v>164.57697999999999</v>
      </c>
      <c r="T57" s="48">
        <f>F57/6*G57</f>
        <v>164.57697999999999</v>
      </c>
      <c r="U57" s="48">
        <f>SUM(I57:T57)</f>
        <v>987.46188000000006</v>
      </c>
    </row>
    <row r="58" spans="1:21">
      <c r="A58" s="40"/>
      <c r="B58" s="16" t="s">
        <v>118</v>
      </c>
      <c r="C58" s="40"/>
      <c r="D58" s="15"/>
      <c r="E58" s="45"/>
      <c r="F58" s="46"/>
      <c r="G58" s="46"/>
      <c r="H58" s="47" t="s">
        <v>66</v>
      </c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</row>
    <row r="59" spans="1:21">
      <c r="A59" s="40" t="s">
        <v>119</v>
      </c>
      <c r="B59" s="15" t="s">
        <v>120</v>
      </c>
      <c r="C59" s="40" t="s">
        <v>107</v>
      </c>
      <c r="D59" s="15" t="s">
        <v>49</v>
      </c>
      <c r="E59" s="45">
        <v>4</v>
      </c>
      <c r="F59" s="46">
        <f>SUM(E59)</f>
        <v>4</v>
      </c>
      <c r="G59" s="74">
        <v>223.87</v>
      </c>
      <c r="H59" s="47">
        <f t="shared" ref="H59:H76" si="8">SUM(F59*G59/1000)</f>
        <v>0.89548000000000005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v>0</v>
      </c>
      <c r="O59" s="48">
        <v>0</v>
      </c>
      <c r="P59" s="48">
        <v>0</v>
      </c>
      <c r="Q59" s="48">
        <v>0</v>
      </c>
      <c r="R59" s="48">
        <v>0</v>
      </c>
      <c r="S59" s="48">
        <v>0</v>
      </c>
      <c r="T59" s="48">
        <v>0</v>
      </c>
      <c r="U59" s="48">
        <f>SUM(I59:T59)</f>
        <v>0</v>
      </c>
    </row>
    <row r="60" spans="1:21" ht="12.75" customHeight="1">
      <c r="A60" s="75"/>
      <c r="B60" s="27" t="s">
        <v>116</v>
      </c>
      <c r="C60" s="75"/>
      <c r="D60" s="26"/>
      <c r="E60" s="76"/>
      <c r="F60" s="77"/>
      <c r="G60" s="72"/>
      <c r="H60" s="7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</row>
    <row r="61" spans="1:21" ht="12.75" customHeight="1">
      <c r="A61" s="75" t="s">
        <v>117</v>
      </c>
      <c r="B61" s="26" t="s">
        <v>171</v>
      </c>
      <c r="C61" s="75" t="s">
        <v>14</v>
      </c>
      <c r="D61" s="26" t="s">
        <v>49</v>
      </c>
      <c r="E61" s="76">
        <v>900</v>
      </c>
      <c r="F61" s="78">
        <v>9</v>
      </c>
      <c r="G61" s="64">
        <v>848.37</v>
      </c>
      <c r="H61" s="79">
        <v>7.6349999999999998</v>
      </c>
      <c r="I61" s="48">
        <v>0</v>
      </c>
      <c r="J61" s="48">
        <v>0</v>
      </c>
      <c r="K61" s="48">
        <v>0</v>
      </c>
      <c r="L61" s="48">
        <v>0</v>
      </c>
      <c r="M61" s="48">
        <v>0</v>
      </c>
      <c r="N61" s="48">
        <v>0</v>
      </c>
      <c r="O61" s="48">
        <v>0</v>
      </c>
      <c r="P61" s="48">
        <v>0</v>
      </c>
      <c r="Q61" s="48">
        <v>0</v>
      </c>
      <c r="R61" s="48">
        <v>0</v>
      </c>
      <c r="S61" s="48">
        <v>0</v>
      </c>
      <c r="T61" s="48">
        <v>0</v>
      </c>
      <c r="U61" s="48">
        <f>SUM(I61:T61)</f>
        <v>0</v>
      </c>
    </row>
    <row r="62" spans="1:21">
      <c r="A62" s="75"/>
      <c r="B62" s="19" t="s">
        <v>121</v>
      </c>
      <c r="C62" s="75"/>
      <c r="D62" s="26"/>
      <c r="E62" s="76"/>
      <c r="F62" s="77"/>
      <c r="G62" s="80"/>
      <c r="H62" s="78" t="s">
        <v>66</v>
      </c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</row>
    <row r="63" spans="1:21" ht="12.75" customHeight="1">
      <c r="A63" s="31" t="s">
        <v>122</v>
      </c>
      <c r="B63" s="20" t="s">
        <v>123</v>
      </c>
      <c r="C63" s="31" t="s">
        <v>107</v>
      </c>
      <c r="D63" s="12" t="s">
        <v>58</v>
      </c>
      <c r="E63" s="5">
        <v>10</v>
      </c>
      <c r="F63" s="46">
        <v>10</v>
      </c>
      <c r="G63" s="64">
        <v>237.74</v>
      </c>
      <c r="H63" s="81">
        <f t="shared" si="8"/>
        <v>2.3774000000000002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48">
        <v>0</v>
      </c>
      <c r="R63" s="48">
        <v>0</v>
      </c>
      <c r="S63" s="48">
        <v>0</v>
      </c>
      <c r="T63" s="48">
        <f>G63</f>
        <v>237.74</v>
      </c>
      <c r="U63" s="48">
        <f t="shared" ref="U63:U70" si="9">SUM(I63:T63)</f>
        <v>237.74</v>
      </c>
    </row>
    <row r="64" spans="1:21" ht="12.75" customHeight="1">
      <c r="A64" s="31" t="s">
        <v>124</v>
      </c>
      <c r="B64" s="20" t="s">
        <v>125</v>
      </c>
      <c r="C64" s="31" t="s">
        <v>107</v>
      </c>
      <c r="D64" s="12" t="s">
        <v>58</v>
      </c>
      <c r="E64" s="5">
        <v>3</v>
      </c>
      <c r="F64" s="46">
        <v>3</v>
      </c>
      <c r="G64" s="64">
        <v>81.510000000000005</v>
      </c>
      <c r="H64" s="81">
        <f t="shared" si="8"/>
        <v>0.24453000000000003</v>
      </c>
      <c r="I64" s="48">
        <v>0</v>
      </c>
      <c r="J64" s="48">
        <v>0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f t="shared" si="9"/>
        <v>0</v>
      </c>
    </row>
    <row r="65" spans="1:21" s="2" customFormat="1">
      <c r="A65" s="82" t="s">
        <v>126</v>
      </c>
      <c r="B65" s="20" t="s">
        <v>127</v>
      </c>
      <c r="C65" s="82" t="s">
        <v>128</v>
      </c>
      <c r="D65" s="12" t="s">
        <v>49</v>
      </c>
      <c r="E65" s="45">
        <v>13313</v>
      </c>
      <c r="F65" s="65">
        <f>SUM(E65/100)</f>
        <v>133.13</v>
      </c>
      <c r="G65" s="64">
        <v>226.79</v>
      </c>
      <c r="H65" s="81">
        <f t="shared" si="8"/>
        <v>30.192552699999997</v>
      </c>
      <c r="I65" s="63">
        <v>0</v>
      </c>
      <c r="J65" s="63">
        <v>0</v>
      </c>
      <c r="K65" s="63">
        <v>0</v>
      </c>
      <c r="L65" s="63">
        <v>0</v>
      </c>
      <c r="M65" s="63">
        <f>F65*G65</f>
        <v>30192.552699999997</v>
      </c>
      <c r="N65" s="63">
        <v>0</v>
      </c>
      <c r="O65" s="63">
        <v>0</v>
      </c>
      <c r="P65" s="63">
        <v>0</v>
      </c>
      <c r="Q65" s="63">
        <v>0</v>
      </c>
      <c r="R65" s="63">
        <v>0</v>
      </c>
      <c r="S65" s="63">
        <v>0</v>
      </c>
      <c r="T65" s="63">
        <v>0</v>
      </c>
      <c r="U65" s="48">
        <f t="shared" si="9"/>
        <v>30192.552699999997</v>
      </c>
    </row>
    <row r="66" spans="1:21" ht="25.5">
      <c r="A66" s="31" t="s">
        <v>129</v>
      </c>
      <c r="B66" s="20" t="s">
        <v>130</v>
      </c>
      <c r="C66" s="31" t="s">
        <v>131</v>
      </c>
      <c r="D66" s="12"/>
      <c r="E66" s="45">
        <v>13313</v>
      </c>
      <c r="F66" s="64">
        <f>SUM(E66/1000)</f>
        <v>13.313000000000001</v>
      </c>
      <c r="G66" s="64">
        <v>176.61</v>
      </c>
      <c r="H66" s="81">
        <f t="shared" si="8"/>
        <v>2.3512089300000003</v>
      </c>
      <c r="I66" s="48">
        <v>0</v>
      </c>
      <c r="J66" s="48">
        <v>0</v>
      </c>
      <c r="K66" s="48">
        <v>0</v>
      </c>
      <c r="L66" s="48">
        <v>0</v>
      </c>
      <c r="M66" s="48">
        <f>F66*G66</f>
        <v>2351.2089300000002</v>
      </c>
      <c r="N66" s="48">
        <v>0</v>
      </c>
      <c r="O66" s="48">
        <v>0</v>
      </c>
      <c r="P66" s="48">
        <v>0</v>
      </c>
      <c r="Q66" s="48">
        <v>0</v>
      </c>
      <c r="R66" s="48">
        <v>0</v>
      </c>
      <c r="S66" s="48">
        <v>0</v>
      </c>
      <c r="T66" s="48">
        <v>0</v>
      </c>
      <c r="U66" s="48">
        <f t="shared" si="9"/>
        <v>2351.2089300000002</v>
      </c>
    </row>
    <row r="67" spans="1:21">
      <c r="A67" s="31" t="s">
        <v>132</v>
      </c>
      <c r="B67" s="20" t="s">
        <v>133</v>
      </c>
      <c r="C67" s="31" t="s">
        <v>134</v>
      </c>
      <c r="D67" s="12" t="s">
        <v>49</v>
      </c>
      <c r="E67" s="45">
        <v>2184</v>
      </c>
      <c r="F67" s="64">
        <f>SUM(E67/100)</f>
        <v>21.84</v>
      </c>
      <c r="G67" s="64">
        <v>2217.7800000000002</v>
      </c>
      <c r="H67" s="81">
        <f t="shared" si="8"/>
        <v>48.436315200000003</v>
      </c>
      <c r="I67" s="48">
        <v>0</v>
      </c>
      <c r="J67" s="48">
        <v>0</v>
      </c>
      <c r="K67" s="48">
        <v>0</v>
      </c>
      <c r="L67" s="48">
        <v>0</v>
      </c>
      <c r="M67" s="48">
        <f>F67*G67</f>
        <v>48436.315200000005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48">
        <v>0</v>
      </c>
      <c r="T67" s="48">
        <v>0</v>
      </c>
      <c r="U67" s="48">
        <f t="shared" si="9"/>
        <v>48436.315200000005</v>
      </c>
    </row>
    <row r="68" spans="1:21">
      <c r="A68" s="31"/>
      <c r="B68" s="21" t="s">
        <v>172</v>
      </c>
      <c r="C68" s="31" t="s">
        <v>56</v>
      </c>
      <c r="D68" s="12"/>
      <c r="E68" s="45">
        <v>11.6</v>
      </c>
      <c r="F68" s="64">
        <f>SUM(E68)</f>
        <v>11.6</v>
      </c>
      <c r="G68" s="64">
        <v>42.67</v>
      </c>
      <c r="H68" s="81">
        <f t="shared" si="8"/>
        <v>0.49497199999999997</v>
      </c>
      <c r="I68" s="48">
        <v>0</v>
      </c>
      <c r="J68" s="48">
        <v>0</v>
      </c>
      <c r="K68" s="48">
        <v>0</v>
      </c>
      <c r="L68" s="48">
        <v>0</v>
      </c>
      <c r="M68" s="48">
        <f>F68*G68</f>
        <v>494.97199999999998</v>
      </c>
      <c r="N68" s="48">
        <v>0</v>
      </c>
      <c r="O68" s="48">
        <v>0</v>
      </c>
      <c r="P68" s="48">
        <v>0</v>
      </c>
      <c r="Q68" s="48">
        <v>0</v>
      </c>
      <c r="R68" s="48">
        <v>0</v>
      </c>
      <c r="S68" s="48">
        <v>0</v>
      </c>
      <c r="T68" s="48">
        <v>0</v>
      </c>
      <c r="U68" s="48">
        <f t="shared" si="9"/>
        <v>494.97199999999998</v>
      </c>
    </row>
    <row r="69" spans="1:21" ht="25.5">
      <c r="A69" s="31"/>
      <c r="B69" s="21" t="s">
        <v>173</v>
      </c>
      <c r="C69" s="31" t="s">
        <v>56</v>
      </c>
      <c r="D69" s="12"/>
      <c r="E69" s="45">
        <v>11.6</v>
      </c>
      <c r="F69" s="64">
        <f>SUM(E69)</f>
        <v>11.6</v>
      </c>
      <c r="G69" s="64">
        <v>39.81</v>
      </c>
      <c r="H69" s="81">
        <f t="shared" si="8"/>
        <v>0.46179599999999998</v>
      </c>
      <c r="I69" s="48">
        <v>0</v>
      </c>
      <c r="J69" s="48">
        <v>0</v>
      </c>
      <c r="K69" s="48">
        <v>0</v>
      </c>
      <c r="L69" s="48">
        <v>0</v>
      </c>
      <c r="M69" s="48">
        <f>F69*G69</f>
        <v>461.79599999999999</v>
      </c>
      <c r="N69" s="48">
        <v>0</v>
      </c>
      <c r="O69" s="48">
        <v>0</v>
      </c>
      <c r="P69" s="48">
        <v>0</v>
      </c>
      <c r="Q69" s="48">
        <v>0</v>
      </c>
      <c r="R69" s="48">
        <v>0</v>
      </c>
      <c r="S69" s="48">
        <v>0</v>
      </c>
      <c r="T69" s="48">
        <v>0</v>
      </c>
      <c r="U69" s="48">
        <f t="shared" si="9"/>
        <v>461.79599999999999</v>
      </c>
    </row>
    <row r="70" spans="1:21">
      <c r="A70" s="31" t="s">
        <v>135</v>
      </c>
      <c r="B70" s="12" t="s">
        <v>136</v>
      </c>
      <c r="C70" s="31" t="s">
        <v>137</v>
      </c>
      <c r="D70" s="12" t="s">
        <v>49</v>
      </c>
      <c r="E70" s="5">
        <v>5</v>
      </c>
      <c r="F70" s="46">
        <f>SUM(E70)</f>
        <v>5</v>
      </c>
      <c r="G70" s="64">
        <v>53.32</v>
      </c>
      <c r="H70" s="81">
        <f t="shared" si="8"/>
        <v>0.2666</v>
      </c>
      <c r="I70" s="48">
        <v>0</v>
      </c>
      <c r="J70" s="48">
        <v>0</v>
      </c>
      <c r="K70" s="48">
        <v>0</v>
      </c>
      <c r="L70" s="48">
        <v>0</v>
      </c>
      <c r="M70" s="48">
        <v>0</v>
      </c>
      <c r="N70" s="48">
        <v>0</v>
      </c>
      <c r="O70" s="48">
        <v>0</v>
      </c>
      <c r="P70" s="48">
        <v>0</v>
      </c>
      <c r="Q70" s="48">
        <f>F70*G70</f>
        <v>266.60000000000002</v>
      </c>
      <c r="R70" s="48">
        <v>0</v>
      </c>
      <c r="S70" s="48">
        <v>0</v>
      </c>
      <c r="T70" s="48">
        <v>0</v>
      </c>
      <c r="U70" s="48">
        <f t="shared" si="9"/>
        <v>266.60000000000002</v>
      </c>
    </row>
    <row r="71" spans="1:21">
      <c r="A71" s="31"/>
      <c r="B71" s="22" t="s">
        <v>138</v>
      </c>
      <c r="C71" s="31"/>
      <c r="D71" s="12"/>
      <c r="E71" s="5"/>
      <c r="F71" s="64"/>
      <c r="G71" s="64"/>
      <c r="H71" s="81" t="s">
        <v>66</v>
      </c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</row>
    <row r="72" spans="1:21">
      <c r="A72" s="31" t="s">
        <v>139</v>
      </c>
      <c r="B72" s="12" t="s">
        <v>140</v>
      </c>
      <c r="C72" s="31" t="s">
        <v>141</v>
      </c>
      <c r="D72" s="12"/>
      <c r="E72" s="5">
        <v>2</v>
      </c>
      <c r="F72" s="64">
        <v>0.2</v>
      </c>
      <c r="G72" s="64">
        <v>536.23</v>
      </c>
      <c r="H72" s="81">
        <f t="shared" si="8"/>
        <v>0.10724600000000001</v>
      </c>
      <c r="I72" s="48">
        <v>0</v>
      </c>
      <c r="J72" s="48">
        <v>0</v>
      </c>
      <c r="K72" s="48">
        <v>0</v>
      </c>
      <c r="L72" s="48">
        <v>0</v>
      </c>
      <c r="M72" s="48">
        <v>0</v>
      </c>
      <c r="N72" s="48">
        <v>0</v>
      </c>
      <c r="O72" s="48">
        <v>0</v>
      </c>
      <c r="P72" s="48">
        <v>0</v>
      </c>
      <c r="Q72" s="48">
        <v>0</v>
      </c>
      <c r="R72" s="48">
        <v>0</v>
      </c>
      <c r="S72" s="48">
        <v>0</v>
      </c>
      <c r="T72" s="48">
        <v>0</v>
      </c>
      <c r="U72" s="48">
        <f>SUM(I72:T72)</f>
        <v>0</v>
      </c>
    </row>
    <row r="73" spans="1:21">
      <c r="A73" s="31" t="s">
        <v>142</v>
      </c>
      <c r="B73" s="12" t="s">
        <v>143</v>
      </c>
      <c r="C73" s="31" t="s">
        <v>107</v>
      </c>
      <c r="D73" s="12"/>
      <c r="E73" s="5">
        <v>1</v>
      </c>
      <c r="F73" s="46">
        <f>SUM(E73)</f>
        <v>1</v>
      </c>
      <c r="G73" s="64">
        <v>383.25</v>
      </c>
      <c r="H73" s="81">
        <f t="shared" si="8"/>
        <v>0.38324999999999998</v>
      </c>
      <c r="I73" s="48">
        <v>0</v>
      </c>
      <c r="J73" s="48">
        <v>0</v>
      </c>
      <c r="K73" s="48">
        <v>0</v>
      </c>
      <c r="L73" s="48">
        <v>0</v>
      </c>
      <c r="M73" s="48">
        <v>0</v>
      </c>
      <c r="N73" s="48">
        <v>0</v>
      </c>
      <c r="O73" s="48">
        <v>0</v>
      </c>
      <c r="P73" s="48">
        <v>0</v>
      </c>
      <c r="Q73" s="48">
        <v>0</v>
      </c>
      <c r="R73" s="48">
        <v>0</v>
      </c>
      <c r="S73" s="48">
        <v>0</v>
      </c>
      <c r="T73" s="48">
        <v>0</v>
      </c>
      <c r="U73" s="48">
        <f>SUM(I73:T73)</f>
        <v>0</v>
      </c>
    </row>
    <row r="74" spans="1:21" hidden="1">
      <c r="A74" s="31" t="s">
        <v>144</v>
      </c>
      <c r="B74" s="12" t="s">
        <v>145</v>
      </c>
      <c r="C74" s="31" t="s">
        <v>146</v>
      </c>
      <c r="D74" s="12"/>
      <c r="E74" s="5"/>
      <c r="F74" s="64"/>
      <c r="G74" s="64">
        <v>31.54</v>
      </c>
      <c r="H74" s="81">
        <f t="shared" si="8"/>
        <v>0</v>
      </c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</row>
    <row r="75" spans="1:21">
      <c r="A75" s="31"/>
      <c r="B75" s="83" t="s">
        <v>147</v>
      </c>
      <c r="C75" s="31"/>
      <c r="D75" s="12"/>
      <c r="E75" s="5"/>
      <c r="F75" s="64"/>
      <c r="G75" s="64" t="s">
        <v>66</v>
      </c>
      <c r="H75" s="81" t="s">
        <v>66</v>
      </c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</row>
    <row r="76" spans="1:21" s="2" customFormat="1">
      <c r="A76" s="82" t="s">
        <v>148</v>
      </c>
      <c r="B76" s="84" t="s">
        <v>149</v>
      </c>
      <c r="C76" s="82" t="s">
        <v>134</v>
      </c>
      <c r="D76" s="20"/>
      <c r="E76" s="85"/>
      <c r="F76" s="65">
        <v>0.1</v>
      </c>
      <c r="G76" s="65">
        <v>2949.85</v>
      </c>
      <c r="H76" s="81">
        <f t="shared" si="8"/>
        <v>0.294985</v>
      </c>
      <c r="I76" s="63">
        <v>0</v>
      </c>
      <c r="J76" s="63">
        <v>0</v>
      </c>
      <c r="K76" s="63">
        <v>0</v>
      </c>
      <c r="L76" s="63">
        <v>0</v>
      </c>
      <c r="M76" s="63">
        <v>0</v>
      </c>
      <c r="N76" s="63">
        <v>0</v>
      </c>
      <c r="O76" s="63">
        <v>0</v>
      </c>
      <c r="P76" s="63">
        <v>0</v>
      </c>
      <c r="Q76" s="63">
        <v>0</v>
      </c>
      <c r="R76" s="63">
        <v>0</v>
      </c>
      <c r="S76" s="63">
        <v>0</v>
      </c>
      <c r="T76" s="63">
        <v>0</v>
      </c>
      <c r="U76" s="48">
        <f>SUM(I76:T76)</f>
        <v>0</v>
      </c>
    </row>
    <row r="77" spans="1:21" s="25" customFormat="1">
      <c r="A77" s="86"/>
      <c r="B77" s="24" t="s">
        <v>37</v>
      </c>
      <c r="C77" s="87"/>
      <c r="D77" s="88"/>
      <c r="E77" s="89"/>
      <c r="F77" s="70"/>
      <c r="G77" s="70"/>
      <c r="H77" s="90">
        <f>SUM(H55:H76)</f>
        <v>109.314627966</v>
      </c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>
        <f>SUM(U55:U76)</f>
        <v>97614.355366000003</v>
      </c>
    </row>
    <row r="78" spans="1:21">
      <c r="A78" s="148" t="s">
        <v>200</v>
      </c>
      <c r="B78" s="15" t="s">
        <v>201</v>
      </c>
      <c r="C78" s="92" t="s">
        <v>202</v>
      </c>
      <c r="D78" s="93"/>
      <c r="E78" s="149"/>
      <c r="F78" s="94">
        <f>80/10</f>
        <v>8</v>
      </c>
      <c r="G78" s="95">
        <v>9</v>
      </c>
      <c r="H78" s="81">
        <f>G78*F78/1000</f>
        <v>7.1999999999999995E-2</v>
      </c>
      <c r="I78" s="48">
        <v>0</v>
      </c>
      <c r="J78" s="48">
        <v>0</v>
      </c>
      <c r="K78" s="48">
        <v>0</v>
      </c>
      <c r="L78" s="48">
        <v>0</v>
      </c>
      <c r="M78" s="49">
        <v>0</v>
      </c>
      <c r="N78" s="48">
        <f>F78*G78</f>
        <v>72</v>
      </c>
      <c r="O78" s="48">
        <v>0</v>
      </c>
      <c r="P78" s="150">
        <v>0</v>
      </c>
      <c r="Q78" s="150">
        <v>0</v>
      </c>
      <c r="R78" s="150">
        <v>0</v>
      </c>
      <c r="S78" s="150">
        <v>0</v>
      </c>
      <c r="T78" s="150">
        <v>0</v>
      </c>
      <c r="U78" s="150">
        <f>SUM(I78:T78)</f>
        <v>72</v>
      </c>
    </row>
    <row r="79" spans="1:21" ht="19.149999999999999" customHeight="1">
      <c r="A79" s="96"/>
      <c r="B79" s="91" t="s">
        <v>150</v>
      </c>
      <c r="C79" s="31" t="s">
        <v>151</v>
      </c>
      <c r="D79" s="97"/>
      <c r="E79" s="64">
        <v>2820</v>
      </c>
      <c r="F79" s="64">
        <f>SUM(E79*12)</f>
        <v>33840</v>
      </c>
      <c r="G79" s="98">
        <v>2.54</v>
      </c>
      <c r="H79" s="81">
        <f>SUM(F79*G79/1000)</f>
        <v>85.953600000000009</v>
      </c>
      <c r="I79" s="48">
        <f>F79/12*G79</f>
        <v>7162.8</v>
      </c>
      <c r="J79" s="48">
        <f>F79/12*G79</f>
        <v>7162.8</v>
      </c>
      <c r="K79" s="48">
        <f>F79/12*G79</f>
        <v>7162.8</v>
      </c>
      <c r="L79" s="48">
        <f>F79/12*G79</f>
        <v>7162.8</v>
      </c>
      <c r="M79" s="48">
        <f>F79/12*G79</f>
        <v>7162.8</v>
      </c>
      <c r="N79" s="48">
        <f>F79/12*G79</f>
        <v>7162.8</v>
      </c>
      <c r="O79" s="48">
        <f>F79/12*G79</f>
        <v>7162.8</v>
      </c>
      <c r="P79" s="48">
        <f>F79/12*G79</f>
        <v>7162.8</v>
      </c>
      <c r="Q79" s="48">
        <f>F79/12*G79</f>
        <v>7162.8</v>
      </c>
      <c r="R79" s="48">
        <f>F79/12*G79</f>
        <v>7162.8</v>
      </c>
      <c r="S79" s="48">
        <f>F79/12*G79</f>
        <v>7162.8</v>
      </c>
      <c r="T79" s="48">
        <f>F79/12*G79</f>
        <v>7162.8</v>
      </c>
      <c r="U79" s="48">
        <f>SUM(I79:T79)</f>
        <v>85953.60000000002</v>
      </c>
    </row>
    <row r="80" spans="1:21" s="23" customFormat="1">
      <c r="A80" s="99"/>
      <c r="B80" s="24" t="s">
        <v>37</v>
      </c>
      <c r="C80" s="100"/>
      <c r="D80" s="101"/>
      <c r="E80" s="102"/>
      <c r="F80" s="55"/>
      <c r="G80" s="103"/>
      <c r="H80" s="56">
        <f>SUM(H78:H79)</f>
        <v>86.025600000000011</v>
      </c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>
        <f>SUM(U78:U79)</f>
        <v>86025.60000000002</v>
      </c>
    </row>
    <row r="81" spans="1:21" ht="34.5" customHeight="1">
      <c r="A81" s="33"/>
      <c r="B81" s="12" t="s">
        <v>152</v>
      </c>
      <c r="C81" s="31"/>
      <c r="D81" s="32"/>
      <c r="E81" s="45">
        <f>E79</f>
        <v>2820</v>
      </c>
      <c r="F81" s="64">
        <f>E81*12</f>
        <v>33840</v>
      </c>
      <c r="G81" s="64">
        <v>2.0499999999999998</v>
      </c>
      <c r="H81" s="81">
        <f>F81*G81/1000</f>
        <v>69.372</v>
      </c>
      <c r="I81" s="48">
        <f>F81/12*G81</f>
        <v>5780.9999999999991</v>
      </c>
      <c r="J81" s="48">
        <f>F81/12*G81</f>
        <v>5780.9999999999991</v>
      </c>
      <c r="K81" s="48">
        <f>F81/12*G81</f>
        <v>5780.9999999999991</v>
      </c>
      <c r="L81" s="48">
        <f>F81/12*G81</f>
        <v>5780.9999999999991</v>
      </c>
      <c r="M81" s="48">
        <f>F81/12*G81</f>
        <v>5780.9999999999991</v>
      </c>
      <c r="N81" s="48">
        <f>F81/12*G81</f>
        <v>5780.9999999999991</v>
      </c>
      <c r="O81" s="48">
        <f>F81/12*G81</f>
        <v>5780.9999999999991</v>
      </c>
      <c r="P81" s="48">
        <f>F81/12*G81</f>
        <v>5780.9999999999991</v>
      </c>
      <c r="Q81" s="48">
        <f>F81/12*G81</f>
        <v>5780.9999999999991</v>
      </c>
      <c r="R81" s="48">
        <f>F81/12*G81</f>
        <v>5780.9999999999991</v>
      </c>
      <c r="S81" s="48">
        <f>F81/12*G81</f>
        <v>5780.9999999999991</v>
      </c>
      <c r="T81" s="48">
        <f>F81/12*G81</f>
        <v>5780.9999999999991</v>
      </c>
      <c r="U81" s="48">
        <f>SUM(I81:T81)</f>
        <v>69371.999999999985</v>
      </c>
    </row>
    <row r="82" spans="1:21" s="23" customFormat="1">
      <c r="A82" s="99"/>
      <c r="B82" s="104" t="s">
        <v>153</v>
      </c>
      <c r="C82" s="105"/>
      <c r="D82" s="104"/>
      <c r="E82" s="55"/>
      <c r="F82" s="55"/>
      <c r="G82" s="55"/>
      <c r="H82" s="90">
        <f>SUM(H81)</f>
        <v>69.372</v>
      </c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144">
        <f>SUM(U81)</f>
        <v>69371.999999999985</v>
      </c>
    </row>
    <row r="83" spans="1:21" s="23" customFormat="1">
      <c r="A83" s="99"/>
      <c r="B83" s="104" t="s">
        <v>154</v>
      </c>
      <c r="C83" s="106"/>
      <c r="D83" s="107"/>
      <c r="E83" s="108"/>
      <c r="F83" s="108"/>
      <c r="G83" s="108"/>
      <c r="H83" s="90">
        <f>SUM(H82+H80+H77+H53+H40+H31+H21)</f>
        <v>654.64766179120011</v>
      </c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44">
        <f>SUM(U82+U80+U77+U53+U40+U31+U21)</f>
        <v>623386.56322853325</v>
      </c>
    </row>
    <row r="84" spans="1:21">
      <c r="A84" s="33"/>
      <c r="B84" s="32" t="s">
        <v>155</v>
      </c>
      <c r="C84" s="31"/>
      <c r="D84" s="32"/>
      <c r="E84" s="64"/>
      <c r="F84" s="64"/>
      <c r="G84" s="64" t="s">
        <v>156</v>
      </c>
      <c r="H84" s="109">
        <f>E81</f>
        <v>2820</v>
      </c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</row>
    <row r="85" spans="1:21" s="23" customFormat="1">
      <c r="A85" s="99"/>
      <c r="B85" s="107" t="s">
        <v>157</v>
      </c>
      <c r="C85" s="106"/>
      <c r="D85" s="107"/>
      <c r="E85" s="108"/>
      <c r="F85" s="108"/>
      <c r="G85" s="108"/>
      <c r="H85" s="110">
        <f>SUM(H83/H84/12*1000)</f>
        <v>19.345380076572109</v>
      </c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45"/>
    </row>
    <row r="86" spans="1:21">
      <c r="A86" s="33"/>
      <c r="B86" s="32"/>
      <c r="C86" s="31"/>
      <c r="D86" s="32"/>
      <c r="E86" s="64"/>
      <c r="F86" s="64"/>
      <c r="G86" s="64"/>
      <c r="H86" s="111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146"/>
    </row>
    <row r="87" spans="1:21">
      <c r="A87" s="33"/>
      <c r="B87" s="83" t="s">
        <v>158</v>
      </c>
      <c r="C87" s="31"/>
      <c r="D87" s="32"/>
      <c r="E87" s="64"/>
      <c r="F87" s="64"/>
      <c r="G87" s="64"/>
      <c r="H87" s="64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</row>
    <row r="88" spans="1:21" ht="25.5" customHeight="1">
      <c r="A88" s="34" t="s">
        <v>175</v>
      </c>
      <c r="B88" s="36" t="s">
        <v>174</v>
      </c>
      <c r="C88" s="13" t="s">
        <v>52</v>
      </c>
      <c r="D88" s="13"/>
      <c r="E88" s="5"/>
      <c r="F88" s="4">
        <v>5</v>
      </c>
      <c r="G88" s="5">
        <v>72.290000000000006</v>
      </c>
      <c r="H88" s="28">
        <f>G88*F88/1000</f>
        <v>0.36145000000000005</v>
      </c>
      <c r="I88" s="48">
        <f>G88</f>
        <v>72.290000000000006</v>
      </c>
      <c r="J88" s="48">
        <v>0</v>
      </c>
      <c r="K88" s="48">
        <v>0</v>
      </c>
      <c r="L88" s="48">
        <f>G88</f>
        <v>72.290000000000006</v>
      </c>
      <c r="M88" s="48">
        <v>0</v>
      </c>
      <c r="N88" s="48">
        <v>0</v>
      </c>
      <c r="O88" s="48">
        <v>0</v>
      </c>
      <c r="P88" s="48">
        <f>G88</f>
        <v>72.290000000000006</v>
      </c>
      <c r="Q88" s="48">
        <v>0</v>
      </c>
      <c r="R88" s="48">
        <v>0</v>
      </c>
      <c r="S88" s="48">
        <v>0</v>
      </c>
      <c r="T88" s="48">
        <f>G88*2</f>
        <v>144.58000000000001</v>
      </c>
      <c r="U88" s="48">
        <f>SUM(I88:T88)</f>
        <v>361.45000000000005</v>
      </c>
    </row>
    <row r="89" spans="1:21" ht="25.5" customHeight="1">
      <c r="A89" s="135" t="s">
        <v>191</v>
      </c>
      <c r="B89" s="36" t="s">
        <v>190</v>
      </c>
      <c r="C89" s="35" t="s">
        <v>107</v>
      </c>
      <c r="D89" s="13"/>
      <c r="E89" s="5"/>
      <c r="F89" s="4">
        <v>1</v>
      </c>
      <c r="G89" s="5">
        <v>1992.08</v>
      </c>
      <c r="H89" s="28">
        <f>G89*F89/1000</f>
        <v>1.9920799999999999</v>
      </c>
      <c r="I89" s="48">
        <f>G89</f>
        <v>1992.08</v>
      </c>
      <c r="J89" s="48">
        <v>0</v>
      </c>
      <c r="K89" s="48">
        <v>0</v>
      </c>
      <c r="L89" s="48">
        <v>0</v>
      </c>
      <c r="M89" s="48">
        <v>0</v>
      </c>
      <c r="N89" s="48">
        <v>0</v>
      </c>
      <c r="O89" s="48">
        <v>0</v>
      </c>
      <c r="P89" s="48">
        <v>0</v>
      </c>
      <c r="Q89" s="48">
        <v>0</v>
      </c>
      <c r="R89" s="48">
        <v>0</v>
      </c>
      <c r="S89" s="48">
        <v>0</v>
      </c>
      <c r="T89" s="48">
        <v>0</v>
      </c>
      <c r="U89" s="48">
        <f>SUM(I89:T89)</f>
        <v>1992.08</v>
      </c>
    </row>
    <row r="90" spans="1:21" ht="25.5" customHeight="1">
      <c r="A90" s="136" t="s">
        <v>193</v>
      </c>
      <c r="B90" s="36" t="s">
        <v>192</v>
      </c>
      <c r="C90" s="135" t="s">
        <v>159</v>
      </c>
      <c r="D90" s="13"/>
      <c r="E90" s="5"/>
      <c r="F90" s="4">
        <v>9.1300000000000006E-2</v>
      </c>
      <c r="G90" s="5">
        <v>8150.19</v>
      </c>
      <c r="H90" s="28">
        <f>F90*G90/1000</f>
        <v>0.74411234699999995</v>
      </c>
      <c r="I90" s="48">
        <f>G90*0.0913</f>
        <v>744.112347</v>
      </c>
      <c r="J90" s="48">
        <v>0</v>
      </c>
      <c r="K90" s="48">
        <v>0</v>
      </c>
      <c r="L90" s="48">
        <v>0</v>
      </c>
      <c r="M90" s="48">
        <v>0</v>
      </c>
      <c r="N90" s="48">
        <v>0</v>
      </c>
      <c r="O90" s="48">
        <v>0</v>
      </c>
      <c r="P90" s="48">
        <v>0</v>
      </c>
      <c r="Q90" s="48">
        <v>0</v>
      </c>
      <c r="R90" s="48">
        <v>0</v>
      </c>
      <c r="S90" s="48">
        <v>0</v>
      </c>
      <c r="T90" s="48">
        <v>0</v>
      </c>
      <c r="U90" s="48">
        <f>SUM(I90:T90)</f>
        <v>744.112347</v>
      </c>
    </row>
    <row r="91" spans="1:21" ht="25.5" customHeight="1">
      <c r="A91" s="137" t="s">
        <v>195</v>
      </c>
      <c r="B91" s="138" t="s">
        <v>196</v>
      </c>
      <c r="C91" s="137" t="s">
        <v>197</v>
      </c>
      <c r="D91" s="13"/>
      <c r="E91" s="5"/>
      <c r="F91" s="4">
        <v>15</v>
      </c>
      <c r="G91" s="5">
        <v>1372</v>
      </c>
      <c r="H91" s="28">
        <f>G91*F91/1000</f>
        <v>20.58</v>
      </c>
      <c r="I91" s="48">
        <v>0</v>
      </c>
      <c r="J91" s="48">
        <f>G91*5</f>
        <v>6860</v>
      </c>
      <c r="K91" s="48">
        <f>G91*6</f>
        <v>8232</v>
      </c>
      <c r="L91" s="48">
        <v>0</v>
      </c>
      <c r="M91" s="48">
        <v>0</v>
      </c>
      <c r="N91" s="48">
        <v>0</v>
      </c>
      <c r="O91" s="48">
        <v>0</v>
      </c>
      <c r="P91" s="48">
        <v>0</v>
      </c>
      <c r="Q91" s="48">
        <v>0</v>
      </c>
      <c r="R91" s="48">
        <v>0</v>
      </c>
      <c r="S91" s="48">
        <f>G91*2</f>
        <v>2744</v>
      </c>
      <c r="T91" s="48">
        <f>G91*2</f>
        <v>2744</v>
      </c>
      <c r="U91" s="48">
        <f t="shared" ref="U91:U93" si="10">SUM(I91:T91)</f>
        <v>20580</v>
      </c>
    </row>
    <row r="92" spans="1:21" ht="25.5" customHeight="1">
      <c r="A92" s="34" t="s">
        <v>195</v>
      </c>
      <c r="B92" s="151" t="s">
        <v>204</v>
      </c>
      <c r="C92" s="152" t="s">
        <v>205</v>
      </c>
      <c r="D92" s="13"/>
      <c r="E92" s="5"/>
      <c r="F92" s="4">
        <v>1</v>
      </c>
      <c r="G92" s="5">
        <v>1678.06</v>
      </c>
      <c r="H92" s="28">
        <f>G92*F92/1000</f>
        <v>1.6780599999999999</v>
      </c>
      <c r="I92" s="48">
        <v>0</v>
      </c>
      <c r="J92" s="48">
        <v>0</v>
      </c>
      <c r="K92" s="48">
        <v>0</v>
      </c>
      <c r="L92" s="48">
        <f>G92</f>
        <v>1678.06</v>
      </c>
      <c r="M92" s="48">
        <v>0</v>
      </c>
      <c r="N92" s="48">
        <v>0</v>
      </c>
      <c r="O92" s="48">
        <v>0</v>
      </c>
      <c r="P92" s="48">
        <v>0</v>
      </c>
      <c r="Q92" s="48">
        <v>0</v>
      </c>
      <c r="R92" s="48">
        <v>0</v>
      </c>
      <c r="S92" s="48">
        <v>0</v>
      </c>
      <c r="T92" s="48">
        <v>0</v>
      </c>
      <c r="U92" s="48">
        <f t="shared" si="10"/>
        <v>1678.06</v>
      </c>
    </row>
    <row r="93" spans="1:21" ht="25.5" customHeight="1">
      <c r="A93" s="35" t="s">
        <v>208</v>
      </c>
      <c r="B93" s="36" t="s">
        <v>206</v>
      </c>
      <c r="C93" s="35" t="s">
        <v>207</v>
      </c>
      <c r="D93" s="13"/>
      <c r="E93" s="5"/>
      <c r="F93" s="4">
        <v>4</v>
      </c>
      <c r="G93" s="5">
        <v>179.12</v>
      </c>
      <c r="H93" s="28">
        <f>G93*F93/1000</f>
        <v>0.71648000000000001</v>
      </c>
      <c r="I93" s="48">
        <v>0</v>
      </c>
      <c r="J93" s="48">
        <v>0</v>
      </c>
      <c r="K93" s="48">
        <v>0</v>
      </c>
      <c r="L93" s="48">
        <v>0</v>
      </c>
      <c r="M93" s="48">
        <f>G93*2</f>
        <v>358.24</v>
      </c>
      <c r="N93" s="48">
        <v>0</v>
      </c>
      <c r="O93" s="48">
        <v>0</v>
      </c>
      <c r="P93" s="48">
        <v>0</v>
      </c>
      <c r="Q93" s="48">
        <f>G93</f>
        <v>179.12</v>
      </c>
      <c r="R93" s="48">
        <v>0</v>
      </c>
      <c r="S93" s="48">
        <v>0</v>
      </c>
      <c r="T93" s="48">
        <f>G93</f>
        <v>179.12</v>
      </c>
      <c r="U93" s="48">
        <f t="shared" si="10"/>
        <v>716.48</v>
      </c>
    </row>
    <row r="94" spans="1:21" ht="25.5" customHeight="1">
      <c r="A94" s="136" t="s">
        <v>210</v>
      </c>
      <c r="B94" s="36" t="s">
        <v>211</v>
      </c>
      <c r="C94" s="35" t="s">
        <v>107</v>
      </c>
      <c r="D94" s="32"/>
      <c r="E94" s="64"/>
      <c r="F94" s="64">
        <v>3</v>
      </c>
      <c r="G94" s="64">
        <v>167.91</v>
      </c>
      <c r="H94" s="81">
        <f t="shared" ref="H94:H99" si="11">G94*F94/1000</f>
        <v>0.50373000000000001</v>
      </c>
      <c r="I94" s="48">
        <v>0</v>
      </c>
      <c r="J94" s="48">
        <v>0</v>
      </c>
      <c r="K94" s="48">
        <v>0</v>
      </c>
      <c r="L94" s="48">
        <v>0</v>
      </c>
      <c r="M94" s="48">
        <v>0</v>
      </c>
      <c r="N94" s="48">
        <v>0</v>
      </c>
      <c r="O94" s="48">
        <f>G94*2</f>
        <v>335.82</v>
      </c>
      <c r="P94" s="48">
        <v>0</v>
      </c>
      <c r="Q94" s="48">
        <v>0</v>
      </c>
      <c r="R94" s="48">
        <v>0</v>
      </c>
      <c r="S94" s="48">
        <f>G94</f>
        <v>167.91</v>
      </c>
      <c r="T94" s="48">
        <v>0</v>
      </c>
      <c r="U94" s="48">
        <f t="shared" ref="U94:U99" si="12">SUM(I94:T94)</f>
        <v>503.73</v>
      </c>
    </row>
    <row r="95" spans="1:21" ht="25.5" customHeight="1">
      <c r="A95" s="137" t="s">
        <v>213</v>
      </c>
      <c r="B95" s="138" t="s">
        <v>212</v>
      </c>
      <c r="C95" s="137" t="s">
        <v>159</v>
      </c>
      <c r="D95" s="32"/>
      <c r="E95" s="64"/>
      <c r="F95" s="64">
        <v>2</v>
      </c>
      <c r="G95" s="64">
        <v>5156.5600000000004</v>
      </c>
      <c r="H95" s="81">
        <f t="shared" si="11"/>
        <v>10.313120000000001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8">
        <v>0</v>
      </c>
      <c r="O95" s="48">
        <v>0</v>
      </c>
      <c r="P95" s="48">
        <f>G95*2</f>
        <v>10313.120000000001</v>
      </c>
      <c r="Q95" s="48">
        <v>0</v>
      </c>
      <c r="R95" s="48">
        <v>0</v>
      </c>
      <c r="S95" s="48">
        <v>0</v>
      </c>
      <c r="T95" s="48">
        <v>0</v>
      </c>
      <c r="U95" s="48">
        <f t="shared" si="12"/>
        <v>10313.120000000001</v>
      </c>
    </row>
    <row r="96" spans="1:21" ht="25.5" customHeight="1">
      <c r="A96" s="136" t="s">
        <v>215</v>
      </c>
      <c r="B96" s="36" t="s">
        <v>214</v>
      </c>
      <c r="C96" s="135" t="s">
        <v>202</v>
      </c>
      <c r="D96" s="32"/>
      <c r="E96" s="64"/>
      <c r="F96" s="64">
        <v>0.25</v>
      </c>
      <c r="G96" s="64">
        <v>3867.16</v>
      </c>
      <c r="H96" s="81">
        <f t="shared" si="11"/>
        <v>0.96678999999999993</v>
      </c>
      <c r="I96" s="48">
        <v>0</v>
      </c>
      <c r="J96" s="48">
        <v>0</v>
      </c>
      <c r="K96" s="48">
        <v>0</v>
      </c>
      <c r="L96" s="48">
        <v>0</v>
      </c>
      <c r="M96" s="48">
        <v>0</v>
      </c>
      <c r="N96" s="48">
        <v>0</v>
      </c>
      <c r="O96" s="48">
        <v>0</v>
      </c>
      <c r="P96" s="48">
        <f>G96*0.25</f>
        <v>966.79</v>
      </c>
      <c r="Q96" s="48">
        <v>0</v>
      </c>
      <c r="R96" s="48">
        <v>0</v>
      </c>
      <c r="S96" s="48">
        <v>0</v>
      </c>
      <c r="T96" s="48">
        <v>0</v>
      </c>
      <c r="U96" s="48">
        <f t="shared" si="12"/>
        <v>966.79</v>
      </c>
    </row>
    <row r="97" spans="1:21" ht="25.5" customHeight="1">
      <c r="A97" s="137" t="s">
        <v>102</v>
      </c>
      <c r="B97" s="138" t="s">
        <v>103</v>
      </c>
      <c r="C97" s="137" t="s">
        <v>222</v>
      </c>
      <c r="D97" s="32"/>
      <c r="E97" s="64"/>
      <c r="F97" s="64">
        <v>0.01</v>
      </c>
      <c r="G97" s="64">
        <v>6428.82</v>
      </c>
      <c r="H97" s="81">
        <f t="shared" si="11"/>
        <v>6.4288200000000004E-2</v>
      </c>
      <c r="I97" s="48">
        <v>0</v>
      </c>
      <c r="J97" s="48">
        <v>0</v>
      </c>
      <c r="K97" s="48">
        <v>0</v>
      </c>
      <c r="L97" s="48">
        <v>0</v>
      </c>
      <c r="M97" s="48">
        <v>0</v>
      </c>
      <c r="N97" s="48">
        <v>0</v>
      </c>
      <c r="O97" s="48">
        <v>0</v>
      </c>
      <c r="P97" s="48">
        <v>0</v>
      </c>
      <c r="Q97" s="48">
        <v>0</v>
      </c>
      <c r="R97" s="48">
        <v>0</v>
      </c>
      <c r="S97" s="48">
        <f>G97*0.01</f>
        <v>64.288200000000003</v>
      </c>
      <c r="T97" s="48">
        <v>0</v>
      </c>
      <c r="U97" s="48">
        <f t="shared" si="12"/>
        <v>64.288200000000003</v>
      </c>
    </row>
    <row r="98" spans="1:21" ht="25.5" customHeight="1">
      <c r="A98" s="34" t="s">
        <v>195</v>
      </c>
      <c r="B98" s="151" t="s">
        <v>223</v>
      </c>
      <c r="C98" s="152" t="s">
        <v>205</v>
      </c>
      <c r="D98" s="32"/>
      <c r="E98" s="64"/>
      <c r="F98" s="64">
        <v>1</v>
      </c>
      <c r="G98" s="64">
        <v>350.1</v>
      </c>
      <c r="H98" s="81">
        <f t="shared" si="11"/>
        <v>0.35010000000000002</v>
      </c>
      <c r="I98" s="48">
        <v>0</v>
      </c>
      <c r="J98" s="48">
        <v>0</v>
      </c>
      <c r="K98" s="48">
        <v>0</v>
      </c>
      <c r="L98" s="48">
        <v>0</v>
      </c>
      <c r="M98" s="48">
        <v>0</v>
      </c>
      <c r="N98" s="48">
        <v>0</v>
      </c>
      <c r="O98" s="48">
        <v>0</v>
      </c>
      <c r="P98" s="48">
        <v>0</v>
      </c>
      <c r="Q98" s="48">
        <v>0</v>
      </c>
      <c r="R98" s="48">
        <v>0</v>
      </c>
      <c r="S98" s="48">
        <f>G98</f>
        <v>350.1</v>
      </c>
      <c r="T98" s="48">
        <v>0</v>
      </c>
      <c r="U98" s="48">
        <f t="shared" si="12"/>
        <v>350.1</v>
      </c>
    </row>
    <row r="99" spans="1:21" ht="25.5" customHeight="1">
      <c r="A99" s="136" t="s">
        <v>225</v>
      </c>
      <c r="B99" s="153" t="s">
        <v>224</v>
      </c>
      <c r="C99" s="35" t="s">
        <v>107</v>
      </c>
      <c r="D99" s="32"/>
      <c r="E99" s="64"/>
      <c r="F99" s="64">
        <v>1</v>
      </c>
      <c r="G99" s="64">
        <v>314.49</v>
      </c>
      <c r="H99" s="81">
        <f t="shared" si="11"/>
        <v>0.31448999999999999</v>
      </c>
      <c r="I99" s="48">
        <v>0</v>
      </c>
      <c r="J99" s="48">
        <v>0</v>
      </c>
      <c r="K99" s="48">
        <v>0</v>
      </c>
      <c r="L99" s="48">
        <v>0</v>
      </c>
      <c r="M99" s="48">
        <v>0</v>
      </c>
      <c r="N99" s="48">
        <v>0</v>
      </c>
      <c r="O99" s="48">
        <v>0</v>
      </c>
      <c r="P99" s="48">
        <v>0</v>
      </c>
      <c r="Q99" s="48">
        <v>0</v>
      </c>
      <c r="R99" s="48">
        <v>0</v>
      </c>
      <c r="S99" s="48">
        <f>G99</f>
        <v>314.49</v>
      </c>
      <c r="T99" s="48">
        <v>0</v>
      </c>
      <c r="U99" s="48">
        <f t="shared" si="12"/>
        <v>314.49</v>
      </c>
    </row>
    <row r="100" spans="1:21" s="23" customFormat="1">
      <c r="A100" s="112"/>
      <c r="B100" s="113" t="s">
        <v>160</v>
      </c>
      <c r="C100" s="112"/>
      <c r="D100" s="112"/>
      <c r="E100" s="108"/>
      <c r="F100" s="108"/>
      <c r="G100" s="108"/>
      <c r="H100" s="56">
        <f>SUM(H88:H99)</f>
        <v>38.584700546999997</v>
      </c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55">
        <f>SUM(U88:U99)</f>
        <v>38584.700547</v>
      </c>
    </row>
    <row r="101" spans="1:21">
      <c r="A101" s="114"/>
      <c r="B101" s="115"/>
      <c r="C101" s="114"/>
      <c r="D101" s="114"/>
      <c r="E101" s="64"/>
      <c r="F101" s="64"/>
      <c r="G101" s="64"/>
      <c r="H101" s="116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147"/>
    </row>
    <row r="102" spans="1:21" ht="12" customHeight="1">
      <c r="A102" s="33"/>
      <c r="B102" s="22" t="s">
        <v>161</v>
      </c>
      <c r="C102" s="31"/>
      <c r="D102" s="32"/>
      <c r="E102" s="64"/>
      <c r="F102" s="64"/>
      <c r="G102" s="64"/>
      <c r="H102" s="117">
        <f>H100/E103/12*1000</f>
        <v>1.1402098270390071</v>
      </c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147"/>
    </row>
    <row r="103" spans="1:21" s="23" customFormat="1">
      <c r="A103" s="118"/>
      <c r="B103" s="119" t="s">
        <v>162</v>
      </c>
      <c r="C103" s="120"/>
      <c r="D103" s="119"/>
      <c r="E103" s="121">
        <v>2820</v>
      </c>
      <c r="F103" s="122">
        <f>SUM(E103*12)</f>
        <v>33840</v>
      </c>
      <c r="G103" s="123">
        <f>H85+H102</f>
        <v>20.485589903611118</v>
      </c>
      <c r="H103" s="124">
        <f>SUM(F103*G103/1000)</f>
        <v>693.23236233820023</v>
      </c>
      <c r="I103" s="108">
        <f>SUM(I11:I102)</f>
        <v>63124.150670500007</v>
      </c>
      <c r="J103" s="108">
        <f>SUM(J11:J101)</f>
        <v>49116.308323500001</v>
      </c>
      <c r="K103" s="108">
        <f t="shared" ref="K103:R103" si="13">SUM(K11:K102)</f>
        <v>63191.080483500002</v>
      </c>
      <c r="L103" s="108">
        <f t="shared" si="13"/>
        <v>65432.744215666673</v>
      </c>
      <c r="M103" s="108">
        <f t="shared" si="13"/>
        <v>117639.30636366668</v>
      </c>
      <c r="N103" s="108">
        <f t="shared" si="13"/>
        <v>37330.515660866666</v>
      </c>
      <c r="O103" s="108">
        <f t="shared" si="13"/>
        <v>34524.813693666663</v>
      </c>
      <c r="P103" s="108">
        <f t="shared" si="13"/>
        <v>64755.781533666675</v>
      </c>
      <c r="Q103" s="108">
        <f t="shared" si="13"/>
        <v>37452.813064333328</v>
      </c>
      <c r="R103" s="108">
        <f t="shared" si="13"/>
        <v>39100.13275916667</v>
      </c>
      <c r="S103" s="108">
        <f>SUM(S11:S102)</f>
        <v>44741.868683500004</v>
      </c>
      <c r="T103" s="108">
        <f>SUM(T11:T102)</f>
        <v>45561.748323500004</v>
      </c>
      <c r="U103" s="55">
        <f>U83+U100</f>
        <v>661971.2637755333</v>
      </c>
    </row>
    <row r="104" spans="1:21">
      <c r="A104" s="126"/>
      <c r="B104" s="126"/>
      <c r="C104" s="126"/>
      <c r="D104" s="126"/>
      <c r="E104" s="125"/>
      <c r="F104" s="125"/>
      <c r="G104" s="125"/>
      <c r="H104" s="125"/>
      <c r="I104" s="125"/>
      <c r="J104" s="125"/>
      <c r="K104" s="125"/>
      <c r="L104" s="125"/>
      <c r="M104" s="126"/>
      <c r="N104" s="125"/>
      <c r="O104" s="126"/>
      <c r="P104" s="126"/>
      <c r="Q104" s="126"/>
      <c r="R104" s="126"/>
      <c r="S104" s="126"/>
      <c r="T104" s="126"/>
      <c r="U104" s="126"/>
    </row>
    <row r="105" spans="1:21">
      <c r="A105" s="126"/>
      <c r="B105" s="126"/>
      <c r="C105" s="126"/>
      <c r="D105" s="126"/>
      <c r="E105" s="125"/>
      <c r="F105" s="125"/>
      <c r="G105" s="125"/>
      <c r="H105" s="125"/>
      <c r="I105" s="125"/>
      <c r="J105" s="127"/>
      <c r="K105" s="128"/>
      <c r="L105" s="127"/>
      <c r="M105" s="125"/>
      <c r="N105" s="126"/>
      <c r="O105" s="126"/>
      <c r="P105" s="126"/>
      <c r="Q105" s="126"/>
      <c r="R105" s="126"/>
      <c r="S105" s="126"/>
      <c r="T105" s="126"/>
      <c r="U105" s="126"/>
    </row>
    <row r="106" spans="1:21" ht="45">
      <c r="A106" s="126"/>
      <c r="B106" s="129" t="s">
        <v>189</v>
      </c>
      <c r="C106" s="158">
        <v>359886.52</v>
      </c>
      <c r="D106" s="159"/>
      <c r="E106" s="159"/>
      <c r="F106" s="160"/>
      <c r="G106" s="125"/>
      <c r="H106" s="125"/>
      <c r="I106" s="125"/>
      <c r="J106" s="127"/>
      <c r="K106" s="128"/>
      <c r="L106" s="127"/>
      <c r="M106" s="125"/>
      <c r="N106" s="126"/>
      <c r="O106" s="126"/>
      <c r="P106" s="126"/>
      <c r="Q106" s="126"/>
      <c r="R106" s="126"/>
      <c r="S106" s="126"/>
      <c r="T106" s="126"/>
      <c r="U106" s="126"/>
    </row>
    <row r="107" spans="1:21" ht="30">
      <c r="A107" s="126"/>
      <c r="B107" s="29" t="s">
        <v>216</v>
      </c>
      <c r="C107" s="157">
        <v>697690.48</v>
      </c>
      <c r="D107" s="155"/>
      <c r="E107" s="155"/>
      <c r="F107" s="156"/>
      <c r="G107" s="125"/>
      <c r="H107" s="125"/>
      <c r="I107" s="125"/>
      <c r="J107" s="127"/>
      <c r="K107" s="128"/>
      <c r="L107" s="127"/>
      <c r="M107" s="125"/>
      <c r="N107" s="126"/>
      <c r="O107" s="126"/>
      <c r="P107" s="126"/>
      <c r="Q107" s="126"/>
      <c r="R107" s="126"/>
      <c r="S107" s="126"/>
      <c r="T107" s="126"/>
      <c r="U107" s="126"/>
    </row>
    <row r="108" spans="1:21" ht="30">
      <c r="A108" s="126"/>
      <c r="B108" s="29" t="s">
        <v>217</v>
      </c>
      <c r="C108" s="158">
        <f>SUM(U103-U100)</f>
        <v>623386.56322853325</v>
      </c>
      <c r="D108" s="159"/>
      <c r="E108" s="159"/>
      <c r="F108" s="160"/>
      <c r="G108" s="125"/>
      <c r="H108" s="125"/>
      <c r="I108" s="125"/>
      <c r="J108" s="127"/>
      <c r="K108" s="128"/>
      <c r="L108" s="127"/>
      <c r="M108" s="125"/>
      <c r="N108" s="126"/>
      <c r="O108" s="126"/>
      <c r="P108" s="126"/>
      <c r="Q108" s="126"/>
      <c r="R108" s="126"/>
      <c r="S108" s="126"/>
      <c r="T108" s="126"/>
      <c r="U108" s="126"/>
    </row>
    <row r="109" spans="1:21" ht="30">
      <c r="A109" s="126"/>
      <c r="B109" s="29" t="s">
        <v>218</v>
      </c>
      <c r="C109" s="158">
        <f>SUM(U100)</f>
        <v>38584.700547</v>
      </c>
      <c r="D109" s="159"/>
      <c r="E109" s="159"/>
      <c r="F109" s="160"/>
      <c r="G109" s="125"/>
      <c r="H109" s="125"/>
      <c r="I109" s="125"/>
      <c r="J109" s="127"/>
      <c r="K109" s="128"/>
      <c r="L109" s="127"/>
      <c r="M109" s="125"/>
      <c r="N109" s="126"/>
      <c r="O109" s="126"/>
      <c r="P109" s="126"/>
      <c r="Q109" s="126"/>
      <c r="R109" s="126"/>
      <c r="S109" s="126"/>
      <c r="T109" s="126"/>
      <c r="U109" s="126"/>
    </row>
    <row r="110" spans="1:21" ht="25.5" customHeight="1">
      <c r="A110" s="126"/>
      <c r="B110" s="139" t="s">
        <v>219</v>
      </c>
      <c r="C110" s="157">
        <v>690868.56</v>
      </c>
      <c r="D110" s="155"/>
      <c r="E110" s="155"/>
      <c r="F110" s="156"/>
      <c r="G110" s="126"/>
      <c r="H110" s="130" t="s">
        <v>176</v>
      </c>
      <c r="I110" s="131"/>
      <c r="J110" s="131"/>
      <c r="K110" s="132"/>
      <c r="L110" s="133"/>
      <c r="M110" s="130"/>
      <c r="N110" s="130"/>
      <c r="O110" s="126"/>
      <c r="P110" s="126"/>
      <c r="Q110" s="126"/>
      <c r="R110" s="126"/>
      <c r="S110" s="126"/>
      <c r="T110" s="126"/>
      <c r="U110" s="126"/>
    </row>
    <row r="111" spans="1:21" ht="78.75">
      <c r="A111" s="126"/>
      <c r="B111" s="30" t="s">
        <v>220</v>
      </c>
      <c r="C111" s="161">
        <v>171061.99</v>
      </c>
      <c r="D111" s="162"/>
      <c r="E111" s="162"/>
      <c r="F111" s="163"/>
      <c r="G111" s="126"/>
      <c r="H111" s="12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26"/>
      <c r="T111" s="126"/>
      <c r="U111" s="126"/>
    </row>
    <row r="112" spans="1:21" ht="45">
      <c r="A112" s="126"/>
      <c r="B112" s="134" t="s">
        <v>221</v>
      </c>
      <c r="C112" s="154">
        <f>SUM(U103-C107)+C106</f>
        <v>324167.30377553334</v>
      </c>
      <c r="D112" s="155"/>
      <c r="E112" s="155"/>
      <c r="F112" s="156"/>
      <c r="G112" s="126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26"/>
      <c r="T112" s="126"/>
      <c r="U112" s="126"/>
    </row>
    <row r="114" spans="7:13">
      <c r="J114" s="7"/>
      <c r="K114" s="8"/>
      <c r="L114" s="8"/>
      <c r="M114" s="6"/>
    </row>
    <row r="115" spans="7:13">
      <c r="G115" s="9"/>
      <c r="H115" s="9"/>
    </row>
    <row r="116" spans="7:13">
      <c r="G116" s="10"/>
    </row>
  </sheetData>
  <mergeCells count="11">
    <mergeCell ref="B3:L3"/>
    <mergeCell ref="B4:L4"/>
    <mergeCell ref="B5:L5"/>
    <mergeCell ref="B6:L6"/>
    <mergeCell ref="C106:F106"/>
    <mergeCell ref="C112:F112"/>
    <mergeCell ref="C107:F107"/>
    <mergeCell ref="C108:F108"/>
    <mergeCell ref="C109:F109"/>
    <mergeCell ref="C110:F110"/>
    <mergeCell ref="C111:F111"/>
  </mergeCells>
  <pageMargins left="0.31496062992125984" right="0.31496062992125984" top="0.15748031496062992" bottom="0.19685039370078741" header="0.15748031496062992" footer="0.15748031496062992"/>
  <pageSetup paperSize="9" scale="38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Сов.14</vt:lpstr>
      <vt:lpstr>Сов.14!Область_печати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cp:lastPrinted>2016-03-31T05:19:02Z</cp:lastPrinted>
  <dcterms:created xsi:type="dcterms:W3CDTF">2014-02-05T12:20:20Z</dcterms:created>
  <dcterms:modified xsi:type="dcterms:W3CDTF">2016-08-17T13:46:00Z</dcterms:modified>
</cp:coreProperties>
</file>