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8"/>
  </bookViews>
  <sheets>
    <sheet name="01.20" sheetId="17" r:id="rId1"/>
    <sheet name="02.20" sheetId="18" r:id="rId2"/>
    <sheet name="03.20" sheetId="19" r:id="rId3"/>
    <sheet name="04.20" sheetId="20" r:id="rId4"/>
    <sheet name="05.20" sheetId="21" r:id="rId5"/>
    <sheet name="06.20" sheetId="22" r:id="rId6"/>
    <sheet name="07.20" sheetId="23" r:id="rId7"/>
    <sheet name="08.20" sheetId="24" r:id="rId8"/>
    <sheet name="09.20" sheetId="25" r:id="rId9"/>
    <sheet name="10.20" sheetId="26" r:id="rId10"/>
    <sheet name="11.20" sheetId="27" r:id="rId11"/>
    <sheet name="12.20" sheetId="28" r:id="rId12"/>
  </sheets>
  <definedNames>
    <definedName name="_xlnm._FilterDatabase" localSheetId="0" hidden="1">'01.20'!$I$12:$I$60</definedName>
    <definedName name="_xlnm._FilterDatabase" localSheetId="1" hidden="1">'02.20'!$I$12:$I$62</definedName>
    <definedName name="_xlnm._FilterDatabase" localSheetId="2" hidden="1">'03.20'!$I$12:$I$64</definedName>
    <definedName name="_xlnm._FilterDatabase" localSheetId="3" hidden="1">'04.20'!$I$12:$I$63</definedName>
    <definedName name="_xlnm._FilterDatabase" localSheetId="4" hidden="1">'05.20'!$I$12:$I$60</definedName>
    <definedName name="_xlnm._FilterDatabase" localSheetId="5" hidden="1">'06.20'!$I$12:$I$61</definedName>
    <definedName name="_xlnm._FilterDatabase" localSheetId="6" hidden="1">'07.20'!$I$12:$I$59</definedName>
    <definedName name="_xlnm._FilterDatabase" localSheetId="7" hidden="1">'08.20'!$I$12:$I$59</definedName>
    <definedName name="_xlnm._FilterDatabase" localSheetId="8" hidden="1">'09.20'!$I$12:$I$61</definedName>
    <definedName name="_xlnm._FilterDatabase" localSheetId="9" hidden="1">'10.20'!$I$12:$I$60</definedName>
    <definedName name="_xlnm._FilterDatabase" localSheetId="10" hidden="1">'11.20'!$I$12:$I$63</definedName>
    <definedName name="_xlnm._FilterDatabase" localSheetId="11" hidden="1">'12.20'!$I$12:$I$63</definedName>
    <definedName name="_xlnm.Print_Area" localSheetId="0">'01.20'!$A$1:$I$107</definedName>
    <definedName name="_xlnm.Print_Area" localSheetId="1">'02.20'!$A$1:$I$111</definedName>
    <definedName name="_xlnm.Print_Area" localSheetId="2">'03.20'!$A$1:$I$112</definedName>
    <definedName name="_xlnm.Print_Area" localSheetId="3">'04.20'!$A$1:$I$111</definedName>
    <definedName name="_xlnm.Print_Area" localSheetId="4">'05.20'!$A$1:$I$109</definedName>
    <definedName name="_xlnm.Print_Area" localSheetId="5">'06.20'!$A$1:$I$110</definedName>
    <definedName name="_xlnm.Print_Area" localSheetId="6">'07.20'!$A$1:$I$109</definedName>
    <definedName name="_xlnm.Print_Area" localSheetId="7">'08.20'!$A$1:$I$109</definedName>
    <definedName name="_xlnm.Print_Area" localSheetId="8">'09.20'!$A$1:$I$118</definedName>
    <definedName name="_xlnm.Print_Area" localSheetId="9">'10.20'!$A$1:$I$110</definedName>
    <definedName name="_xlnm.Print_Area" localSheetId="10">'11.20'!$A$1:$I$111</definedName>
    <definedName name="_xlnm.Print_Area" localSheetId="11">'12.20'!$A$1:$I$112</definedName>
  </definedNames>
  <calcPr calcId="124519"/>
</workbook>
</file>

<file path=xl/calcChain.xml><?xml version="1.0" encoding="utf-8"?>
<calcChain xmlns="http://schemas.openxmlformats.org/spreadsheetml/2006/main">
  <c r="F51" i="28"/>
  <c r="E86"/>
  <c r="F86" s="1"/>
  <c r="F85"/>
  <c r="H85" s="1"/>
  <c r="F78"/>
  <c r="I78" s="1"/>
  <c r="H81"/>
  <c r="H83"/>
  <c r="F72"/>
  <c r="I72" s="1"/>
  <c r="F61"/>
  <c r="I61" s="1"/>
  <c r="I38"/>
  <c r="F44"/>
  <c r="I44" s="1"/>
  <c r="I43"/>
  <c r="H43"/>
  <c r="F42"/>
  <c r="I42" s="1"/>
  <c r="F41"/>
  <c r="I41" s="1"/>
  <c r="F40"/>
  <c r="I40" s="1"/>
  <c r="F39"/>
  <c r="I39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6" i="27"/>
  <c r="E85"/>
  <c r="F85" s="1"/>
  <c r="H85" s="1"/>
  <c r="F84"/>
  <c r="H84" s="1"/>
  <c r="F78"/>
  <c r="I78" s="1"/>
  <c r="F72"/>
  <c r="I72" s="1"/>
  <c r="F61"/>
  <c r="I61" s="1"/>
  <c r="I43"/>
  <c r="F44"/>
  <c r="I44" s="1"/>
  <c r="F42"/>
  <c r="I42" s="1"/>
  <c r="F41"/>
  <c r="F40"/>
  <c r="F39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17" i="28" l="1"/>
  <c r="H20"/>
  <c r="H40"/>
  <c r="H42"/>
  <c r="H86"/>
  <c r="I86"/>
  <c r="I85"/>
  <c r="H39"/>
  <c r="H41"/>
  <c r="H24"/>
  <c r="H22"/>
  <c r="H26"/>
  <c r="I18"/>
  <c r="H18"/>
  <c r="I16"/>
  <c r="I19"/>
  <c r="I21"/>
  <c r="I23"/>
  <c r="I25"/>
  <c r="I27"/>
  <c r="H17" i="27"/>
  <c r="I84"/>
  <c r="I85"/>
  <c r="H18"/>
  <c r="I16"/>
  <c r="I19"/>
  <c r="H20"/>
  <c r="I21"/>
  <c r="H22"/>
  <c r="I23"/>
  <c r="H24"/>
  <c r="I25"/>
  <c r="H26"/>
  <c r="I27"/>
  <c r="I83" i="26" l="1"/>
  <c r="I86"/>
  <c r="I85"/>
  <c r="E82"/>
  <c r="F82" s="1"/>
  <c r="F81"/>
  <c r="H81" s="1"/>
  <c r="F75"/>
  <c r="I75" s="1"/>
  <c r="F69"/>
  <c r="I69" s="1"/>
  <c r="F58"/>
  <c r="I58" s="1"/>
  <c r="H60"/>
  <c r="H61"/>
  <c r="F62"/>
  <c r="H62" s="1"/>
  <c r="F33"/>
  <c r="H33" s="1"/>
  <c r="F32"/>
  <c r="I32" s="1"/>
  <c r="F31"/>
  <c r="H31" s="1"/>
  <c r="H30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H82" l="1"/>
  <c r="I82"/>
  <c r="I81"/>
  <c r="I31"/>
  <c r="H32"/>
  <c r="I33"/>
  <c r="H20"/>
  <c r="H22"/>
  <c r="I18"/>
  <c r="H18"/>
  <c r="I16"/>
  <c r="I19"/>
  <c r="I21"/>
  <c r="I23"/>
  <c r="H24"/>
  <c r="I25"/>
  <c r="H26"/>
  <c r="I27"/>
  <c r="I86" i="24" l="1"/>
  <c r="I85"/>
  <c r="I59"/>
  <c r="I68" i="25"/>
  <c r="I95"/>
  <c r="I94"/>
  <c r="I92"/>
  <c r="F94"/>
  <c r="E84"/>
  <c r="F84" s="1"/>
  <c r="F83"/>
  <c r="I83" s="1"/>
  <c r="F76"/>
  <c r="I76" s="1"/>
  <c r="F70"/>
  <c r="I70" s="1"/>
  <c r="F68"/>
  <c r="F67"/>
  <c r="F66"/>
  <c r="F65"/>
  <c r="F64"/>
  <c r="F63"/>
  <c r="F62"/>
  <c r="F59"/>
  <c r="I59" s="1"/>
  <c r="F51"/>
  <c r="F50"/>
  <c r="F49"/>
  <c r="F48"/>
  <c r="F47"/>
  <c r="F46"/>
  <c r="F45"/>
  <c r="F44"/>
  <c r="F33"/>
  <c r="I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30"/>
  <c r="H33"/>
  <c r="H83"/>
  <c r="H84"/>
  <c r="I84"/>
  <c r="I31"/>
  <c r="H32"/>
  <c r="I18"/>
  <c r="H18"/>
  <c r="I16"/>
  <c r="I19"/>
  <c r="H20"/>
  <c r="I21"/>
  <c r="H22"/>
  <c r="I23"/>
  <c r="H24"/>
  <c r="I25"/>
  <c r="H26"/>
  <c r="I27"/>
  <c r="I82" i="24" l="1"/>
  <c r="I84"/>
  <c r="E81"/>
  <c r="F81" s="1"/>
  <c r="F80"/>
  <c r="H80" s="1"/>
  <c r="F68"/>
  <c r="I68" s="1"/>
  <c r="F74"/>
  <c r="I74" s="1"/>
  <c r="H59"/>
  <c r="F57"/>
  <c r="I57" s="1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1" l="1"/>
  <c r="I81"/>
  <c r="I80"/>
  <c r="H17"/>
  <c r="H30"/>
  <c r="I31"/>
  <c r="H32"/>
  <c r="I33"/>
  <c r="H20"/>
  <c r="H22"/>
  <c r="I18"/>
  <c r="H18"/>
  <c r="I16"/>
  <c r="I19"/>
  <c r="I21"/>
  <c r="I23"/>
  <c r="H24"/>
  <c r="I25"/>
  <c r="H26"/>
  <c r="I27"/>
  <c r="F81" i="23" l="1"/>
  <c r="H81" s="1"/>
  <c r="E81"/>
  <c r="F80"/>
  <c r="H80" s="1"/>
  <c r="I86"/>
  <c r="I84"/>
  <c r="F74"/>
  <c r="I74" s="1"/>
  <c r="F68"/>
  <c r="I68" s="1"/>
  <c r="F57"/>
  <c r="I57" s="1"/>
  <c r="F33"/>
  <c r="H33" s="1"/>
  <c r="F32"/>
  <c r="I32" s="1"/>
  <c r="F31"/>
  <c r="H31" s="1"/>
  <c r="F30"/>
  <c r="I30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80" l="1"/>
  <c r="I81"/>
  <c r="I82" s="1"/>
  <c r="H17"/>
  <c r="H20"/>
  <c r="H30"/>
  <c r="I31"/>
  <c r="H32"/>
  <c r="I33"/>
  <c r="I18"/>
  <c r="H18"/>
  <c r="I16"/>
  <c r="I19"/>
  <c r="I21"/>
  <c r="H22"/>
  <c r="I23"/>
  <c r="H24"/>
  <c r="I25"/>
  <c r="H26"/>
  <c r="I27"/>
  <c r="F67" i="22" l="1"/>
  <c r="F66"/>
  <c r="I19"/>
  <c r="E83"/>
  <c r="F83" s="1"/>
  <c r="F82"/>
  <c r="H82" s="1"/>
  <c r="F76"/>
  <c r="I76" s="1"/>
  <c r="F59"/>
  <c r="I59" s="1"/>
  <c r="F70"/>
  <c r="I70" s="1"/>
  <c r="F33"/>
  <c r="H33" s="1"/>
  <c r="F32"/>
  <c r="I32" s="1"/>
  <c r="F31"/>
  <c r="H31" s="1"/>
  <c r="F30"/>
  <c r="I30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3" i="21"/>
  <c r="I33"/>
  <c r="F33"/>
  <c r="I86"/>
  <c r="I85"/>
  <c r="E82"/>
  <c r="F82" s="1"/>
  <c r="F81"/>
  <c r="H81" s="1"/>
  <c r="F75"/>
  <c r="I75" s="1"/>
  <c r="F69"/>
  <c r="I69" s="1"/>
  <c r="F58"/>
  <c r="I58" s="1"/>
  <c r="F52"/>
  <c r="F50"/>
  <c r="F49"/>
  <c r="F48"/>
  <c r="F47"/>
  <c r="F46"/>
  <c r="F45"/>
  <c r="F44"/>
  <c r="F43"/>
  <c r="F32"/>
  <c r="F31"/>
  <c r="F30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I18" s="1"/>
  <c r="F17"/>
  <c r="I17" s="1"/>
  <c r="F16"/>
  <c r="H16" s="1"/>
  <c r="I86" i="20"/>
  <c r="E85"/>
  <c r="F85" s="1"/>
  <c r="F84"/>
  <c r="H84" s="1"/>
  <c r="F78"/>
  <c r="I78" s="1"/>
  <c r="I72"/>
  <c r="F72"/>
  <c r="I57"/>
  <c r="I58"/>
  <c r="F57"/>
  <c r="H57" s="1"/>
  <c r="F61"/>
  <c r="I61" s="1"/>
  <c r="F43"/>
  <c r="I43" s="1"/>
  <c r="I42"/>
  <c r="H42"/>
  <c r="F41"/>
  <c r="I41" s="1"/>
  <c r="F40"/>
  <c r="I40" s="1"/>
  <c r="F39"/>
  <c r="I39" s="1"/>
  <c r="F38"/>
  <c r="I38" s="1"/>
  <c r="I37"/>
  <c r="H37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87" i="19"/>
  <c r="E86"/>
  <c r="F86" s="1"/>
  <c r="F85"/>
  <c r="H85" s="1"/>
  <c r="F79"/>
  <c r="I79" s="1"/>
  <c r="I73"/>
  <c r="F73"/>
  <c r="F62"/>
  <c r="I62" s="1"/>
  <c r="I59"/>
  <c r="I58"/>
  <c r="I38"/>
  <c r="F44"/>
  <c r="I44" s="1"/>
  <c r="I43"/>
  <c r="H43"/>
  <c r="F42"/>
  <c r="I42" s="1"/>
  <c r="F41"/>
  <c r="I41" s="1"/>
  <c r="F40"/>
  <c r="I40" s="1"/>
  <c r="F39"/>
  <c r="I39" s="1"/>
  <c r="H38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21" i="22" l="1"/>
  <c r="I23"/>
  <c r="I25"/>
  <c r="H17"/>
  <c r="I22"/>
  <c r="I24"/>
  <c r="I26"/>
  <c r="H83"/>
  <c r="I83"/>
  <c r="I82"/>
  <c r="H30"/>
  <c r="I31"/>
  <c r="H32"/>
  <c r="I33"/>
  <c r="I18"/>
  <c r="H18"/>
  <c r="I16"/>
  <c r="I20"/>
  <c r="I27"/>
  <c r="H17" i="21"/>
  <c r="H21"/>
  <c r="H82"/>
  <c r="I82"/>
  <c r="I81"/>
  <c r="H18"/>
  <c r="I16"/>
  <c r="I20"/>
  <c r="I27"/>
  <c r="H17" i="20"/>
  <c r="H39"/>
  <c r="H85"/>
  <c r="I85"/>
  <c r="I84"/>
  <c r="H41"/>
  <c r="H38"/>
  <c r="H40"/>
  <c r="H21"/>
  <c r="I18"/>
  <c r="H18"/>
  <c r="I16"/>
  <c r="I20"/>
  <c r="I27"/>
  <c r="H21" i="19"/>
  <c r="H40"/>
  <c r="H17"/>
  <c r="H86"/>
  <c r="I86"/>
  <c r="I85"/>
  <c r="H42"/>
  <c r="H39"/>
  <c r="H41"/>
  <c r="I18"/>
  <c r="H18"/>
  <c r="I16"/>
  <c r="I20"/>
  <c r="I27"/>
  <c r="I37" i="18" l="1"/>
  <c r="I86" s="1"/>
  <c r="F85"/>
  <c r="I85" s="1"/>
  <c r="E84"/>
  <c r="F84" s="1"/>
  <c r="I84" s="1"/>
  <c r="F83"/>
  <c r="I83" s="1"/>
  <c r="F77"/>
  <c r="I77" s="1"/>
  <c r="F71"/>
  <c r="I71" s="1"/>
  <c r="F60"/>
  <c r="I60" s="1"/>
  <c r="F50"/>
  <c r="F43"/>
  <c r="I43" s="1"/>
  <c r="F41"/>
  <c r="F40"/>
  <c r="F39"/>
  <c r="F38"/>
  <c r="F27"/>
  <c r="F26"/>
  <c r="F25"/>
  <c r="F24"/>
  <c r="F23"/>
  <c r="F22"/>
  <c r="F21"/>
  <c r="I21" s="1"/>
  <c r="F20"/>
  <c r="F19"/>
  <c r="E18"/>
  <c r="F18" s="1"/>
  <c r="I18" s="1"/>
  <c r="F17"/>
  <c r="F16"/>
  <c r="I37" i="17"/>
  <c r="I38" i="27" l="1"/>
  <c r="I52" i="25" l="1"/>
  <c r="I56" i="24"/>
  <c r="H27" i="18" l="1"/>
  <c r="H26"/>
  <c r="H25"/>
  <c r="H24"/>
  <c r="H23"/>
  <c r="H22"/>
  <c r="H21"/>
  <c r="H20"/>
  <c r="H19"/>
  <c r="H17"/>
  <c r="I17"/>
  <c r="H16"/>
  <c r="F27" i="17"/>
  <c r="H18" i="18" l="1"/>
  <c r="I16"/>
  <c r="I20"/>
  <c r="I27"/>
  <c r="I51" i="21"/>
  <c r="I77" i="20"/>
  <c r="I83" i="17" l="1"/>
  <c r="I51" i="26" l="1"/>
  <c r="I87"/>
  <c r="H85"/>
  <c r="H92" i="25"/>
  <c r="H84" i="24" l="1"/>
  <c r="H84" i="23"/>
  <c r="I61" i="22"/>
  <c r="I87"/>
  <c r="I68"/>
  <c r="I77" i="21" l="1"/>
  <c r="I42" i="18" l="1"/>
  <c r="I42" i="17"/>
  <c r="I82" l="1"/>
  <c r="I84" s="1"/>
  <c r="H82"/>
  <c r="I74" i="28" l="1"/>
  <c r="H77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H60"/>
  <c r="F58"/>
  <c r="I58" s="1"/>
  <c r="I55"/>
  <c r="F55"/>
  <c r="H55" s="1"/>
  <c r="I54"/>
  <c r="H54"/>
  <c r="F53"/>
  <c r="I53" s="1"/>
  <c r="F52"/>
  <c r="H52" s="1"/>
  <c r="I51"/>
  <c r="I87" s="1"/>
  <c r="F50"/>
  <c r="H50" s="1"/>
  <c r="F49"/>
  <c r="H49" s="1"/>
  <c r="F48"/>
  <c r="H48" s="1"/>
  <c r="F47"/>
  <c r="H47" s="1"/>
  <c r="F46"/>
  <c r="H46" s="1"/>
  <c r="H38"/>
  <c r="H36"/>
  <c r="H35"/>
  <c r="H34"/>
  <c r="F34"/>
  <c r="I34" s="1"/>
  <c r="F33"/>
  <c r="H33" s="1"/>
  <c r="F32"/>
  <c r="I32" s="1"/>
  <c r="F31"/>
  <c r="H31" s="1"/>
  <c r="F28"/>
  <c r="I28" s="1"/>
  <c r="I54" i="27"/>
  <c r="H82"/>
  <c r="H80"/>
  <c r="H77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H60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H43"/>
  <c r="I41"/>
  <c r="H40"/>
  <c r="I39"/>
  <c r="H39"/>
  <c r="H38"/>
  <c r="H36"/>
  <c r="H35"/>
  <c r="H34"/>
  <c r="F34"/>
  <c r="I34" s="1"/>
  <c r="F33"/>
  <c r="H33" s="1"/>
  <c r="F32"/>
  <c r="I32" s="1"/>
  <c r="F31"/>
  <c r="H31" s="1"/>
  <c r="F28"/>
  <c r="I28" s="1"/>
  <c r="H81" l="1"/>
  <c r="H42"/>
  <c r="H28"/>
  <c r="H87" i="28"/>
  <c r="H28"/>
  <c r="I31"/>
  <c r="H32"/>
  <c r="I33"/>
  <c r="H51"/>
  <c r="I52"/>
  <c r="H53"/>
  <c r="H58"/>
  <c r="H82" s="1"/>
  <c r="I52" i="27"/>
  <c r="I53"/>
  <c r="H51"/>
  <c r="H32"/>
  <c r="H41"/>
  <c r="H86"/>
  <c r="I31"/>
  <c r="I33"/>
  <c r="I40"/>
  <c r="I58"/>
  <c r="I90" l="1"/>
  <c r="I91" i="28"/>
  <c r="H83" i="26" l="1"/>
  <c r="H79"/>
  <c r="H77"/>
  <c r="H74"/>
  <c r="H73"/>
  <c r="H72"/>
  <c r="H71"/>
  <c r="H67"/>
  <c r="F66"/>
  <c r="H66" s="1"/>
  <c r="F65"/>
  <c r="H65" s="1"/>
  <c r="F64"/>
  <c r="H64" s="1"/>
  <c r="F63"/>
  <c r="H63" s="1"/>
  <c r="I60"/>
  <c r="H57"/>
  <c r="F55"/>
  <c r="I55" s="1"/>
  <c r="I52"/>
  <c r="F52"/>
  <c r="H52" s="1"/>
  <c r="H51"/>
  <c r="F50"/>
  <c r="F49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I81" i="25"/>
  <c r="I85"/>
  <c r="H94"/>
  <c r="H93"/>
  <c r="H91"/>
  <c r="H90"/>
  <c r="H89"/>
  <c r="H88"/>
  <c r="H87"/>
  <c r="H81"/>
  <c r="H79"/>
  <c r="H75"/>
  <c r="H74"/>
  <c r="H73"/>
  <c r="H72"/>
  <c r="H68"/>
  <c r="H67"/>
  <c r="H66"/>
  <c r="H65"/>
  <c r="H64"/>
  <c r="H63"/>
  <c r="H62"/>
  <c r="I61"/>
  <c r="H61"/>
  <c r="H58"/>
  <c r="F56"/>
  <c r="I56" s="1"/>
  <c r="I53"/>
  <c r="F53"/>
  <c r="H53" s="1"/>
  <c r="H52"/>
  <c r="H49"/>
  <c r="H48"/>
  <c r="H47"/>
  <c r="H46"/>
  <c r="H45"/>
  <c r="H44"/>
  <c r="I42"/>
  <c r="H42"/>
  <c r="F41"/>
  <c r="I41" s="1"/>
  <c r="F40"/>
  <c r="H40" s="1"/>
  <c r="F39"/>
  <c r="I39" s="1"/>
  <c r="I38"/>
  <c r="H38"/>
  <c r="I37"/>
  <c r="H37"/>
  <c r="H35"/>
  <c r="H34"/>
  <c r="H78" i="24"/>
  <c r="H76"/>
  <c r="H73"/>
  <c r="H72"/>
  <c r="H71"/>
  <c r="H70"/>
  <c r="H66"/>
  <c r="F65"/>
  <c r="H65" s="1"/>
  <c r="F64"/>
  <c r="H64" s="1"/>
  <c r="F63"/>
  <c r="H63" s="1"/>
  <c r="F62"/>
  <c r="H62" s="1"/>
  <c r="F61"/>
  <c r="H61" s="1"/>
  <c r="H60"/>
  <c r="H56"/>
  <c r="F54"/>
  <c r="I54" s="1"/>
  <c r="F51"/>
  <c r="H50"/>
  <c r="F49"/>
  <c r="H49" s="1"/>
  <c r="F48"/>
  <c r="H48" s="1"/>
  <c r="F47"/>
  <c r="H47" s="1"/>
  <c r="F46"/>
  <c r="H46" s="1"/>
  <c r="F45"/>
  <c r="H45" s="1"/>
  <c r="F44"/>
  <c r="H44" s="1"/>
  <c r="F43"/>
  <c r="H43" s="1"/>
  <c r="F42"/>
  <c r="H42" s="1"/>
  <c r="I40"/>
  <c r="H40"/>
  <c r="F39"/>
  <c r="I39" s="1"/>
  <c r="F38"/>
  <c r="H38" s="1"/>
  <c r="F37"/>
  <c r="I37" s="1"/>
  <c r="I36"/>
  <c r="H36"/>
  <c r="I35"/>
  <c r="H35"/>
  <c r="I51" i="23"/>
  <c r="H82"/>
  <c r="H78"/>
  <c r="H76"/>
  <c r="H73"/>
  <c r="H72"/>
  <c r="H71"/>
  <c r="H70"/>
  <c r="H66"/>
  <c r="F65"/>
  <c r="H65" s="1"/>
  <c r="F64"/>
  <c r="H64" s="1"/>
  <c r="F63"/>
  <c r="H63" s="1"/>
  <c r="F62"/>
  <c r="H62" s="1"/>
  <c r="F61"/>
  <c r="H61" s="1"/>
  <c r="H60"/>
  <c r="I59"/>
  <c r="H59"/>
  <c r="F55"/>
  <c r="I55" s="1"/>
  <c r="I52"/>
  <c r="F52"/>
  <c r="H52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F43"/>
  <c r="H43" s="1"/>
  <c r="I41"/>
  <c r="H41"/>
  <c r="F40"/>
  <c r="I40" s="1"/>
  <c r="F39"/>
  <c r="H39" s="1"/>
  <c r="F38"/>
  <c r="I38" s="1"/>
  <c r="I37"/>
  <c r="H37"/>
  <c r="I36"/>
  <c r="H36"/>
  <c r="H34"/>
  <c r="H84" i="22"/>
  <c r="H80"/>
  <c r="H78"/>
  <c r="H75"/>
  <c r="H74"/>
  <c r="H73"/>
  <c r="H72"/>
  <c r="H68"/>
  <c r="F65"/>
  <c r="F64"/>
  <c r="F63"/>
  <c r="H62"/>
  <c r="H61"/>
  <c r="H58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I42"/>
  <c r="H42"/>
  <c r="F41"/>
  <c r="I41" s="1"/>
  <c r="F40"/>
  <c r="H40" s="1"/>
  <c r="F39"/>
  <c r="I39" s="1"/>
  <c r="I38"/>
  <c r="H38"/>
  <c r="I37"/>
  <c r="H37"/>
  <c r="H35"/>
  <c r="H34"/>
  <c r="I67" i="21"/>
  <c r="I71"/>
  <c r="I72"/>
  <c r="I73"/>
  <c r="I74"/>
  <c r="I79"/>
  <c r="H79"/>
  <c r="H77"/>
  <c r="H74"/>
  <c r="H73"/>
  <c r="H72"/>
  <c r="H71"/>
  <c r="H67"/>
  <c r="F66"/>
  <c r="H66" s="1"/>
  <c r="F65"/>
  <c r="H65" s="1"/>
  <c r="F64"/>
  <c r="H64" s="1"/>
  <c r="F63"/>
  <c r="H63" s="1"/>
  <c r="F62"/>
  <c r="H62" s="1"/>
  <c r="H61"/>
  <c r="I60"/>
  <c r="H60"/>
  <c r="H57"/>
  <c r="F55"/>
  <c r="I55" s="1"/>
  <c r="I52"/>
  <c r="H52"/>
  <c r="H51"/>
  <c r="H48"/>
  <c r="H47"/>
  <c r="H46"/>
  <c r="H45"/>
  <c r="H44"/>
  <c r="H43"/>
  <c r="I41"/>
  <c r="H41"/>
  <c r="F40"/>
  <c r="I40" s="1"/>
  <c r="F39"/>
  <c r="H39" s="1"/>
  <c r="F38"/>
  <c r="I38" s="1"/>
  <c r="I37"/>
  <c r="H37"/>
  <c r="I36"/>
  <c r="H36"/>
  <c r="H34"/>
  <c r="H33"/>
  <c r="I32"/>
  <c r="H31"/>
  <c r="I30"/>
  <c r="I53" i="20"/>
  <c r="H86"/>
  <c r="H82"/>
  <c r="H80"/>
  <c r="H77"/>
  <c r="H76"/>
  <c r="H75"/>
  <c r="H74"/>
  <c r="H70"/>
  <c r="F69"/>
  <c r="H69" s="1"/>
  <c r="F68"/>
  <c r="H68" s="1"/>
  <c r="F67"/>
  <c r="H67" s="1"/>
  <c r="F66"/>
  <c r="H66" s="1"/>
  <c r="F65"/>
  <c r="H65" s="1"/>
  <c r="H64"/>
  <c r="I63"/>
  <c r="H63"/>
  <c r="H60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35"/>
  <c r="H34"/>
  <c r="H33"/>
  <c r="F33"/>
  <c r="I33" s="1"/>
  <c r="F32"/>
  <c r="I32" s="1"/>
  <c r="F31"/>
  <c r="H31" s="1"/>
  <c r="F30"/>
  <c r="I30" s="1"/>
  <c r="H83" i="19"/>
  <c r="H81"/>
  <c r="H78"/>
  <c r="H77"/>
  <c r="H76"/>
  <c r="H75"/>
  <c r="H71"/>
  <c r="F70"/>
  <c r="H70" s="1"/>
  <c r="F69"/>
  <c r="H69" s="1"/>
  <c r="F68"/>
  <c r="H68" s="1"/>
  <c r="F67"/>
  <c r="H67" s="1"/>
  <c r="F66"/>
  <c r="H66" s="1"/>
  <c r="H65"/>
  <c r="I64"/>
  <c r="H64"/>
  <c r="H61"/>
  <c r="F58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H36"/>
  <c r="H35"/>
  <c r="H34"/>
  <c r="F34"/>
  <c r="I34" s="1"/>
  <c r="F33"/>
  <c r="I33" s="1"/>
  <c r="F32"/>
  <c r="H32" s="1"/>
  <c r="F31"/>
  <c r="I31" s="1"/>
  <c r="F28"/>
  <c r="H28" s="1"/>
  <c r="H51" i="24" l="1"/>
  <c r="I51"/>
  <c r="H50" i="26"/>
  <c r="I50"/>
  <c r="H49"/>
  <c r="I49"/>
  <c r="H51" i="25"/>
  <c r="I51"/>
  <c r="H50"/>
  <c r="I50"/>
  <c r="I47"/>
  <c r="I45"/>
  <c r="I48"/>
  <c r="I46"/>
  <c r="I44"/>
  <c r="H63" i="22"/>
  <c r="I63"/>
  <c r="H65"/>
  <c r="I65"/>
  <c r="H67"/>
  <c r="I67"/>
  <c r="H64"/>
  <c r="I64"/>
  <c r="H66"/>
  <c r="I66"/>
  <c r="H49" i="21"/>
  <c r="I49"/>
  <c r="H50"/>
  <c r="I50"/>
  <c r="I51" i="20"/>
  <c r="I52"/>
  <c r="H55" i="26"/>
  <c r="H78" s="1"/>
  <c r="H38"/>
  <c r="I39"/>
  <c r="H40"/>
  <c r="I48"/>
  <c r="H85" i="25"/>
  <c r="H39"/>
  <c r="I40"/>
  <c r="H41"/>
  <c r="I49"/>
  <c r="H56"/>
  <c r="H80" s="1"/>
  <c r="H82" i="24"/>
  <c r="H37"/>
  <c r="I38"/>
  <c r="H39"/>
  <c r="I47"/>
  <c r="H54"/>
  <c r="H77" s="1"/>
  <c r="H55" i="23"/>
  <c r="H77" s="1"/>
  <c r="H38"/>
  <c r="H40"/>
  <c r="I39"/>
  <c r="I48"/>
  <c r="H39" i="22"/>
  <c r="I40"/>
  <c r="H41"/>
  <c r="I49"/>
  <c r="H56"/>
  <c r="H79" s="1"/>
  <c r="I46" i="21"/>
  <c r="I44"/>
  <c r="I62"/>
  <c r="I65"/>
  <c r="I63"/>
  <c r="I47"/>
  <c r="I45"/>
  <c r="I43"/>
  <c r="I66"/>
  <c r="I64"/>
  <c r="H83"/>
  <c r="H30"/>
  <c r="I31"/>
  <c r="H32"/>
  <c r="H38"/>
  <c r="I39"/>
  <c r="H40"/>
  <c r="I48"/>
  <c r="H55"/>
  <c r="H78" s="1"/>
  <c r="H30" i="20"/>
  <c r="I31"/>
  <c r="H32"/>
  <c r="I50"/>
  <c r="H81"/>
  <c r="H87" i="19"/>
  <c r="I28"/>
  <c r="H31"/>
  <c r="I32"/>
  <c r="H33"/>
  <c r="I51"/>
  <c r="H58"/>
  <c r="H82" s="1"/>
  <c r="I97" i="25" l="1"/>
  <c r="I88" i="24"/>
  <c r="I84" i="22"/>
  <c r="I89" s="1"/>
  <c r="I89" i="26"/>
  <c r="I88" i="23"/>
  <c r="I88" i="21"/>
  <c r="I90" i="20"/>
  <c r="I91" i="19"/>
  <c r="H83" i="18" l="1"/>
  <c r="H81"/>
  <c r="H79"/>
  <c r="H76"/>
  <c r="H75"/>
  <c r="H74"/>
  <c r="H73"/>
  <c r="H69"/>
  <c r="F68"/>
  <c r="H68" s="1"/>
  <c r="F67"/>
  <c r="H67" s="1"/>
  <c r="F66"/>
  <c r="H66" s="1"/>
  <c r="F65"/>
  <c r="H65" s="1"/>
  <c r="F64"/>
  <c r="H64" s="1"/>
  <c r="H63"/>
  <c r="I62"/>
  <c r="H62"/>
  <c r="H59"/>
  <c r="F57"/>
  <c r="I57" s="1"/>
  <c r="I54"/>
  <c r="F54"/>
  <c r="H54" s="1"/>
  <c r="H53"/>
  <c r="F52"/>
  <c r="H52" s="1"/>
  <c r="F51"/>
  <c r="H51" s="1"/>
  <c r="H50"/>
  <c r="F49"/>
  <c r="H49" s="1"/>
  <c r="F48"/>
  <c r="H48" s="1"/>
  <c r="F47"/>
  <c r="H47" s="1"/>
  <c r="F46"/>
  <c r="H46" s="1"/>
  <c r="F45"/>
  <c r="H45" s="1"/>
  <c r="H42"/>
  <c r="I41"/>
  <c r="H40"/>
  <c r="I39"/>
  <c r="I38"/>
  <c r="H38"/>
  <c r="H37"/>
  <c r="H35"/>
  <c r="H34"/>
  <c r="H33"/>
  <c r="F33"/>
  <c r="I33" s="1"/>
  <c r="F32"/>
  <c r="I32" s="1"/>
  <c r="F31"/>
  <c r="H31" s="1"/>
  <c r="F30"/>
  <c r="I30" s="1"/>
  <c r="E79" i="17"/>
  <c r="F78"/>
  <c r="I78" s="1"/>
  <c r="H76"/>
  <c r="H74"/>
  <c r="H72"/>
  <c r="H71"/>
  <c r="H70"/>
  <c r="H69"/>
  <c r="H67"/>
  <c r="F66"/>
  <c r="H66" s="1"/>
  <c r="F65"/>
  <c r="H65" s="1"/>
  <c r="F64"/>
  <c r="H64" s="1"/>
  <c r="F63"/>
  <c r="H63" s="1"/>
  <c r="F62"/>
  <c r="H62" s="1"/>
  <c r="H61"/>
  <c r="I60"/>
  <c r="H60"/>
  <c r="H58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F40"/>
  <c r="I40" s="1"/>
  <c r="F39"/>
  <c r="H39" s="1"/>
  <c r="I38"/>
  <c r="H38"/>
  <c r="H37"/>
  <c r="H35"/>
  <c r="H34"/>
  <c r="I27"/>
  <c r="H33"/>
  <c r="F33"/>
  <c r="I33" s="1"/>
  <c r="F32"/>
  <c r="H32" s="1"/>
  <c r="F31"/>
  <c r="H31" s="1"/>
  <c r="F30"/>
  <c r="H30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41" l="1"/>
  <c r="I41"/>
  <c r="H84" i="18"/>
  <c r="H86" s="1"/>
  <c r="H30"/>
  <c r="I31"/>
  <c r="H32"/>
  <c r="H39"/>
  <c r="I40"/>
  <c r="H41"/>
  <c r="I50"/>
  <c r="H57"/>
  <c r="H80" s="1"/>
  <c r="I32" i="17"/>
  <c r="I30"/>
  <c r="I31"/>
  <c r="H17"/>
  <c r="H75"/>
  <c r="H21"/>
  <c r="H78"/>
  <c r="I18"/>
  <c r="H18"/>
  <c r="I16"/>
  <c r="I20"/>
  <c r="H27"/>
  <c r="I39"/>
  <c r="H40"/>
  <c r="I49"/>
  <c r="I56"/>
  <c r="F79"/>
  <c r="I90" i="18" l="1"/>
  <c r="H79" i="17"/>
  <c r="H80" s="1"/>
  <c r="I79"/>
  <c r="I80" s="1"/>
  <c r="I86" l="1"/>
</calcChain>
</file>

<file path=xl/sharedStrings.xml><?xml version="1.0" encoding="utf-8"?>
<sst xmlns="http://schemas.openxmlformats.org/spreadsheetml/2006/main" count="2533" uniqueCount="261">
  <si>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</si>
  <si>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</si>
  <si>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</si>
  <si>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</si>
  <si>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</si>
  <si>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</si>
  <si>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</si>
  <si>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</si>
  <si>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</si>
  <si>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</si>
  <si>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</si>
  <si>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</si>
  <si>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</si>
  <si>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</si>
  <si>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</si>
  <si>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</si>
  <si>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</si>
  <si>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</si>
  <si>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</si>
  <si>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</si>
  <si>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</si>
  <si>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</si>
  <si>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</si>
  <si>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</si>
  <si>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</si>
  <si>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</si>
  <si>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</si>
  <si>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</si>
  <si>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</si>
  <si>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</si>
  <si>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</si>
  <si>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</si>
  <si>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</si>
  <si>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</si>
  <si>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</si>
  <si>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</si>
  <si>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</si>
  <si>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</si>
  <si>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</si>
  <si>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</si>
  <si>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</si>
  <si>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</si>
  <si>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</si>
  <si>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</si>
  <si>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</si>
  <si>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</si>
  <si>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</si>
  <si>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</si>
  <si>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</si>
  <si>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</si>
  <si>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</si>
  <si>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</si>
  <si>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</si>
  <si>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</si>
  <si>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</si>
  <si>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</si>
  <si>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</si>
  <si>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</si>
  <si>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</si>
  <si>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</si>
  <si>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</si>
  <si>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</si>
  <si>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</si>
  <si>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</si>
  <si>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</si>
  <si>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</si>
  <si>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</si>
  <si>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</si>
  <si>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</si>
  <si>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</si>
  <si>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</si>
  <si>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</si>
  <si>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</si>
  <si>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</si>
  <si>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</si>
  <si>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</si>
  <si>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</si>
  <si>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</si>
  <si>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</si>
  <si>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</si>
  <si>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</si>
  <si>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</si>
  <si>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</si>
  <si>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</si>
  <si>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</si>
  <si>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</si>
  <si>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</si>
  <si>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</si>
  <si>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</si>
  <si>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</si>
  <si>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</si>
  <si>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1 шт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</si>
  <si>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</si>
  <si>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</si>
  <si>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</si>
  <si>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</si>
  <si>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</si>
  <si>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</si>
  <si>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</si>
  <si>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</si>
  <si>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</si>
  <si>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</si>
  <si>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</si>
  <si>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</si>
  <si>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</si>
  <si>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</si>
  <si>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</si>
  <si>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</si>
  <si>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Сдвигание снега в дни снегопада (крыльца, тротуары)</t>
  </si>
  <si>
    <t>35 раз за сезон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</si>
  <si>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</si>
  <si>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</si>
  <si>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</si>
  <si>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</si>
  <si>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</si>
  <si>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</si>
  <si>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</si>
  <si>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</si>
  <si>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</si>
  <si>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</si>
  <si>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Замена ламп ДРЛ</t>
  </si>
  <si>
    <t>Аварийно-диспетчерское обслуживание</t>
  </si>
  <si>
    <t>Устройство хомута диаметром до 50 мм</t>
  </si>
  <si>
    <t xml:space="preserve">приемки оказанных услуг и выполненных работ по содержанию и текущему ремонту
общего имущества в многоквартирном доме №47 по ул.Октябрьская пгт.Ярега
</t>
  </si>
  <si>
    <t>генеральный директор Куканов Ю.Л.</t>
  </si>
  <si>
    <t>III. Проведение технических осмотров</t>
  </si>
  <si>
    <t>5 раз в год</t>
  </si>
  <si>
    <t>IV. Содержание oбщего имущества МКД</t>
  </si>
  <si>
    <t>V. Прочие услуги</t>
  </si>
  <si>
    <t>АКТ №1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</si>
  <si>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</si>
  <si>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</si>
  <si>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</si>
  <si>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Мелкий ремонт электропроводки</t>
  </si>
  <si>
    <t>1п.м.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</si>
  <si>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</si>
  <si>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</si>
  <si>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автовышки</t>
  </si>
  <si>
    <t>маш/час</t>
  </si>
  <si>
    <t>Ремонт ограждений контейнерной площадки</t>
  </si>
  <si>
    <t>тыс.руб.</t>
  </si>
  <si>
    <t>Смена тройника 25*20*25</t>
  </si>
  <si>
    <t>Прочистка каналов</t>
  </si>
  <si>
    <t>АКТ №2</t>
  </si>
  <si>
    <t>АКТ №3</t>
  </si>
  <si>
    <t>III. Содержание oбщего имущества МКД</t>
  </si>
  <si>
    <t>IV. Прочие услуги</t>
  </si>
  <si>
    <t>АКТ №4</t>
  </si>
  <si>
    <t>АКТ №5</t>
  </si>
  <si>
    <t>АКТ №6</t>
  </si>
  <si>
    <t>III. Прочие услуги</t>
  </si>
  <si>
    <t>АКТ №7</t>
  </si>
  <si>
    <t>АКТ №8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</si>
  <si>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</si>
  <si>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</si>
  <si>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д.47</t>
    </r>
  </si>
  <si>
    <t>Итого затраты за месяц</t>
  </si>
  <si>
    <t>52 раза в сезон</t>
  </si>
  <si>
    <t>78 раз за сезон</t>
  </si>
  <si>
    <t>Подключение и отключение сварочного аппарата</t>
  </si>
  <si>
    <t>АКТ №11</t>
  </si>
  <si>
    <t>АКТ №12</t>
  </si>
  <si>
    <t>Дератизация</t>
  </si>
  <si>
    <t>м2</t>
  </si>
  <si>
    <t>м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</si>
  <si>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</si>
  <si>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14.02.2014г.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</si>
  <si>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</si>
  <si>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Организация и содержание мест накопления ТКО</t>
  </si>
  <si>
    <t>13 раз</t>
  </si>
  <si>
    <t>8 раз</t>
  </si>
  <si>
    <t>2 раза</t>
  </si>
  <si>
    <t>1 раз</t>
  </si>
  <si>
    <t xml:space="preserve">1 раз </t>
  </si>
  <si>
    <t>21 раз</t>
  </si>
  <si>
    <t>5 раз</t>
  </si>
  <si>
    <t>25 раз</t>
  </si>
  <si>
    <t>6 раз</t>
  </si>
  <si>
    <t>7 раз</t>
  </si>
  <si>
    <t xml:space="preserve">Осмотр водопроводов, канализации, отопления </t>
  </si>
  <si>
    <t>за период с 01.01.2020 г. по 31.01.2020 г.</t>
  </si>
  <si>
    <t>09.01.2020 и 15.01.2020</t>
  </si>
  <si>
    <t>2. Всего за период с 01.01.2020 по 31.01.2020 выполнено работ (оказано услуг) на общую сумму: 13015,46 руб.</t>
  </si>
  <si>
    <t>(тринадцать тысяч пятнадцать рублей  46 копеек )</t>
  </si>
  <si>
    <t>за период с 01.02.2020 г. по 28.02.2020 г.</t>
  </si>
  <si>
    <t>28.02.202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</si>
  <si>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21.01.2020г.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</si>
  <si>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Подметание снега с вх.площ.</t>
  </si>
  <si>
    <t>Очистка территории 1-го класса с усовершенствованным покрытием под скребок: вх.площадки</t>
  </si>
  <si>
    <t>12 аз</t>
  </si>
  <si>
    <t>Очистка вручную от снега и наледи люков водопроводных и канализационных колодцев</t>
  </si>
  <si>
    <t xml:space="preserve">2 раза </t>
  </si>
  <si>
    <t>Техническое обслуживание внутренних сетей водопровода и канализации</t>
  </si>
  <si>
    <t>руб/м2 в мес.</t>
  </si>
  <si>
    <t>Водоснабжение и канализация</t>
  </si>
  <si>
    <t>Обслуживание ОДПУ холодной воды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</si>
  <si>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</si>
  <si>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</si>
  <si>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10,18,20,26</t>
  </si>
  <si>
    <t>2. Всего за период с 01.02.2020 по 29.02.2020 выполнено работ (оказано услуг) на общую сумму: 24003,96 руб.</t>
  </si>
  <si>
    <t>(двадцать четыре тысячи три рубля 96 копеек)</t>
  </si>
  <si>
    <t>за период с 01.03.2020 г. по 31.03.2020 г.</t>
  </si>
  <si>
    <t>2,13,19 марта</t>
  </si>
  <si>
    <t>1 маш/час</t>
  </si>
  <si>
    <t>2. Всего за период с 01.03.2020 по 31.03.2020 выполнено работ (оказано услуг) на общую сумму: 22179,33 руб.</t>
  </si>
  <si>
    <t>(двадцать две тысячи сто семьдесят девять рублей 33 копейки)</t>
  </si>
  <si>
    <t>за период с 01.04.2020 г. по 30.04.2020 г.</t>
  </si>
  <si>
    <t>2. Всего за период с 01.04.2020 по 30.04.2020 выполнено работ (оказано услуг) на общую сумму: 18411,64 руб.</t>
  </si>
  <si>
    <t>(восемнадцать тысяч четыреста одиннадцать рублей 64 копейки)</t>
  </si>
  <si>
    <t>за период с 01.05.2020 г. по 31.05.2020 г.</t>
  </si>
  <si>
    <t>2 раз</t>
  </si>
  <si>
    <t>Подметание территории с усовершенствованным покрытием асф.: вх.площ.</t>
  </si>
  <si>
    <t>Очистка  урн от мусора</t>
  </si>
  <si>
    <t>100шт</t>
  </si>
  <si>
    <t>4 раза</t>
  </si>
  <si>
    <t>12 раз</t>
  </si>
  <si>
    <t>2. Всего за период с 01.05.2020 по 31.05.2020 выполнено работ (оказано услуг) на общую сумму: 25293,55  руб.</t>
  </si>
  <si>
    <t>(двадцать пять тысяч двести девяносто три рубля 55 копеек)</t>
  </si>
  <si>
    <t>за период с 01.06.2020 г. по 30.06.2020 г.</t>
  </si>
  <si>
    <t xml:space="preserve">1 раз    </t>
  </si>
  <si>
    <t xml:space="preserve">1 раз   </t>
  </si>
  <si>
    <t xml:space="preserve">1 раз  </t>
  </si>
  <si>
    <t xml:space="preserve">1 раз     </t>
  </si>
  <si>
    <t>2. Всего за период с 01.06.2020 по 30.06.2020 выполнено работ (оказано услуг) на общую сумму: 48528,64 руб.</t>
  </si>
  <si>
    <t>(сорок восемь тысяч пятьсот двадцать восемь рублей 64 копейки)</t>
  </si>
  <si>
    <t>за период с 01.07.2020 г. по 31.07.2020 г.</t>
  </si>
  <si>
    <t>Смена внутренних трубопроводов а полипропиленовые трубы PN 25 Dу 20</t>
  </si>
  <si>
    <t>ГВС кв.2 -1 м</t>
  </si>
  <si>
    <t xml:space="preserve">Внеплановая проверка вентканалов </t>
  </si>
  <si>
    <t>кв.2</t>
  </si>
  <si>
    <t>за период с 01.08.2020 г. по 31.08.2020 г.</t>
  </si>
  <si>
    <t>Оштукатуривание и побелка стен и потолка в коридоре ( под.№1)</t>
  </si>
  <si>
    <t>26,6 м2</t>
  </si>
  <si>
    <t>за период с 01.09.2020 г. по 30.09.2020 г.</t>
  </si>
  <si>
    <t>по мере необходимости</t>
  </si>
  <si>
    <t>Закрыли слуховое окно</t>
  </si>
  <si>
    <t>Прочистка фильтров</t>
  </si>
  <si>
    <t>3м</t>
  </si>
  <si>
    <t>ГВС кв.5</t>
  </si>
  <si>
    <t>2. Всего за период с 01.08.2020 по 31.08.2020 выполнено работ (оказано услуг) на общую сумму: 46053,82 руб.</t>
  </si>
  <si>
    <t>( сорок шесть тысяч пятьдесят три рубля 82 копейки)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</si>
  <si>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</si>
  <si>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ул.Октябрьская, д.47,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21.01.2020г.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</si>
  <si>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Ремонт конька</t>
  </si>
  <si>
    <t>10 м</t>
  </si>
  <si>
    <t>Утепление стены фасада( торец)+окраска</t>
  </si>
  <si>
    <t>руб</t>
  </si>
  <si>
    <t>2. Всего за период с 01.10.2020 по 31.10.2020 выполнено работ (оказано услуг) на общую сумму: 98319,85 руб.</t>
  </si>
  <si>
    <t>(девяносто восемь тысяч триста девятнадцать рублей 85 копеек)</t>
  </si>
  <si>
    <t>генеральный директор Кочанова И.Л.</t>
  </si>
  <si>
    <t>за период с 01.11.2020 г. по 30.11.2020 г.</t>
  </si>
  <si>
    <t>2. Всего за период с 01.11.2020 по 30.11.2020 выполнено работ (оказано услуг) на общую сумму: 18451,25 руб.</t>
  </si>
  <si>
    <t>(восемнадцать тысяч четыреста пятьдесят один рубль 25 копеек)</t>
  </si>
  <si>
    <t>за период с 01.12.2020 г. по 31.12.2020 г.</t>
  </si>
  <si>
    <t>0,8 ч ( 18 и 21 дек)</t>
  </si>
  <si>
    <t>2. Всего за период с 01.12.2020 по 31.12.2020 выполнено работ (оказано услуг) на общую сумму: 24386,12 руб.</t>
  </si>
  <si>
    <t>(двадцать четыре тысячи триста восемьдесят шесть рублей 12 копеек)</t>
  </si>
  <si>
    <t>2. Всего за период с 01.07.2020 по 31.07.2020 выполнено работ (оказано услуг) на общую сумму: 18412,55 руб.</t>
  </si>
  <si>
    <t>(восемнадцать тысяч четыреста двенадцать рублей 55 копек)</t>
  </si>
  <si>
    <t>2. Всего за период с 01.09.2020 по 30.09.2020 выполнено работ (оказано услуг) на общую сумму: 21396,18 руб.</t>
  </si>
  <si>
    <t>(двадцать одна тысяча триста девяносто шесть рублей 18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</si>
</sst>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left" vertical="center" wrapText="1"/>
    </xf>
    <xf numFmtId="4" fontId="19" fillId="2" borderId="17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left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4" fontId="11" fillId="2" borderId="17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2" borderId="17" xfId="0" applyNumberFormat="1" applyFont="1" applyFill="1" applyBorder="1" applyAlignment="1" applyProtection="1">
      <alignment horizontal="left" vertical="center" wrapText="1"/>
    </xf>
    <xf numFmtId="0" fontId="11" fillId="2" borderId="17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7"/>
  <sheetViews>
    <sheetView topLeftCell="A43" workbookViewId="0">
      <selection activeCell="I89" sqref="I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129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180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43861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166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63" t="s">
        <v>82</v>
      </c>
      <c r="C16" s="64" t="s">
        <v>83</v>
      </c>
      <c r="D16" s="63" t="s">
        <v>169</v>
      </c>
      <c r="E16" s="65">
        <v>37.6</v>
      </c>
      <c r="F16" s="66">
        <f>SUM(E16*156/100)</f>
        <v>58.656000000000006</v>
      </c>
      <c r="G16" s="66">
        <v>187.48</v>
      </c>
      <c r="H16" s="67">
        <f t="shared" ref="H16:H26" si="0">SUM(F16*G16/1000)</f>
        <v>10.99682688</v>
      </c>
      <c r="I16" s="13">
        <f>F16/12*G16</f>
        <v>916.40224000000012</v>
      </c>
      <c r="J16" s="24"/>
      <c r="K16" s="8"/>
      <c r="L16" s="8"/>
      <c r="M16" s="8"/>
    </row>
    <row r="17" spans="1:13" ht="15.75" customHeight="1">
      <c r="A17" s="32">
        <v>2</v>
      </c>
      <c r="B17" s="63" t="s">
        <v>130</v>
      </c>
      <c r="C17" s="64" t="s">
        <v>83</v>
      </c>
      <c r="D17" s="63" t="s">
        <v>170</v>
      </c>
      <c r="E17" s="65">
        <v>75.2</v>
      </c>
      <c r="F17" s="66">
        <f>SUM(E17*104/100)</f>
        <v>78.207999999999998</v>
      </c>
      <c r="G17" s="66">
        <v>187.48</v>
      </c>
      <c r="H17" s="67">
        <f t="shared" si="0"/>
        <v>14.662435839999999</v>
      </c>
      <c r="I17" s="13">
        <f>F17/12*G17</f>
        <v>1221.8696533333332</v>
      </c>
      <c r="J17" s="25"/>
      <c r="K17" s="8"/>
      <c r="L17" s="8"/>
      <c r="M17" s="8"/>
    </row>
    <row r="18" spans="1:13" ht="15.75" customHeight="1">
      <c r="A18" s="32">
        <v>3</v>
      </c>
      <c r="B18" s="63" t="s">
        <v>131</v>
      </c>
      <c r="C18" s="64" t="s">
        <v>83</v>
      </c>
      <c r="D18" s="63" t="s">
        <v>171</v>
      </c>
      <c r="E18" s="65">
        <f>SUM(E16+E17)</f>
        <v>112.80000000000001</v>
      </c>
      <c r="F18" s="66">
        <f>SUM(E18*24/100)</f>
        <v>27.072000000000003</v>
      </c>
      <c r="G18" s="66">
        <v>539.30999999999995</v>
      </c>
      <c r="H18" s="67">
        <f t="shared" si="0"/>
        <v>14.600200320000001</v>
      </c>
      <c r="I18" s="13">
        <f>F18/12*G18</f>
        <v>1216.68336</v>
      </c>
      <c r="J18" s="25"/>
      <c r="K18" s="8"/>
      <c r="L18" s="8"/>
      <c r="M18" s="8"/>
    </row>
    <row r="19" spans="1:13" ht="15.75" hidden="1" customHeight="1">
      <c r="A19" s="32">
        <v>4</v>
      </c>
      <c r="B19" s="63" t="s">
        <v>92</v>
      </c>
      <c r="C19" s="64" t="s">
        <v>93</v>
      </c>
      <c r="D19" s="63" t="s">
        <v>94</v>
      </c>
      <c r="E19" s="65">
        <v>15</v>
      </c>
      <c r="F19" s="66">
        <f>SUM(E19/10)</f>
        <v>1.5</v>
      </c>
      <c r="G19" s="66">
        <v>160.22999999999999</v>
      </c>
      <c r="H19" s="67">
        <f t="shared" si="0"/>
        <v>0.24034499999999998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63" t="s">
        <v>95</v>
      </c>
      <c r="C20" s="64" t="s">
        <v>83</v>
      </c>
      <c r="D20" s="63" t="s">
        <v>172</v>
      </c>
      <c r="E20" s="65">
        <v>8.76</v>
      </c>
      <c r="F20" s="66">
        <f>SUM(E20*12/100)</f>
        <v>1.0512000000000001</v>
      </c>
      <c r="G20" s="66">
        <v>205.16</v>
      </c>
      <c r="H20" s="67">
        <f t="shared" si="0"/>
        <v>0.215664192</v>
      </c>
      <c r="I20" s="13">
        <f>F20/12*G20</f>
        <v>17.972016000000004</v>
      </c>
      <c r="J20" s="25"/>
      <c r="K20" s="8"/>
      <c r="L20" s="8"/>
      <c r="M20" s="8"/>
    </row>
    <row r="21" spans="1:13" ht="15.75" customHeight="1">
      <c r="A21" s="32">
        <v>5</v>
      </c>
      <c r="B21" s="63" t="s">
        <v>96</v>
      </c>
      <c r="C21" s="64" t="s">
        <v>83</v>
      </c>
      <c r="D21" s="63" t="s">
        <v>173</v>
      </c>
      <c r="E21" s="65">
        <v>1.08</v>
      </c>
      <c r="F21" s="66">
        <f>SUM(E21*6/100)</f>
        <v>6.480000000000001E-2</v>
      </c>
      <c r="G21" s="66">
        <v>203.5</v>
      </c>
      <c r="H21" s="67">
        <f t="shared" si="0"/>
        <v>1.3186800000000002E-2</v>
      </c>
      <c r="I21" s="13">
        <f>F21/6*G21</f>
        <v>2.1978000000000004</v>
      </c>
      <c r="J21" s="25"/>
      <c r="K21" s="8"/>
      <c r="L21" s="8"/>
      <c r="M21" s="8"/>
    </row>
    <row r="22" spans="1:13" ht="15.75" hidden="1" customHeight="1">
      <c r="A22" s="32">
        <v>7</v>
      </c>
      <c r="B22" s="63" t="s">
        <v>97</v>
      </c>
      <c r="C22" s="64" t="s">
        <v>52</v>
      </c>
      <c r="D22" s="63" t="s">
        <v>94</v>
      </c>
      <c r="E22" s="65">
        <v>107.1</v>
      </c>
      <c r="F22" s="66">
        <f>SUM(E22/100)</f>
        <v>1.071</v>
      </c>
      <c r="G22" s="66">
        <v>253.54</v>
      </c>
      <c r="H22" s="67">
        <f t="shared" si="0"/>
        <v>0.27154133999999996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63" t="s">
        <v>98</v>
      </c>
      <c r="C23" s="64" t="s">
        <v>52</v>
      </c>
      <c r="D23" s="63" t="s">
        <v>94</v>
      </c>
      <c r="E23" s="68">
        <v>14.5</v>
      </c>
      <c r="F23" s="66">
        <f>SUM(E23/100)</f>
        <v>0.14499999999999999</v>
      </c>
      <c r="G23" s="66">
        <v>41.7</v>
      </c>
      <c r="H23" s="67">
        <f t="shared" si="0"/>
        <v>6.0464999999999998E-3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63" t="s">
        <v>99</v>
      </c>
      <c r="C24" s="64" t="s">
        <v>52</v>
      </c>
      <c r="D24" s="63" t="s">
        <v>100</v>
      </c>
      <c r="E24" s="65">
        <v>6</v>
      </c>
      <c r="F24" s="66">
        <f>E24/100</f>
        <v>0.06</v>
      </c>
      <c r="G24" s="66">
        <v>366.97</v>
      </c>
      <c r="H24" s="67">
        <f t="shared" si="0"/>
        <v>2.2018200000000002E-2</v>
      </c>
      <c r="I24" s="13">
        <v>0</v>
      </c>
      <c r="J24" s="25"/>
      <c r="K24" s="8"/>
      <c r="L24" s="8"/>
      <c r="M24" s="8"/>
    </row>
    <row r="25" spans="1:13" ht="15.75" hidden="1" customHeight="1">
      <c r="A25" s="32">
        <v>10</v>
      </c>
      <c r="B25" s="63" t="s">
        <v>101</v>
      </c>
      <c r="C25" s="64" t="s">
        <v>52</v>
      </c>
      <c r="D25" s="63" t="s">
        <v>53</v>
      </c>
      <c r="E25" s="65">
        <v>5.7</v>
      </c>
      <c r="F25" s="66">
        <f>E25/100</f>
        <v>5.7000000000000002E-2</v>
      </c>
      <c r="G25" s="66">
        <v>203.5</v>
      </c>
      <c r="H25" s="67">
        <f t="shared" si="0"/>
        <v>1.15995E-2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63" t="s">
        <v>102</v>
      </c>
      <c r="C26" s="64" t="s">
        <v>52</v>
      </c>
      <c r="D26" s="63" t="s">
        <v>94</v>
      </c>
      <c r="E26" s="65">
        <v>2.5499999999999998</v>
      </c>
      <c r="F26" s="66">
        <f>SUM(E26/100)</f>
        <v>2.5499999999999998E-2</v>
      </c>
      <c r="G26" s="66">
        <v>408.4</v>
      </c>
      <c r="H26" s="67">
        <f t="shared" si="0"/>
        <v>1.0414199999999998E-2</v>
      </c>
      <c r="I26" s="13">
        <v>0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1.97</v>
      </c>
      <c r="F27" s="107">
        <f>E27*258</f>
        <v>508.26</v>
      </c>
      <c r="G27" s="107">
        <v>10.39</v>
      </c>
      <c r="H27" s="67">
        <f>SUM(F27*G27/1000)</f>
        <v>5.2808213999999998</v>
      </c>
      <c r="I27" s="13">
        <f>F27/12*G27</f>
        <v>440.06844999999998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hidden="1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63" t="s">
        <v>107</v>
      </c>
      <c r="C30" s="64" t="s">
        <v>86</v>
      </c>
      <c r="D30" s="63" t="s">
        <v>103</v>
      </c>
      <c r="E30" s="66">
        <v>266.57</v>
      </c>
      <c r="F30" s="66">
        <f>SUM(E30*52/1000)</f>
        <v>13.86164</v>
      </c>
      <c r="G30" s="66">
        <v>146.79</v>
      </c>
      <c r="H30" s="67">
        <f t="shared" ref="H30:H35" si="1">SUM(F30*G30/1000)</f>
        <v>2.0347501356</v>
      </c>
      <c r="I30" s="13">
        <f t="shared" ref="I30:I33" si="2">F30/6*G30</f>
        <v>339.12502259999997</v>
      </c>
      <c r="J30" s="25"/>
      <c r="K30" s="8"/>
      <c r="L30" s="8"/>
      <c r="M30" s="8"/>
    </row>
    <row r="31" spans="1:13" ht="31.5" hidden="1" customHeight="1">
      <c r="A31" s="32">
        <v>9</v>
      </c>
      <c r="B31" s="63" t="s">
        <v>106</v>
      </c>
      <c r="C31" s="64" t="s">
        <v>86</v>
      </c>
      <c r="D31" s="63" t="s">
        <v>104</v>
      </c>
      <c r="E31" s="66">
        <v>48.03</v>
      </c>
      <c r="F31" s="66">
        <f>SUM(E31*78/1000)</f>
        <v>3.74634</v>
      </c>
      <c r="G31" s="66">
        <v>243.54</v>
      </c>
      <c r="H31" s="67">
        <f t="shared" si="1"/>
        <v>0.91238364360000002</v>
      </c>
      <c r="I31" s="13">
        <f t="shared" si="2"/>
        <v>152.0639406</v>
      </c>
      <c r="J31" s="25"/>
      <c r="K31" s="8"/>
      <c r="L31" s="8"/>
      <c r="M31" s="8"/>
    </row>
    <row r="32" spans="1:13" ht="15.75" hidden="1" customHeight="1">
      <c r="A32" s="32">
        <v>10</v>
      </c>
      <c r="B32" s="63" t="s">
        <v>26</v>
      </c>
      <c r="C32" s="64" t="s">
        <v>86</v>
      </c>
      <c r="D32" s="63" t="s">
        <v>53</v>
      </c>
      <c r="E32" s="66">
        <v>266.57</v>
      </c>
      <c r="F32" s="66">
        <f>SUM(E32/1000)</f>
        <v>0.26656999999999997</v>
      </c>
      <c r="G32" s="66">
        <v>2844</v>
      </c>
      <c r="H32" s="67">
        <f t="shared" si="1"/>
        <v>0.7581250799999999</v>
      </c>
      <c r="I32" s="13">
        <f>F32*G32</f>
        <v>758.12507999999991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105</v>
      </c>
      <c r="C33" s="64" t="s">
        <v>29</v>
      </c>
      <c r="D33" s="63" t="s">
        <v>62</v>
      </c>
      <c r="E33" s="70">
        <v>0.33333333333333331</v>
      </c>
      <c r="F33" s="66">
        <f>155/3</f>
        <v>51.666666666666664</v>
      </c>
      <c r="G33" s="66">
        <v>53.38</v>
      </c>
      <c r="H33" s="67">
        <f>SUM(G33*155/3/1000)</f>
        <v>2.7579666666666669</v>
      </c>
      <c r="I33" s="13">
        <f t="shared" si="2"/>
        <v>459.6611111111111</v>
      </c>
      <c r="J33" s="25"/>
      <c r="K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si="1"/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1"/>
        <v>1.2147399999999999</v>
      </c>
      <c r="I35" s="13">
        <v>0</v>
      </c>
      <c r="J35" s="26"/>
    </row>
    <row r="36" spans="1:14" ht="15.75" customHeight="1">
      <c r="A36" s="32"/>
      <c r="B36" s="84" t="s">
        <v>5</v>
      </c>
      <c r="C36" s="64"/>
      <c r="D36" s="63"/>
      <c r="E36" s="65"/>
      <c r="F36" s="66"/>
      <c r="G36" s="66"/>
      <c r="H36" s="67" t="s">
        <v>132</v>
      </c>
      <c r="I36" s="13"/>
      <c r="J36" s="26"/>
    </row>
    <row r="37" spans="1:14" ht="32.25" customHeight="1">
      <c r="A37" s="32">
        <v>7</v>
      </c>
      <c r="B37" s="63" t="s">
        <v>25</v>
      </c>
      <c r="C37" s="64" t="s">
        <v>30</v>
      </c>
      <c r="D37" s="63" t="s">
        <v>181</v>
      </c>
      <c r="E37" s="65"/>
      <c r="F37" s="66">
        <v>3</v>
      </c>
      <c r="G37" s="66">
        <v>1632.6</v>
      </c>
      <c r="H37" s="67">
        <f t="shared" ref="H37:H42" si="3">SUM(F37*G37/1000)</f>
        <v>4.8977999999999993</v>
      </c>
      <c r="I37" s="13">
        <f>G37*0.7</f>
        <v>1142.82</v>
      </c>
      <c r="J37" s="26"/>
    </row>
    <row r="38" spans="1:14" ht="15.75" customHeight="1">
      <c r="A38" s="32">
        <v>8</v>
      </c>
      <c r="B38" s="63" t="s">
        <v>108</v>
      </c>
      <c r="C38" s="64" t="s">
        <v>28</v>
      </c>
      <c r="D38" s="63" t="s">
        <v>175</v>
      </c>
      <c r="E38" s="65">
        <v>48.03</v>
      </c>
      <c r="F38" s="66">
        <v>1.44</v>
      </c>
      <c r="G38" s="66">
        <v>1979.95</v>
      </c>
      <c r="H38" s="67">
        <f>G38*F38/1000</f>
        <v>2.8511280000000001</v>
      </c>
      <c r="I38" s="13">
        <f t="shared" ref="I38:I40" si="4">F38/6*G38</f>
        <v>475.18799999999999</v>
      </c>
      <c r="J38" s="26"/>
      <c r="L38" s="19"/>
      <c r="M38" s="20"/>
      <c r="N38" s="21"/>
    </row>
    <row r="39" spans="1:14" ht="15.75" customHeight="1">
      <c r="A39" s="32">
        <v>9</v>
      </c>
      <c r="B39" s="63" t="s">
        <v>66</v>
      </c>
      <c r="C39" s="64" t="s">
        <v>28</v>
      </c>
      <c r="D39" s="63" t="s">
        <v>176</v>
      </c>
      <c r="E39" s="66">
        <v>48.03</v>
      </c>
      <c r="F39" s="66">
        <f>SUM(E39*155/1000)</f>
        <v>7.4446500000000002</v>
      </c>
      <c r="G39" s="66">
        <v>330.27</v>
      </c>
      <c r="H39" s="67">
        <f t="shared" si="3"/>
        <v>2.4587445555</v>
      </c>
      <c r="I39" s="13">
        <f t="shared" si="4"/>
        <v>409.79075924999995</v>
      </c>
      <c r="J39" s="26"/>
      <c r="L39" s="19"/>
      <c r="M39" s="20"/>
      <c r="N39" s="21"/>
    </row>
    <row r="40" spans="1:14" ht="47.25" customHeight="1">
      <c r="A40" s="32">
        <v>10</v>
      </c>
      <c r="B40" s="63" t="s">
        <v>79</v>
      </c>
      <c r="C40" s="64" t="s">
        <v>86</v>
      </c>
      <c r="D40" s="63" t="s">
        <v>177</v>
      </c>
      <c r="E40" s="66">
        <v>48.03</v>
      </c>
      <c r="F40" s="66">
        <f>SUM(E40*35/1000)</f>
        <v>1.6810499999999999</v>
      </c>
      <c r="G40" s="66">
        <v>5464.48</v>
      </c>
      <c r="H40" s="67">
        <f t="shared" si="3"/>
        <v>9.1860641039999997</v>
      </c>
      <c r="I40" s="13">
        <f t="shared" si="4"/>
        <v>1531.0106839999999</v>
      </c>
      <c r="J40" s="26"/>
      <c r="L40" s="19"/>
      <c r="M40" s="20"/>
      <c r="N40" s="21"/>
    </row>
    <row r="41" spans="1:14" ht="15.75" hidden="1" customHeight="1">
      <c r="A41" s="32">
        <v>11</v>
      </c>
      <c r="B41" s="63" t="s">
        <v>87</v>
      </c>
      <c r="C41" s="64" t="s">
        <v>86</v>
      </c>
      <c r="D41" s="63" t="s">
        <v>178</v>
      </c>
      <c r="E41" s="66">
        <v>48.03</v>
      </c>
      <c r="F41" s="66">
        <f>SUM(E41*45/1000)</f>
        <v>2.1613500000000001</v>
      </c>
      <c r="G41" s="66">
        <v>403.67</v>
      </c>
      <c r="H41" s="67">
        <f t="shared" si="3"/>
        <v>0.87247215450000015</v>
      </c>
      <c r="I41" s="13">
        <f>F41/7.5*G41</f>
        <v>116.3296206</v>
      </c>
      <c r="J41" s="26"/>
      <c r="L41" s="19"/>
      <c r="M41" s="20"/>
      <c r="N41" s="21"/>
    </row>
    <row r="42" spans="1:14" ht="15.75" hidden="1" customHeight="1">
      <c r="A42" s="32">
        <v>12</v>
      </c>
      <c r="B42" s="63" t="s">
        <v>68</v>
      </c>
      <c r="C42" s="64" t="s">
        <v>31</v>
      </c>
      <c r="D42" s="63"/>
      <c r="E42" s="65"/>
      <c r="F42" s="66">
        <v>0.53</v>
      </c>
      <c r="G42" s="66">
        <v>750.34</v>
      </c>
      <c r="H42" s="67">
        <f t="shared" si="3"/>
        <v>0.39768020000000004</v>
      </c>
      <c r="I42" s="13">
        <f>F42/7.5*G42</f>
        <v>53.024026666666671</v>
      </c>
      <c r="J42" s="26"/>
      <c r="L42" s="19"/>
      <c r="M42" s="20"/>
      <c r="N42" s="21"/>
    </row>
    <row r="43" spans="1:14" ht="15.75" customHeight="1">
      <c r="A43" s="165" t="s">
        <v>125</v>
      </c>
      <c r="B43" s="166"/>
      <c r="C43" s="166"/>
      <c r="D43" s="166"/>
      <c r="E43" s="166"/>
      <c r="F43" s="166"/>
      <c r="G43" s="166"/>
      <c r="H43" s="166"/>
      <c r="I43" s="167"/>
      <c r="J43" s="26"/>
      <c r="L43" s="19"/>
      <c r="M43" s="20"/>
      <c r="N43" s="21"/>
    </row>
    <row r="44" spans="1:14" ht="15.75" hidden="1" customHeight="1">
      <c r="A44" s="32"/>
      <c r="B44" s="63" t="s">
        <v>110</v>
      </c>
      <c r="C44" s="64" t="s">
        <v>86</v>
      </c>
      <c r="D44" s="63" t="s">
        <v>41</v>
      </c>
      <c r="E44" s="65">
        <v>636.25</v>
      </c>
      <c r="F44" s="66">
        <f>SUM(E44*2/1000)</f>
        <v>1.2725</v>
      </c>
      <c r="G44" s="13">
        <v>762.53</v>
      </c>
      <c r="H44" s="67">
        <f t="shared" ref="H44:H53" si="5">SUM(F44*G44/1000)</f>
        <v>0.9703194249999999</v>
      </c>
      <c r="I44" s="13">
        <v>0</v>
      </c>
      <c r="J44" s="26"/>
      <c r="L44" s="19"/>
      <c r="M44" s="20"/>
      <c r="N44" s="21"/>
    </row>
    <row r="45" spans="1:14" ht="15.75" hidden="1" customHeight="1">
      <c r="A45" s="32"/>
      <c r="B45" s="63" t="s">
        <v>34</v>
      </c>
      <c r="C45" s="64" t="s">
        <v>86</v>
      </c>
      <c r="D45" s="63" t="s">
        <v>41</v>
      </c>
      <c r="E45" s="65">
        <v>26</v>
      </c>
      <c r="F45" s="66">
        <f>SUM(E45*2/1000)</f>
        <v>5.1999999999999998E-2</v>
      </c>
      <c r="G45" s="13">
        <v>545.65</v>
      </c>
      <c r="H45" s="67">
        <f t="shared" si="5"/>
        <v>2.8373799999999998E-2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35</v>
      </c>
      <c r="C46" s="64" t="s">
        <v>86</v>
      </c>
      <c r="D46" s="63" t="s">
        <v>41</v>
      </c>
      <c r="E46" s="65">
        <v>579</v>
      </c>
      <c r="F46" s="66">
        <f>SUM(E46*2/1000)</f>
        <v>1.1579999999999999</v>
      </c>
      <c r="G46" s="13">
        <v>545.65</v>
      </c>
      <c r="H46" s="67">
        <f t="shared" si="5"/>
        <v>0.63186269999999989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36</v>
      </c>
      <c r="C47" s="64" t="s">
        <v>86</v>
      </c>
      <c r="D47" s="63" t="s">
        <v>41</v>
      </c>
      <c r="E47" s="65">
        <v>683.33</v>
      </c>
      <c r="F47" s="66">
        <f>SUM(E47*2/1000)</f>
        <v>1.36666</v>
      </c>
      <c r="G47" s="13">
        <v>571.35</v>
      </c>
      <c r="H47" s="67">
        <f t="shared" si="5"/>
        <v>0.78084119099999993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32</v>
      </c>
      <c r="C48" s="64" t="s">
        <v>33</v>
      </c>
      <c r="D48" s="63" t="s">
        <v>41</v>
      </c>
      <c r="E48" s="65">
        <v>44.11</v>
      </c>
      <c r="F48" s="66">
        <f>SUM(E48*2/100)</f>
        <v>0.88219999999999998</v>
      </c>
      <c r="G48" s="13">
        <v>68.56</v>
      </c>
      <c r="H48" s="67">
        <f t="shared" si="5"/>
        <v>6.0483632000000002E-2</v>
      </c>
      <c r="I48" s="13">
        <v>0</v>
      </c>
      <c r="J48" s="26"/>
      <c r="L48" s="19"/>
      <c r="M48" s="20"/>
      <c r="N48" s="21"/>
    </row>
    <row r="49" spans="1:22" ht="15.75" customHeight="1">
      <c r="A49" s="32">
        <v>11</v>
      </c>
      <c r="B49" s="63" t="s">
        <v>55</v>
      </c>
      <c r="C49" s="64" t="s">
        <v>86</v>
      </c>
      <c r="D49" s="63" t="s">
        <v>172</v>
      </c>
      <c r="E49" s="65">
        <v>1140</v>
      </c>
      <c r="F49" s="66">
        <f>SUM(E49*5/1000)</f>
        <v>5.7</v>
      </c>
      <c r="G49" s="13">
        <v>1142.7</v>
      </c>
      <c r="H49" s="67">
        <f t="shared" si="5"/>
        <v>6.5133900000000002</v>
      </c>
      <c r="I49" s="13">
        <f>F49/5*G49</f>
        <v>1302.6780000000001</v>
      </c>
      <c r="J49" s="26"/>
      <c r="L49" s="19"/>
      <c r="M49" s="20"/>
      <c r="N49" s="21"/>
    </row>
    <row r="50" spans="1:22" ht="31.5" hidden="1" customHeight="1">
      <c r="A50" s="32"/>
      <c r="B50" s="63" t="s">
        <v>88</v>
      </c>
      <c r="C50" s="64" t="s">
        <v>86</v>
      </c>
      <c r="D50" s="63" t="s">
        <v>41</v>
      </c>
      <c r="E50" s="65">
        <v>1140</v>
      </c>
      <c r="F50" s="66">
        <f>SUM(E50*2/1000)</f>
        <v>2.2799999999999998</v>
      </c>
      <c r="G50" s="13">
        <v>1142.7</v>
      </c>
      <c r="H50" s="67">
        <f t="shared" si="5"/>
        <v>2.6053559999999996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63" t="s">
        <v>89</v>
      </c>
      <c r="C51" s="64" t="s">
        <v>37</v>
      </c>
      <c r="D51" s="63" t="s">
        <v>41</v>
      </c>
      <c r="E51" s="65">
        <v>9</v>
      </c>
      <c r="F51" s="66">
        <f>SUM(E51*2/100)</f>
        <v>0.18</v>
      </c>
      <c r="G51" s="13">
        <v>2571.08</v>
      </c>
      <c r="H51" s="67">
        <f t="shared" si="5"/>
        <v>0.46279439999999999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5322.15</v>
      </c>
      <c r="H52" s="67">
        <f t="shared" si="5"/>
        <v>0.106443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15</v>
      </c>
      <c r="B53" s="63" t="s">
        <v>40</v>
      </c>
      <c r="C53" s="64" t="s">
        <v>111</v>
      </c>
      <c r="D53" s="63" t="s">
        <v>69</v>
      </c>
      <c r="E53" s="65">
        <v>36</v>
      </c>
      <c r="F53" s="66">
        <f>SUM(E53)*3</f>
        <v>108</v>
      </c>
      <c r="G53" s="13">
        <v>61.84</v>
      </c>
      <c r="H53" s="67">
        <f t="shared" si="5"/>
        <v>6.6787200000000002</v>
      </c>
      <c r="I53" s="13">
        <f>E53*G53</f>
        <v>2226.2400000000002</v>
      </c>
      <c r="J53" s="26"/>
      <c r="L53" s="19"/>
      <c r="M53" s="20"/>
      <c r="N53" s="21"/>
    </row>
    <row r="54" spans="1:22" ht="15.75" hidden="1" customHeight="1">
      <c r="A54" s="165" t="s">
        <v>127</v>
      </c>
      <c r="B54" s="166"/>
      <c r="C54" s="166"/>
      <c r="D54" s="166"/>
      <c r="E54" s="166"/>
      <c r="F54" s="166"/>
      <c r="G54" s="166"/>
      <c r="H54" s="166"/>
      <c r="I54" s="167"/>
      <c r="J54" s="26"/>
      <c r="L54" s="19"/>
      <c r="M54" s="20"/>
      <c r="N54" s="21"/>
    </row>
    <row r="55" spans="1:22" ht="21" hidden="1" customHeight="1">
      <c r="A55" s="32"/>
      <c r="B55" s="84" t="s">
        <v>42</v>
      </c>
      <c r="C55" s="64"/>
      <c r="D55" s="63"/>
      <c r="E55" s="65"/>
      <c r="F55" s="66"/>
      <c r="G55" s="66"/>
      <c r="H55" s="67"/>
      <c r="I55" s="13"/>
      <c r="J55" s="26"/>
      <c r="L55" s="19"/>
      <c r="M55" s="20"/>
      <c r="N55" s="21"/>
    </row>
    <row r="56" spans="1:22" ht="32.25" hidden="1" customHeight="1">
      <c r="A56" s="32">
        <v>14</v>
      </c>
      <c r="B56" s="63" t="s">
        <v>112</v>
      </c>
      <c r="C56" s="64" t="s">
        <v>83</v>
      </c>
      <c r="D56" s="63"/>
      <c r="E56" s="65">
        <v>72.33</v>
      </c>
      <c r="F56" s="66">
        <f>SUM(E56*6/100)</f>
        <v>4.3398000000000003</v>
      </c>
      <c r="G56" s="13">
        <v>1456.95</v>
      </c>
      <c r="H56" s="67">
        <f>SUM(F56*G56/1000)</f>
        <v>6.3228716100000009</v>
      </c>
      <c r="I56" s="13">
        <f>F56/6*G56</f>
        <v>1053.8119350000002</v>
      </c>
      <c r="J56" s="26"/>
      <c r="L56" s="19"/>
      <c r="M56" s="20"/>
      <c r="N56" s="21"/>
    </row>
    <row r="57" spans="1:22" ht="18.75" hidden="1" customHeight="1">
      <c r="A57" s="32"/>
      <c r="B57" s="84" t="s">
        <v>43</v>
      </c>
      <c r="C57" s="64"/>
      <c r="D57" s="63"/>
      <c r="E57" s="65"/>
      <c r="F57" s="66"/>
      <c r="G57" s="59"/>
      <c r="H57" s="67"/>
      <c r="I57" s="13"/>
      <c r="J57" s="26"/>
      <c r="L57" s="19"/>
      <c r="M57" s="20"/>
      <c r="N57" s="21"/>
    </row>
    <row r="58" spans="1:22" ht="28.5" hidden="1" customHeight="1">
      <c r="A58" s="32"/>
      <c r="B58" s="63" t="s">
        <v>114</v>
      </c>
      <c r="C58" s="64"/>
      <c r="D58" s="63" t="s">
        <v>53</v>
      </c>
      <c r="E58" s="65">
        <v>952</v>
      </c>
      <c r="F58" s="67">
        <v>9.52</v>
      </c>
      <c r="G58" s="13">
        <v>848.37</v>
      </c>
      <c r="H58" s="72">
        <f>F58*G58/1000</f>
        <v>8.0764823999999997</v>
      </c>
      <c r="I58" s="13">
        <v>0</v>
      </c>
      <c r="J58" s="26"/>
      <c r="L58" s="19"/>
    </row>
    <row r="59" spans="1:22" ht="23.25" hidden="1" customHeight="1">
      <c r="A59" s="32"/>
      <c r="B59" s="85" t="s">
        <v>44</v>
      </c>
      <c r="C59" s="73"/>
      <c r="D59" s="74"/>
      <c r="E59" s="75"/>
      <c r="F59" s="76"/>
      <c r="G59" s="76"/>
      <c r="H59" s="77" t="s">
        <v>132</v>
      </c>
      <c r="I59" s="13"/>
    </row>
    <row r="60" spans="1:22" ht="21" hidden="1" customHeight="1">
      <c r="A60" s="32">
        <v>17</v>
      </c>
      <c r="B60" s="14" t="s">
        <v>45</v>
      </c>
      <c r="C60" s="16" t="s">
        <v>111</v>
      </c>
      <c r="D60" s="14" t="s">
        <v>65</v>
      </c>
      <c r="E60" s="18">
        <v>5</v>
      </c>
      <c r="F60" s="66">
        <v>5</v>
      </c>
      <c r="G60" s="13">
        <v>237.74</v>
      </c>
      <c r="H60" s="78">
        <f t="shared" ref="H60:H74" si="6">SUM(F60*G60/1000)</f>
        <v>1.1887000000000001</v>
      </c>
      <c r="I60" s="13">
        <f>G60</f>
        <v>237.74</v>
      </c>
    </row>
    <row r="61" spans="1:22" ht="22.5" hidden="1" customHeight="1">
      <c r="A61" s="32"/>
      <c r="B61" s="14" t="s">
        <v>46</v>
      </c>
      <c r="C61" s="16" t="s">
        <v>111</v>
      </c>
      <c r="D61" s="14" t="s">
        <v>65</v>
      </c>
      <c r="E61" s="18">
        <v>2</v>
      </c>
      <c r="F61" s="66">
        <v>2</v>
      </c>
      <c r="G61" s="13">
        <v>81.510000000000005</v>
      </c>
      <c r="H61" s="78">
        <f t="shared" si="6"/>
        <v>0.16302</v>
      </c>
      <c r="I61" s="13">
        <v>0</v>
      </c>
    </row>
    <row r="62" spans="1:22" ht="18.75" hidden="1" customHeight="1">
      <c r="A62" s="32"/>
      <c r="B62" s="14" t="s">
        <v>47</v>
      </c>
      <c r="C62" s="16" t="s">
        <v>115</v>
      </c>
      <c r="D62" s="14" t="s">
        <v>53</v>
      </c>
      <c r="E62" s="65">
        <v>4292</v>
      </c>
      <c r="F62" s="13">
        <f>SUM(E62/100)</f>
        <v>42.92</v>
      </c>
      <c r="G62" s="13">
        <v>226.79</v>
      </c>
      <c r="H62" s="78">
        <f t="shared" si="6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21.75" hidden="1" customHeight="1">
      <c r="A63" s="32"/>
      <c r="B63" s="14" t="s">
        <v>48</v>
      </c>
      <c r="C63" s="16" t="s">
        <v>116</v>
      </c>
      <c r="D63" s="14"/>
      <c r="E63" s="65">
        <v>4292</v>
      </c>
      <c r="F63" s="13">
        <f>SUM(E63/1000)</f>
        <v>4.2919999999999998</v>
      </c>
      <c r="G63" s="13">
        <v>176.61</v>
      </c>
      <c r="H63" s="78">
        <f t="shared" si="6"/>
        <v>0.75801012000000001</v>
      </c>
      <c r="I63" s="13">
        <v>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8.75" hidden="1" customHeight="1">
      <c r="A64" s="32"/>
      <c r="B64" s="14" t="s">
        <v>49</v>
      </c>
      <c r="C64" s="16" t="s">
        <v>75</v>
      </c>
      <c r="D64" s="14" t="s">
        <v>53</v>
      </c>
      <c r="E64" s="65">
        <v>510</v>
      </c>
      <c r="F64" s="13">
        <f>SUM(E64/100)</f>
        <v>5.0999999999999996</v>
      </c>
      <c r="G64" s="13">
        <v>2217.7800000000002</v>
      </c>
      <c r="H64" s="78">
        <f t="shared" si="6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8" hidden="1" customHeight="1">
      <c r="A65" s="32"/>
      <c r="B65" s="79" t="s">
        <v>117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42.67</v>
      </c>
      <c r="H65" s="78">
        <f t="shared" si="6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68"/>
      <c r="S65" s="168"/>
      <c r="T65" s="168"/>
      <c r="U65" s="168"/>
    </row>
    <row r="66" spans="1:21" ht="19.5" hidden="1" customHeight="1">
      <c r="A66" s="32"/>
      <c r="B66" s="79" t="s">
        <v>118</v>
      </c>
      <c r="C66" s="16" t="s">
        <v>31</v>
      </c>
      <c r="D66" s="14"/>
      <c r="E66" s="65">
        <v>4.5999999999999996</v>
      </c>
      <c r="F66" s="13">
        <f>SUM(E66)</f>
        <v>4.5999999999999996</v>
      </c>
      <c r="G66" s="13">
        <v>39.81</v>
      </c>
      <c r="H66" s="78">
        <f t="shared" si="6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23.25" hidden="1" customHeight="1">
      <c r="A67" s="32"/>
      <c r="B67" s="14" t="s">
        <v>56</v>
      </c>
      <c r="C67" s="16" t="s">
        <v>57</v>
      </c>
      <c r="D67" s="14" t="s">
        <v>53</v>
      </c>
      <c r="E67" s="18">
        <v>3</v>
      </c>
      <c r="F67" s="66">
        <v>3</v>
      </c>
      <c r="G67" s="13">
        <v>53.32</v>
      </c>
      <c r="H67" s="78">
        <f t="shared" si="6"/>
        <v>0.15996000000000002</v>
      </c>
      <c r="I67" s="13">
        <v>0</v>
      </c>
    </row>
    <row r="68" spans="1:21" ht="21" hidden="1" customHeight="1">
      <c r="A68" s="32"/>
      <c r="B68" s="50" t="s">
        <v>70</v>
      </c>
      <c r="C68" s="16"/>
      <c r="D68" s="14"/>
      <c r="E68" s="18"/>
      <c r="F68" s="13"/>
      <c r="G68" s="13"/>
      <c r="H68" s="78" t="s">
        <v>132</v>
      </c>
      <c r="I68" s="13"/>
    </row>
    <row r="69" spans="1:21" ht="26.25" hidden="1" customHeight="1">
      <c r="A69" s="32"/>
      <c r="B69" s="14" t="s">
        <v>71</v>
      </c>
      <c r="C69" s="16" t="s">
        <v>73</v>
      </c>
      <c r="D69" s="14"/>
      <c r="E69" s="18">
        <v>2</v>
      </c>
      <c r="F69" s="13">
        <v>0.2</v>
      </c>
      <c r="G69" s="13">
        <v>536.23</v>
      </c>
      <c r="H69" s="78">
        <f t="shared" si="6"/>
        <v>0.10724600000000001</v>
      </c>
      <c r="I69" s="13">
        <v>0</v>
      </c>
    </row>
    <row r="70" spans="1:21" ht="24" hidden="1" customHeight="1">
      <c r="A70" s="32"/>
      <c r="B70" s="14" t="s">
        <v>72</v>
      </c>
      <c r="C70" s="16" t="s">
        <v>29</v>
      </c>
      <c r="D70" s="14"/>
      <c r="E70" s="18">
        <v>1</v>
      </c>
      <c r="F70" s="59">
        <v>1</v>
      </c>
      <c r="G70" s="13">
        <v>911.85</v>
      </c>
      <c r="H70" s="78">
        <f t="shared" si="6"/>
        <v>0.91185000000000005</v>
      </c>
      <c r="I70" s="13">
        <v>0</v>
      </c>
    </row>
    <row r="71" spans="1:21" ht="20.25" hidden="1" customHeight="1">
      <c r="A71" s="32"/>
      <c r="B71" s="14" t="s">
        <v>133</v>
      </c>
      <c r="C71" s="16" t="s">
        <v>134</v>
      </c>
      <c r="D71" s="14"/>
      <c r="E71" s="18"/>
      <c r="F71" s="13"/>
      <c r="G71" s="13">
        <v>31.54</v>
      </c>
      <c r="H71" s="78">
        <f t="shared" si="6"/>
        <v>0</v>
      </c>
      <c r="I71" s="13"/>
    </row>
    <row r="72" spans="1:21" ht="21" hidden="1" customHeight="1">
      <c r="A72" s="32"/>
      <c r="B72" s="14" t="s">
        <v>120</v>
      </c>
      <c r="C72" s="16" t="s">
        <v>29</v>
      </c>
      <c r="D72" s="14"/>
      <c r="E72" s="18">
        <v>1</v>
      </c>
      <c r="F72" s="13">
        <v>1</v>
      </c>
      <c r="G72" s="13">
        <v>383.25</v>
      </c>
      <c r="H72" s="78">
        <f>G72*F72/1000</f>
        <v>0.38324999999999998</v>
      </c>
      <c r="I72" s="13">
        <v>0</v>
      </c>
    </row>
    <row r="73" spans="1:21" ht="23.25" hidden="1" customHeight="1">
      <c r="A73" s="32"/>
      <c r="B73" s="81" t="s">
        <v>74</v>
      </c>
      <c r="C73" s="16"/>
      <c r="D73" s="14"/>
      <c r="E73" s="18"/>
      <c r="F73" s="13"/>
      <c r="G73" s="13" t="s">
        <v>132</v>
      </c>
      <c r="H73" s="78" t="s">
        <v>132</v>
      </c>
      <c r="I73" s="13"/>
    </row>
    <row r="74" spans="1:21" ht="27" hidden="1" customHeight="1">
      <c r="A74" s="32"/>
      <c r="B74" s="44" t="s">
        <v>142</v>
      </c>
      <c r="C74" s="16" t="s">
        <v>75</v>
      </c>
      <c r="D74" s="14"/>
      <c r="E74" s="18"/>
      <c r="F74" s="13">
        <v>0.1</v>
      </c>
      <c r="G74" s="13">
        <v>2949.85</v>
      </c>
      <c r="H74" s="78">
        <f t="shared" si="6"/>
        <v>0.294985</v>
      </c>
      <c r="I74" s="13">
        <v>0</v>
      </c>
    </row>
    <row r="75" spans="1:21" ht="27.75" hidden="1" customHeight="1">
      <c r="A75" s="32"/>
      <c r="B75" s="88" t="s">
        <v>90</v>
      </c>
      <c r="C75" s="88"/>
      <c r="D75" s="88"/>
      <c r="E75" s="88"/>
      <c r="F75" s="88"/>
      <c r="G75" s="69"/>
      <c r="H75" s="82">
        <f>SUM(H56:H74)</f>
        <v>39.790287929999998</v>
      </c>
      <c r="I75" s="69"/>
    </row>
    <row r="76" spans="1:21" ht="21.75" hidden="1" customHeight="1">
      <c r="A76" s="32"/>
      <c r="B76" s="86" t="s">
        <v>119</v>
      </c>
      <c r="C76" s="23"/>
      <c r="D76" s="22"/>
      <c r="E76" s="83"/>
      <c r="F76" s="87">
        <v>1</v>
      </c>
      <c r="G76" s="13">
        <v>3124.9</v>
      </c>
      <c r="H76" s="78">
        <f>G76*F76/1000</f>
        <v>3.1249000000000002</v>
      </c>
      <c r="I76" s="13">
        <v>0</v>
      </c>
    </row>
    <row r="77" spans="1:21" ht="15.75" customHeight="1">
      <c r="A77" s="165" t="s">
        <v>146</v>
      </c>
      <c r="B77" s="166"/>
      <c r="C77" s="166"/>
      <c r="D77" s="166"/>
      <c r="E77" s="166"/>
      <c r="F77" s="166"/>
      <c r="G77" s="166"/>
      <c r="H77" s="166"/>
      <c r="I77" s="167"/>
    </row>
    <row r="78" spans="1:21" ht="15.75" customHeight="1">
      <c r="A78" s="32">
        <v>12</v>
      </c>
      <c r="B78" s="63" t="s">
        <v>121</v>
      </c>
      <c r="C78" s="16" t="s">
        <v>54</v>
      </c>
      <c r="D78" s="49"/>
      <c r="E78" s="13">
        <v>1042.5999999999999</v>
      </c>
      <c r="F78" s="13">
        <f>SUM(E78*12)</f>
        <v>12511.199999999999</v>
      </c>
      <c r="G78" s="13">
        <v>2.2400000000000002</v>
      </c>
      <c r="H78" s="78">
        <f>SUM(F78*G78/1000)</f>
        <v>28.025088</v>
      </c>
      <c r="I78" s="13">
        <f>F78/12*G78</f>
        <v>2335.424</v>
      </c>
    </row>
    <row r="79" spans="1:21" ht="31.5" customHeight="1">
      <c r="A79" s="32">
        <v>13</v>
      </c>
      <c r="B79" s="14" t="s">
        <v>76</v>
      </c>
      <c r="C79" s="16"/>
      <c r="D79" s="49"/>
      <c r="E79" s="65">
        <f>E78</f>
        <v>1042.5999999999999</v>
      </c>
      <c r="F79" s="13">
        <f>E79*12</f>
        <v>12511.199999999999</v>
      </c>
      <c r="G79" s="13">
        <v>1.74</v>
      </c>
      <c r="H79" s="78">
        <f>F79*G79/1000</f>
        <v>21.769487999999999</v>
      </c>
      <c r="I79" s="13">
        <f>F79/12*G79</f>
        <v>1814.1239999999998</v>
      </c>
    </row>
    <row r="80" spans="1:21" ht="15.75" customHeight="1">
      <c r="A80" s="32"/>
      <c r="B80" s="37" t="s">
        <v>78</v>
      </c>
      <c r="C80" s="81"/>
      <c r="D80" s="80"/>
      <c r="E80" s="69"/>
      <c r="F80" s="69"/>
      <c r="G80" s="69"/>
      <c r="H80" s="82">
        <f>H79</f>
        <v>21.769487999999999</v>
      </c>
      <c r="I80" s="69">
        <f>I79+I78+I49+I40+I39+I38+I37+I27+I21+I20+I18+I17+I16</f>
        <v>12826.228962583331</v>
      </c>
    </row>
    <row r="81" spans="1:9" ht="15.75" customHeight="1">
      <c r="A81" s="170" t="s">
        <v>59</v>
      </c>
      <c r="B81" s="171"/>
      <c r="C81" s="171"/>
      <c r="D81" s="171"/>
      <c r="E81" s="171"/>
      <c r="F81" s="171"/>
      <c r="G81" s="171"/>
      <c r="H81" s="171"/>
      <c r="I81" s="172"/>
    </row>
    <row r="82" spans="1:9" ht="15.75" customHeight="1">
      <c r="A82" s="101">
        <v>14</v>
      </c>
      <c r="B82" s="74" t="s">
        <v>162</v>
      </c>
      <c r="C82" s="73" t="s">
        <v>163</v>
      </c>
      <c r="D82" s="74"/>
      <c r="E82" s="75"/>
      <c r="F82" s="76">
        <v>200</v>
      </c>
      <c r="G82" s="59">
        <v>1.4</v>
      </c>
      <c r="H82" s="77">
        <f>F82*G82/1000</f>
        <v>0.28000000000000003</v>
      </c>
      <c r="I82" s="97">
        <f>G82*100</f>
        <v>140</v>
      </c>
    </row>
    <row r="83" spans="1:9" ht="32.25" customHeight="1">
      <c r="A83" s="32">
        <v>15</v>
      </c>
      <c r="B83" s="98" t="s">
        <v>167</v>
      </c>
      <c r="C83" s="99" t="s">
        <v>28</v>
      </c>
      <c r="D83" s="14"/>
      <c r="E83" s="18"/>
      <c r="F83" s="13"/>
      <c r="G83" s="100">
        <v>20547.34</v>
      </c>
      <c r="H83" s="59"/>
      <c r="I83" s="97">
        <f>G83*0.599*4/1000</f>
        <v>49.231426639999995</v>
      </c>
    </row>
    <row r="84" spans="1:9">
      <c r="A84" s="32"/>
      <c r="B84" s="42" t="s">
        <v>50</v>
      </c>
      <c r="C84" s="38"/>
      <c r="D84" s="45"/>
      <c r="E84" s="38">
        <v>1</v>
      </c>
      <c r="F84" s="38"/>
      <c r="G84" s="38"/>
      <c r="H84" s="38"/>
      <c r="I84" s="34">
        <f>SUM(I82:I83)</f>
        <v>189.23142664</v>
      </c>
    </row>
    <row r="85" spans="1:9" ht="16.5" customHeight="1">
      <c r="A85" s="32"/>
      <c r="B85" s="44" t="s">
        <v>77</v>
      </c>
      <c r="C85" s="15"/>
      <c r="D85" s="15"/>
      <c r="E85" s="39"/>
      <c r="F85" s="39"/>
      <c r="G85" s="40"/>
      <c r="H85" s="40"/>
      <c r="I85" s="17">
        <v>0</v>
      </c>
    </row>
    <row r="86" spans="1:9" ht="16.5" customHeight="1">
      <c r="A86" s="46"/>
      <c r="B86" s="43" t="s">
        <v>156</v>
      </c>
      <c r="C86" s="35"/>
      <c r="D86" s="35"/>
      <c r="E86" s="35"/>
      <c r="F86" s="35"/>
      <c r="G86" s="35"/>
      <c r="H86" s="35"/>
      <c r="I86" s="41">
        <f>I80+I84</f>
        <v>13015.460389223332</v>
      </c>
    </row>
    <row r="87" spans="1:9" ht="15.75" customHeight="1">
      <c r="A87" s="180" t="s">
        <v>182</v>
      </c>
      <c r="B87" s="180"/>
      <c r="C87" s="180"/>
      <c r="D87" s="180"/>
      <c r="E87" s="180"/>
      <c r="F87" s="180"/>
      <c r="G87" s="180"/>
      <c r="H87" s="180"/>
      <c r="I87" s="180"/>
    </row>
    <row r="88" spans="1:9" ht="15.75" customHeight="1">
      <c r="A88" s="56"/>
      <c r="B88" s="181" t="s">
        <v>183</v>
      </c>
      <c r="C88" s="181"/>
      <c r="D88" s="181"/>
      <c r="E88" s="181"/>
      <c r="F88" s="181"/>
      <c r="G88" s="181"/>
      <c r="H88" s="62"/>
      <c r="I88" s="3"/>
    </row>
    <row r="89" spans="1:9">
      <c r="A89" s="55"/>
      <c r="B89" s="178" t="s">
        <v>6</v>
      </c>
      <c r="C89" s="178"/>
      <c r="D89" s="178"/>
      <c r="E89" s="178"/>
      <c r="F89" s="178"/>
      <c r="G89" s="178"/>
      <c r="H89" s="27"/>
      <c r="I89" s="5"/>
    </row>
    <row r="90" spans="1:9" ht="15.75" customHeight="1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74" t="s">
        <v>7</v>
      </c>
      <c r="B91" s="174"/>
      <c r="C91" s="174"/>
      <c r="D91" s="174"/>
      <c r="E91" s="174"/>
      <c r="F91" s="174"/>
      <c r="G91" s="174"/>
      <c r="H91" s="174"/>
      <c r="I91" s="174"/>
    </row>
    <row r="92" spans="1:9" ht="15.75">
      <c r="A92" s="174" t="s">
        <v>8</v>
      </c>
      <c r="B92" s="174"/>
      <c r="C92" s="174"/>
      <c r="D92" s="174"/>
      <c r="E92" s="174"/>
      <c r="F92" s="174"/>
      <c r="G92" s="174"/>
      <c r="H92" s="174"/>
      <c r="I92" s="174"/>
    </row>
    <row r="93" spans="1:9" ht="15.75">
      <c r="A93" s="175" t="s">
        <v>60</v>
      </c>
      <c r="B93" s="175"/>
      <c r="C93" s="175"/>
      <c r="D93" s="175"/>
      <c r="E93" s="175"/>
      <c r="F93" s="175"/>
      <c r="G93" s="175"/>
      <c r="H93" s="175"/>
      <c r="I93" s="175"/>
    </row>
    <row r="94" spans="1:9" ht="15.75">
      <c r="A94" s="11"/>
    </row>
    <row r="95" spans="1:9" ht="15.75">
      <c r="A95" s="176" t="s">
        <v>9</v>
      </c>
      <c r="B95" s="176"/>
      <c r="C95" s="176"/>
      <c r="D95" s="176"/>
      <c r="E95" s="176"/>
      <c r="F95" s="176"/>
      <c r="G95" s="176"/>
      <c r="H95" s="176"/>
      <c r="I95" s="176"/>
    </row>
    <row r="96" spans="1:9" ht="15.75">
      <c r="A96" s="4"/>
    </row>
    <row r="97" spans="1:9" ht="15.75">
      <c r="B97" s="52" t="s">
        <v>10</v>
      </c>
      <c r="C97" s="177" t="s">
        <v>124</v>
      </c>
      <c r="D97" s="177"/>
      <c r="E97" s="177"/>
      <c r="F97" s="60"/>
      <c r="I97" s="54"/>
    </row>
    <row r="98" spans="1:9">
      <c r="A98" s="55"/>
      <c r="C98" s="178" t="s">
        <v>11</v>
      </c>
      <c r="D98" s="178"/>
      <c r="E98" s="178"/>
      <c r="F98" s="27"/>
      <c r="I98" s="53" t="s">
        <v>12</v>
      </c>
    </row>
    <row r="99" spans="1:9" ht="15.75">
      <c r="A99" s="28"/>
      <c r="C99" s="12"/>
      <c r="D99" s="12"/>
      <c r="G99" s="12"/>
      <c r="H99" s="12"/>
    </row>
    <row r="100" spans="1:9" ht="15.75">
      <c r="B100" s="52" t="s">
        <v>13</v>
      </c>
      <c r="C100" s="179"/>
      <c r="D100" s="179"/>
      <c r="E100" s="179"/>
      <c r="F100" s="61"/>
      <c r="I100" s="54"/>
    </row>
    <row r="101" spans="1:9">
      <c r="A101" s="55"/>
      <c r="C101" s="168" t="s">
        <v>11</v>
      </c>
      <c r="D101" s="168"/>
      <c r="E101" s="168"/>
      <c r="F101" s="55"/>
      <c r="I101" s="53" t="s">
        <v>12</v>
      </c>
    </row>
    <row r="102" spans="1:9" ht="15.75">
      <c r="A102" s="4" t="s">
        <v>14</v>
      </c>
    </row>
    <row r="103" spans="1:9">
      <c r="A103" s="169" t="s">
        <v>15</v>
      </c>
      <c r="B103" s="169"/>
      <c r="C103" s="169"/>
      <c r="D103" s="169"/>
      <c r="E103" s="169"/>
      <c r="F103" s="169"/>
      <c r="G103" s="169"/>
      <c r="H103" s="169"/>
      <c r="I103" s="169"/>
    </row>
    <row r="104" spans="1:9" ht="45" customHeight="1">
      <c r="A104" s="173" t="s">
        <v>16</v>
      </c>
      <c r="B104" s="173"/>
      <c r="C104" s="173"/>
      <c r="D104" s="173"/>
      <c r="E104" s="173"/>
      <c r="F104" s="173"/>
      <c r="G104" s="173"/>
      <c r="H104" s="173"/>
      <c r="I104" s="173"/>
    </row>
    <row r="105" spans="1:9" ht="30" customHeight="1">
      <c r="A105" s="173" t="s">
        <v>17</v>
      </c>
      <c r="B105" s="173"/>
      <c r="C105" s="173"/>
      <c r="D105" s="173"/>
      <c r="E105" s="173"/>
      <c r="F105" s="173"/>
      <c r="G105" s="173"/>
      <c r="H105" s="173"/>
      <c r="I105" s="173"/>
    </row>
    <row r="106" spans="1:9" ht="30" customHeight="1">
      <c r="A106" s="173" t="s">
        <v>21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14.25" customHeight="1">
      <c r="A107" s="173" t="s">
        <v>20</v>
      </c>
      <c r="B107" s="173"/>
      <c r="C107" s="173"/>
      <c r="D107" s="173"/>
      <c r="E107" s="173"/>
      <c r="F107" s="173"/>
      <c r="G107" s="173"/>
      <c r="H107" s="173"/>
      <c r="I107" s="173"/>
    </row>
  </sheetData>
  <autoFilter ref="I12:I60"/>
  <mergeCells count="29">
    <mergeCell ref="A15:I15"/>
    <mergeCell ref="A3:I3"/>
    <mergeCell ref="A4:I4"/>
    <mergeCell ref="A5:I5"/>
    <mergeCell ref="A8:I8"/>
    <mergeCell ref="A10:I10"/>
    <mergeCell ref="A14:I14"/>
    <mergeCell ref="R65:U65"/>
    <mergeCell ref="A87:I87"/>
    <mergeCell ref="B88:G88"/>
    <mergeCell ref="B89:G89"/>
    <mergeCell ref="A91:I91"/>
    <mergeCell ref="A77:I77"/>
    <mergeCell ref="A104:I104"/>
    <mergeCell ref="A105:I105"/>
    <mergeCell ref="A106:I106"/>
    <mergeCell ref="A107:I107"/>
    <mergeCell ref="A92:I92"/>
    <mergeCell ref="A93:I93"/>
    <mergeCell ref="A95:I95"/>
    <mergeCell ref="C97:E97"/>
    <mergeCell ref="C98:E98"/>
    <mergeCell ref="C100:E100"/>
    <mergeCell ref="A28:I28"/>
    <mergeCell ref="A43:I43"/>
    <mergeCell ref="A54:I54"/>
    <mergeCell ref="C101:E101"/>
    <mergeCell ref="A103:I103"/>
    <mergeCell ref="A81:I8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topLeftCell="A53" workbookViewId="0">
      <selection activeCell="B81" sqref="B81:I8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154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241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44135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242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210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222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219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220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221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173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219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7</v>
      </c>
      <c r="B30" s="104" t="s">
        <v>107</v>
      </c>
      <c r="C30" s="105" t="s">
        <v>86</v>
      </c>
      <c r="D30" s="104" t="s">
        <v>214</v>
      </c>
      <c r="E30" s="107">
        <v>150</v>
      </c>
      <c r="F30" s="107">
        <f>SUM(E30*24/1000)</f>
        <v>3.6</v>
      </c>
      <c r="G30" s="107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8</v>
      </c>
      <c r="B31" s="104" t="s">
        <v>211</v>
      </c>
      <c r="C31" s="105" t="s">
        <v>86</v>
      </c>
      <c r="D31" s="104" t="s">
        <v>215</v>
      </c>
      <c r="E31" s="107">
        <v>38.5</v>
      </c>
      <c r="F31" s="107">
        <f>SUM(E31*72/1000)</f>
        <v>2.7719999999999998</v>
      </c>
      <c r="G31" s="107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4" t="s">
        <v>26</v>
      </c>
      <c r="C32" s="105" t="s">
        <v>86</v>
      </c>
      <c r="D32" s="104" t="s">
        <v>173</v>
      </c>
      <c r="E32" s="107">
        <v>150</v>
      </c>
      <c r="F32" s="107">
        <f>SUM(E32/1000)</f>
        <v>0.15</v>
      </c>
      <c r="G32" s="107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9</v>
      </c>
      <c r="B33" s="141" t="s">
        <v>212</v>
      </c>
      <c r="C33" s="99" t="s">
        <v>213</v>
      </c>
      <c r="D33" s="104" t="s">
        <v>176</v>
      </c>
      <c r="E33" s="107">
        <v>2</v>
      </c>
      <c r="F33" s="107">
        <f>E33*155/100</f>
        <v>3.1</v>
      </c>
      <c r="G33" s="107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63" t="s">
        <v>64</v>
      </c>
      <c r="C34" s="64" t="s">
        <v>30</v>
      </c>
      <c r="D34" s="63" t="s">
        <v>65</v>
      </c>
      <c r="E34" s="65"/>
      <c r="F34" s="66">
        <v>1</v>
      </c>
      <c r="G34" s="66">
        <v>1214.74</v>
      </c>
      <c r="H34" s="67">
        <f t="shared" ref="H34" si="3">SUM(F34*G34/1000)</f>
        <v>1.2147399999999999</v>
      </c>
      <c r="I34" s="13">
        <v>0</v>
      </c>
      <c r="J34" s="26"/>
    </row>
    <row r="35" spans="1:14" ht="15.75" hidden="1" customHeight="1">
      <c r="A35" s="32"/>
      <c r="B35" s="84" t="s">
        <v>5</v>
      </c>
      <c r="C35" s="64"/>
      <c r="D35" s="63"/>
      <c r="E35" s="65"/>
      <c r="F35" s="66"/>
      <c r="G35" s="66"/>
      <c r="H35" s="67" t="s">
        <v>132</v>
      </c>
      <c r="I35" s="13"/>
      <c r="J35" s="26"/>
    </row>
    <row r="36" spans="1:14" ht="15.75" hidden="1" customHeight="1">
      <c r="A36" s="32">
        <v>8</v>
      </c>
      <c r="B36" s="63" t="s">
        <v>25</v>
      </c>
      <c r="C36" s="64" t="s">
        <v>30</v>
      </c>
      <c r="D36" s="63"/>
      <c r="E36" s="65"/>
      <c r="F36" s="66">
        <v>3</v>
      </c>
      <c r="G36" s="66">
        <v>1632.6</v>
      </c>
      <c r="H36" s="67">
        <f t="shared" ref="H36:H41" si="4">SUM(F36*G36/1000)</f>
        <v>4.8977999999999993</v>
      </c>
      <c r="I36" s="13">
        <f t="shared" ref="I36:I41" si="5">F36/6*G36</f>
        <v>816.3</v>
      </c>
      <c r="J36" s="26"/>
    </row>
    <row r="37" spans="1:14" ht="15.75" hidden="1" customHeight="1">
      <c r="A37" s="32">
        <v>9</v>
      </c>
      <c r="B37" s="63" t="s">
        <v>108</v>
      </c>
      <c r="C37" s="64" t="s">
        <v>28</v>
      </c>
      <c r="D37" s="63" t="s">
        <v>84</v>
      </c>
      <c r="E37" s="65">
        <v>48.03</v>
      </c>
      <c r="F37" s="66">
        <v>1.44</v>
      </c>
      <c r="G37" s="66">
        <v>1979.95</v>
      </c>
      <c r="H37" s="67">
        <f>G37*F37/1000</f>
        <v>2.8511280000000001</v>
      </c>
      <c r="I37" s="13">
        <f t="shared" si="5"/>
        <v>475.18799999999999</v>
      </c>
      <c r="J37" s="26"/>
      <c r="L37" s="19"/>
      <c r="M37" s="20"/>
      <c r="N37" s="21"/>
    </row>
    <row r="38" spans="1:14" ht="15.75" hidden="1" customHeight="1">
      <c r="A38" s="32">
        <v>10</v>
      </c>
      <c r="B38" s="63" t="s">
        <v>66</v>
      </c>
      <c r="C38" s="64" t="s">
        <v>28</v>
      </c>
      <c r="D38" s="63" t="s">
        <v>85</v>
      </c>
      <c r="E38" s="66">
        <v>48.03</v>
      </c>
      <c r="F38" s="66">
        <f>SUM(E38*155/1000)</f>
        <v>7.4446500000000002</v>
      </c>
      <c r="G38" s="66">
        <v>330.27</v>
      </c>
      <c r="H38" s="67">
        <f t="shared" si="4"/>
        <v>2.4587445555</v>
      </c>
      <c r="I38" s="13">
        <f t="shared" si="5"/>
        <v>409.79075924999995</v>
      </c>
      <c r="J38" s="26"/>
      <c r="L38" s="19"/>
      <c r="M38" s="20"/>
      <c r="N38" s="21"/>
    </row>
    <row r="39" spans="1:14" ht="47.25" hidden="1" customHeight="1">
      <c r="A39" s="32">
        <v>11</v>
      </c>
      <c r="B39" s="63" t="s">
        <v>79</v>
      </c>
      <c r="C39" s="64" t="s">
        <v>86</v>
      </c>
      <c r="D39" s="63" t="s">
        <v>109</v>
      </c>
      <c r="E39" s="66">
        <v>48.03</v>
      </c>
      <c r="F39" s="66">
        <f>SUM(E39*35/1000)</f>
        <v>1.6810499999999999</v>
      </c>
      <c r="G39" s="66">
        <v>5464.48</v>
      </c>
      <c r="H39" s="67">
        <f t="shared" si="4"/>
        <v>9.1860641039999997</v>
      </c>
      <c r="I39" s="13">
        <f t="shared" si="5"/>
        <v>1531.0106839999999</v>
      </c>
      <c r="J39" s="26"/>
      <c r="L39" s="19"/>
      <c r="M39" s="20"/>
      <c r="N39" s="21"/>
    </row>
    <row r="40" spans="1:14" ht="15.75" hidden="1" customHeight="1">
      <c r="A40" s="32">
        <v>12</v>
      </c>
      <c r="B40" s="63" t="s">
        <v>87</v>
      </c>
      <c r="C40" s="64" t="s">
        <v>86</v>
      </c>
      <c r="D40" s="63" t="s">
        <v>67</v>
      </c>
      <c r="E40" s="66">
        <v>48.03</v>
      </c>
      <c r="F40" s="66">
        <f>SUM(E40*45/1000)</f>
        <v>2.1613500000000001</v>
      </c>
      <c r="G40" s="66">
        <v>403.67</v>
      </c>
      <c r="H40" s="67">
        <f t="shared" si="4"/>
        <v>0.87247215450000015</v>
      </c>
      <c r="I40" s="13">
        <f t="shared" si="5"/>
        <v>145.41202575000003</v>
      </c>
      <c r="J40" s="26"/>
      <c r="L40" s="19"/>
      <c r="M40" s="20"/>
      <c r="N40" s="21"/>
    </row>
    <row r="41" spans="1:14" ht="15.75" hidden="1" customHeight="1">
      <c r="A41" s="32">
        <v>13</v>
      </c>
      <c r="B41" s="63" t="s">
        <v>68</v>
      </c>
      <c r="C41" s="64" t="s">
        <v>31</v>
      </c>
      <c r="D41" s="63"/>
      <c r="E41" s="65"/>
      <c r="F41" s="66">
        <v>0.53</v>
      </c>
      <c r="G41" s="66">
        <v>750.34</v>
      </c>
      <c r="H41" s="67">
        <f t="shared" si="4"/>
        <v>0.39768020000000004</v>
      </c>
      <c r="I41" s="13">
        <f t="shared" si="5"/>
        <v>66.280033333333336</v>
      </c>
      <c r="J41" s="26"/>
      <c r="L41" s="19"/>
      <c r="M41" s="20"/>
      <c r="N41" s="21"/>
    </row>
    <row r="42" spans="1:14" ht="16.5" hidden="1" customHeight="1">
      <c r="A42" s="165" t="s">
        <v>125</v>
      </c>
      <c r="B42" s="166"/>
      <c r="C42" s="166"/>
      <c r="D42" s="166"/>
      <c r="E42" s="166"/>
      <c r="F42" s="166"/>
      <c r="G42" s="166"/>
      <c r="H42" s="166"/>
      <c r="I42" s="167"/>
      <c r="J42" s="26"/>
      <c r="L42" s="19"/>
      <c r="M42" s="20"/>
      <c r="N42" s="21"/>
    </row>
    <row r="43" spans="1:14" ht="22.5" hidden="1" customHeight="1">
      <c r="A43" s="32"/>
      <c r="B43" s="63" t="s">
        <v>110</v>
      </c>
      <c r="C43" s="64" t="s">
        <v>86</v>
      </c>
      <c r="D43" s="63" t="s">
        <v>41</v>
      </c>
      <c r="E43" s="65">
        <v>636.25</v>
      </c>
      <c r="F43" s="66">
        <f>SUM(E43*2/1000)</f>
        <v>1.2725</v>
      </c>
      <c r="G43" s="13">
        <v>762.53</v>
      </c>
      <c r="H43" s="67">
        <f t="shared" ref="H43:H52" si="6">SUM(F43*G43/1000)</f>
        <v>0.9703194249999999</v>
      </c>
      <c r="I43" s="13">
        <v>0</v>
      </c>
      <c r="J43" s="26"/>
      <c r="L43" s="19"/>
      <c r="M43" s="20"/>
      <c r="N43" s="21"/>
    </row>
    <row r="44" spans="1:14" ht="19.5" hidden="1" customHeight="1">
      <c r="A44" s="32"/>
      <c r="B44" s="63" t="s">
        <v>34</v>
      </c>
      <c r="C44" s="64" t="s">
        <v>86</v>
      </c>
      <c r="D44" s="63" t="s">
        <v>41</v>
      </c>
      <c r="E44" s="65">
        <v>26</v>
      </c>
      <c r="F44" s="66">
        <f>SUM(E44*2/1000)</f>
        <v>5.1999999999999998E-2</v>
      </c>
      <c r="G44" s="13">
        <v>545.65</v>
      </c>
      <c r="H44" s="67">
        <f t="shared" si="6"/>
        <v>2.8373799999999998E-2</v>
      </c>
      <c r="I44" s="13">
        <v>0</v>
      </c>
      <c r="J44" s="26"/>
      <c r="L44" s="19"/>
      <c r="M44" s="20"/>
      <c r="N44" s="21"/>
    </row>
    <row r="45" spans="1:14" ht="24.75" hidden="1" customHeight="1">
      <c r="A45" s="32"/>
      <c r="B45" s="63" t="s">
        <v>35</v>
      </c>
      <c r="C45" s="64" t="s">
        <v>86</v>
      </c>
      <c r="D45" s="63" t="s">
        <v>41</v>
      </c>
      <c r="E45" s="65">
        <v>579</v>
      </c>
      <c r="F45" s="66">
        <f>SUM(E45*2/1000)</f>
        <v>1.1579999999999999</v>
      </c>
      <c r="G45" s="13">
        <v>545.65</v>
      </c>
      <c r="H45" s="67">
        <f t="shared" si="6"/>
        <v>0.63186269999999989</v>
      </c>
      <c r="I45" s="13">
        <v>0</v>
      </c>
      <c r="J45" s="26"/>
      <c r="L45" s="19"/>
      <c r="M45" s="20"/>
      <c r="N45" s="21"/>
    </row>
    <row r="46" spans="1:14" ht="26.25" hidden="1" customHeight="1">
      <c r="A46" s="32"/>
      <c r="B46" s="63" t="s">
        <v>36</v>
      </c>
      <c r="C46" s="64" t="s">
        <v>86</v>
      </c>
      <c r="D46" s="63" t="s">
        <v>41</v>
      </c>
      <c r="E46" s="65">
        <v>683.33</v>
      </c>
      <c r="F46" s="66">
        <f>SUM(E46*2/1000)</f>
        <v>1.36666</v>
      </c>
      <c r="G46" s="13">
        <v>571.35</v>
      </c>
      <c r="H46" s="67">
        <f t="shared" si="6"/>
        <v>0.78084119099999993</v>
      </c>
      <c r="I46" s="13">
        <v>0</v>
      </c>
      <c r="J46" s="26"/>
      <c r="L46" s="19"/>
      <c r="M46" s="20"/>
      <c r="N46" s="21"/>
    </row>
    <row r="47" spans="1:14" ht="27" hidden="1" customHeight="1">
      <c r="A47" s="32"/>
      <c r="B47" s="63" t="s">
        <v>32</v>
      </c>
      <c r="C47" s="64" t="s">
        <v>33</v>
      </c>
      <c r="D47" s="63" t="s">
        <v>41</v>
      </c>
      <c r="E47" s="65">
        <v>44.11</v>
      </c>
      <c r="F47" s="66">
        <f>SUM(E47*2/100)</f>
        <v>0.88219999999999998</v>
      </c>
      <c r="G47" s="13">
        <v>68.56</v>
      </c>
      <c r="H47" s="67">
        <f t="shared" si="6"/>
        <v>6.0483632000000002E-2</v>
      </c>
      <c r="I47" s="13">
        <v>0</v>
      </c>
      <c r="J47" s="26"/>
      <c r="L47" s="19"/>
      <c r="M47" s="20"/>
      <c r="N47" s="21"/>
    </row>
    <row r="48" spans="1:14" ht="25.5" hidden="1" customHeight="1">
      <c r="A48" s="32">
        <v>10</v>
      </c>
      <c r="B48" s="63" t="s">
        <v>55</v>
      </c>
      <c r="C48" s="64" t="s">
        <v>86</v>
      </c>
      <c r="D48" s="63" t="s">
        <v>126</v>
      </c>
      <c r="E48" s="65">
        <v>1140</v>
      </c>
      <c r="F48" s="66">
        <f>SUM(E48*5/1000)</f>
        <v>5.7</v>
      </c>
      <c r="G48" s="13">
        <v>1142.7</v>
      </c>
      <c r="H48" s="67">
        <f t="shared" si="6"/>
        <v>6.5133900000000002</v>
      </c>
      <c r="I48" s="13">
        <f>F48/5*G48</f>
        <v>1302.6780000000001</v>
      </c>
      <c r="J48" s="26"/>
      <c r="L48" s="19"/>
      <c r="M48" s="20"/>
      <c r="N48" s="21"/>
    </row>
    <row r="49" spans="1:22" ht="32.25" hidden="1" customHeight="1">
      <c r="A49" s="32">
        <v>10</v>
      </c>
      <c r="B49" s="63" t="s">
        <v>88</v>
      </c>
      <c r="C49" s="64" t="s">
        <v>86</v>
      </c>
      <c r="D49" s="63" t="s">
        <v>41</v>
      </c>
      <c r="E49" s="65">
        <v>1140</v>
      </c>
      <c r="F49" s="66">
        <f>SUM(E49*2/1000)</f>
        <v>2.2799999999999998</v>
      </c>
      <c r="G49" s="13">
        <v>1142.7</v>
      </c>
      <c r="H49" s="67">
        <f t="shared" si="6"/>
        <v>2.6053559999999996</v>
      </c>
      <c r="I49" s="13">
        <f>G49*F49/2</f>
        <v>1302.6779999999999</v>
      </c>
      <c r="J49" s="26"/>
      <c r="L49" s="19"/>
      <c r="M49" s="20"/>
      <c r="N49" s="21"/>
    </row>
    <row r="50" spans="1:22" ht="30.75" hidden="1" customHeight="1">
      <c r="A50" s="32">
        <v>11</v>
      </c>
      <c r="B50" s="63" t="s">
        <v>89</v>
      </c>
      <c r="C50" s="64" t="s">
        <v>37</v>
      </c>
      <c r="D50" s="63" t="s">
        <v>41</v>
      </c>
      <c r="E50" s="65">
        <v>9</v>
      </c>
      <c r="F50" s="66">
        <f>SUM(E50*2/100)</f>
        <v>0.18</v>
      </c>
      <c r="G50" s="13">
        <v>2571.08</v>
      </c>
      <c r="H50" s="67">
        <f t="shared" si="6"/>
        <v>0.46279439999999999</v>
      </c>
      <c r="I50" s="13">
        <f>G50*F50/2</f>
        <v>231.3972</v>
      </c>
      <c r="J50" s="26"/>
      <c r="L50" s="19"/>
      <c r="M50" s="20"/>
      <c r="N50" s="21"/>
    </row>
    <row r="51" spans="1:22" ht="19.5" hidden="1" customHeight="1">
      <c r="A51" s="32">
        <v>12</v>
      </c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5322.15</v>
      </c>
      <c r="H51" s="67">
        <f t="shared" si="6"/>
        <v>0.106443</v>
      </c>
      <c r="I51" s="13">
        <f>G51*F51/2</f>
        <v>53.221499999999999</v>
      </c>
      <c r="J51" s="26"/>
      <c r="L51" s="19"/>
      <c r="M51" s="20"/>
      <c r="N51" s="21"/>
    </row>
    <row r="52" spans="1:22" ht="18.75" hidden="1" customHeight="1">
      <c r="A52" s="32">
        <v>11</v>
      </c>
      <c r="B52" s="63" t="s">
        <v>40</v>
      </c>
      <c r="C52" s="64" t="s">
        <v>111</v>
      </c>
      <c r="D52" s="63" t="s">
        <v>69</v>
      </c>
      <c r="E52" s="65">
        <v>36</v>
      </c>
      <c r="F52" s="66">
        <f>SUM(E52)*3</f>
        <v>108</v>
      </c>
      <c r="G52" s="13">
        <v>61.84</v>
      </c>
      <c r="H52" s="67">
        <f t="shared" si="6"/>
        <v>6.6787200000000002</v>
      </c>
      <c r="I52" s="13">
        <f>E52*G52</f>
        <v>2226.2400000000002</v>
      </c>
      <c r="J52" s="26"/>
      <c r="L52" s="19"/>
      <c r="M52" s="20"/>
      <c r="N52" s="21"/>
    </row>
    <row r="53" spans="1:22" ht="15.75" customHeight="1">
      <c r="A53" s="165" t="s">
        <v>145</v>
      </c>
      <c r="B53" s="166"/>
      <c r="C53" s="166"/>
      <c r="D53" s="166"/>
      <c r="E53" s="166"/>
      <c r="F53" s="166"/>
      <c r="G53" s="166"/>
      <c r="H53" s="166"/>
      <c r="I53" s="167"/>
      <c r="J53" s="26"/>
      <c r="L53" s="19"/>
      <c r="M53" s="20"/>
      <c r="N53" s="21"/>
    </row>
    <row r="54" spans="1:22" ht="15.75" hidden="1" customHeight="1">
      <c r="A54" s="32"/>
      <c r="B54" s="84" t="s">
        <v>42</v>
      </c>
      <c r="C54" s="64"/>
      <c r="D54" s="63"/>
      <c r="E54" s="65"/>
      <c r="F54" s="66"/>
      <c r="G54" s="66"/>
      <c r="H54" s="67"/>
      <c r="I54" s="13"/>
      <c r="J54" s="26"/>
      <c r="L54" s="19"/>
      <c r="M54" s="20"/>
      <c r="N54" s="21"/>
    </row>
    <row r="55" spans="1:22" ht="31.5" hidden="1" customHeight="1">
      <c r="A55" s="32">
        <v>16</v>
      </c>
      <c r="B55" s="63" t="s">
        <v>112</v>
      </c>
      <c r="C55" s="64" t="s">
        <v>83</v>
      </c>
      <c r="D55" s="63" t="s">
        <v>113</v>
      </c>
      <c r="E55" s="65">
        <v>72.33</v>
      </c>
      <c r="F55" s="66">
        <f>SUM(E55*6/100)</f>
        <v>4.3398000000000003</v>
      </c>
      <c r="G55" s="13">
        <v>1456.95</v>
      </c>
      <c r="H55" s="67">
        <f>SUM(F55*G55/1000)</f>
        <v>6.3228716100000009</v>
      </c>
      <c r="I55" s="13">
        <f>F55/6*G55</f>
        <v>1053.8119350000002</v>
      </c>
      <c r="J55" s="26"/>
      <c r="L55" s="19"/>
      <c r="M55" s="20"/>
      <c r="N55" s="21"/>
    </row>
    <row r="56" spans="1:22" ht="15.75" customHeight="1">
      <c r="A56" s="32"/>
      <c r="B56" s="84" t="s">
        <v>43</v>
      </c>
      <c r="C56" s="64"/>
      <c r="D56" s="63"/>
      <c r="E56" s="65"/>
      <c r="F56" s="66"/>
      <c r="G56" s="59"/>
      <c r="H56" s="67"/>
      <c r="I56" s="13"/>
      <c r="J56" s="26"/>
      <c r="L56" s="19"/>
      <c r="M56" s="20"/>
      <c r="N56" s="21"/>
    </row>
    <row r="57" spans="1:22" ht="15.75" hidden="1" customHeight="1">
      <c r="A57" s="32"/>
      <c r="B57" s="63" t="s">
        <v>114</v>
      </c>
      <c r="C57" s="64"/>
      <c r="D57" s="63" t="s">
        <v>53</v>
      </c>
      <c r="E57" s="65">
        <v>952</v>
      </c>
      <c r="F57" s="67">
        <v>9.52</v>
      </c>
      <c r="G57" s="13">
        <v>848.37</v>
      </c>
      <c r="H57" s="72">
        <f>F57*G57/1000</f>
        <v>8.0764823999999997</v>
      </c>
      <c r="I57" s="13">
        <v>0</v>
      </c>
      <c r="J57" s="26"/>
      <c r="L57" s="19"/>
    </row>
    <row r="58" spans="1:22" ht="15.75" customHeight="1">
      <c r="A58" s="32">
        <v>10</v>
      </c>
      <c r="B58" s="109" t="s">
        <v>162</v>
      </c>
      <c r="C58" s="110" t="s">
        <v>163</v>
      </c>
      <c r="D58" s="109" t="s">
        <v>172</v>
      </c>
      <c r="E58" s="126">
        <v>100</v>
      </c>
      <c r="F58" s="36">
        <f>E58*12</f>
        <v>1200</v>
      </c>
      <c r="G58" s="36">
        <v>1.4</v>
      </c>
      <c r="H58" s="119"/>
      <c r="I58" s="13">
        <f>G58*F58/12</f>
        <v>140</v>
      </c>
      <c r="J58" s="26"/>
      <c r="L58" s="19"/>
    </row>
    <row r="59" spans="1:22" ht="15.75" customHeight="1">
      <c r="A59" s="32"/>
      <c r="B59" s="85" t="s">
        <v>44</v>
      </c>
      <c r="C59" s="73"/>
      <c r="D59" s="74"/>
      <c r="E59" s="75"/>
      <c r="F59" s="76"/>
      <c r="G59" s="76"/>
      <c r="H59" s="77" t="s">
        <v>132</v>
      </c>
      <c r="I59" s="13"/>
    </row>
    <row r="60" spans="1:22" ht="15.75" customHeight="1">
      <c r="A60" s="32">
        <v>11</v>
      </c>
      <c r="B60" s="14" t="s">
        <v>45</v>
      </c>
      <c r="C60" s="16" t="s">
        <v>111</v>
      </c>
      <c r="D60" s="14" t="s">
        <v>172</v>
      </c>
      <c r="E60" s="18">
        <v>5</v>
      </c>
      <c r="F60" s="66">
        <v>5</v>
      </c>
      <c r="G60" s="100">
        <v>331.57</v>
      </c>
      <c r="H60" s="78">
        <f t="shared" ref="H60:H77" si="7">SUM(F60*G60/1000)</f>
        <v>1.6578499999999998</v>
      </c>
      <c r="I60" s="13">
        <f>G60</f>
        <v>331.57</v>
      </c>
    </row>
    <row r="61" spans="1:22" ht="15.75" hidden="1" customHeight="1">
      <c r="A61" s="32"/>
      <c r="B61" s="14" t="s">
        <v>46</v>
      </c>
      <c r="C61" s="16" t="s">
        <v>111</v>
      </c>
      <c r="D61" s="14" t="s">
        <v>65</v>
      </c>
      <c r="E61" s="18">
        <v>2</v>
      </c>
      <c r="F61" s="66">
        <v>2</v>
      </c>
      <c r="G61" s="13">
        <v>81.510000000000005</v>
      </c>
      <c r="H61" s="78">
        <f t="shared" si="7"/>
        <v>0.16302</v>
      </c>
      <c r="I61" s="13">
        <v>0</v>
      </c>
    </row>
    <row r="62" spans="1:22" ht="15.75" hidden="1" customHeight="1">
      <c r="A62" s="32"/>
      <c r="B62" s="14" t="s">
        <v>47</v>
      </c>
      <c r="C62" s="16" t="s">
        <v>115</v>
      </c>
      <c r="D62" s="14" t="s">
        <v>53</v>
      </c>
      <c r="E62" s="65">
        <v>4292</v>
      </c>
      <c r="F62" s="13">
        <f>SUM(E62/100)</f>
        <v>42.92</v>
      </c>
      <c r="G62" s="13">
        <v>226.79</v>
      </c>
      <c r="H62" s="78">
        <f t="shared" si="7"/>
        <v>9.733826800000001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2"/>
      <c r="B63" s="14" t="s">
        <v>48</v>
      </c>
      <c r="C63" s="16" t="s">
        <v>116</v>
      </c>
      <c r="D63" s="14"/>
      <c r="E63" s="65">
        <v>4292</v>
      </c>
      <c r="F63" s="13">
        <f>SUM(E63/1000)</f>
        <v>4.2919999999999998</v>
      </c>
      <c r="G63" s="13">
        <v>176.61</v>
      </c>
      <c r="H63" s="78">
        <f t="shared" si="7"/>
        <v>0.75801012000000001</v>
      </c>
      <c r="I63" s="13">
        <v>0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/>
      <c r="B64" s="14" t="s">
        <v>49</v>
      </c>
      <c r="C64" s="16" t="s">
        <v>75</v>
      </c>
      <c r="D64" s="14" t="s">
        <v>53</v>
      </c>
      <c r="E64" s="65">
        <v>510</v>
      </c>
      <c r="F64" s="13">
        <f>SUM(E64/100)</f>
        <v>5.0999999999999996</v>
      </c>
      <c r="G64" s="13">
        <v>2217.7800000000002</v>
      </c>
      <c r="H64" s="78">
        <f t="shared" si="7"/>
        <v>11.310677999999999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/>
      <c r="B65" s="79" t="s">
        <v>117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42.67</v>
      </c>
      <c r="H65" s="78">
        <f t="shared" si="7"/>
        <v>0.19628199999999998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168"/>
      <c r="S65" s="168"/>
      <c r="T65" s="168"/>
      <c r="U65" s="168"/>
    </row>
    <row r="66" spans="1:21" ht="15.75" hidden="1" customHeight="1">
      <c r="A66" s="32"/>
      <c r="B66" s="79" t="s">
        <v>118</v>
      </c>
      <c r="C66" s="16" t="s">
        <v>31</v>
      </c>
      <c r="D66" s="14"/>
      <c r="E66" s="65">
        <v>4.5999999999999996</v>
      </c>
      <c r="F66" s="13">
        <f>SUM(E66)</f>
        <v>4.5999999999999996</v>
      </c>
      <c r="G66" s="13">
        <v>39.81</v>
      </c>
      <c r="H66" s="78">
        <f t="shared" si="7"/>
        <v>0.18312600000000001</v>
      </c>
      <c r="I66" s="13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56</v>
      </c>
      <c r="C67" s="16" t="s">
        <v>57</v>
      </c>
      <c r="D67" s="14" t="s">
        <v>53</v>
      </c>
      <c r="E67" s="18">
        <v>3</v>
      </c>
      <c r="F67" s="66">
        <v>3</v>
      </c>
      <c r="G67" s="13">
        <v>53.32</v>
      </c>
      <c r="H67" s="78">
        <f t="shared" si="7"/>
        <v>0.15996000000000002</v>
      </c>
      <c r="I67" s="13">
        <v>0</v>
      </c>
    </row>
    <row r="68" spans="1:21" ht="15.75" customHeight="1">
      <c r="A68" s="32"/>
      <c r="B68" s="155" t="s">
        <v>194</v>
      </c>
      <c r="C68" s="16"/>
      <c r="D68" s="14"/>
      <c r="E68" s="18"/>
      <c r="F68" s="59"/>
      <c r="G68" s="13"/>
      <c r="H68" s="78"/>
      <c r="I68" s="13"/>
    </row>
    <row r="69" spans="1:21" ht="30" customHeight="1">
      <c r="A69" s="32">
        <v>12</v>
      </c>
      <c r="B69" s="127" t="s">
        <v>192</v>
      </c>
      <c r="C69" s="128" t="s">
        <v>193</v>
      </c>
      <c r="D69" s="129"/>
      <c r="E69" s="17">
        <v>1042.5999999999999</v>
      </c>
      <c r="F69" s="130">
        <f>E69*12</f>
        <v>12511.199999999999</v>
      </c>
      <c r="G69" s="130">
        <v>2.6</v>
      </c>
      <c r="H69" s="78"/>
      <c r="I69" s="13">
        <f>G69*F69/12</f>
        <v>2710.7599999999998</v>
      </c>
    </row>
    <row r="70" spans="1:21" ht="15.75" customHeight="1">
      <c r="A70" s="32"/>
      <c r="B70" s="50" t="s">
        <v>70</v>
      </c>
      <c r="C70" s="16"/>
      <c r="D70" s="14"/>
      <c r="E70" s="18"/>
      <c r="F70" s="13"/>
      <c r="G70" s="13"/>
      <c r="H70" s="78" t="s">
        <v>132</v>
      </c>
      <c r="I70" s="13"/>
    </row>
    <row r="71" spans="1:21" ht="15.75" hidden="1" customHeight="1">
      <c r="A71" s="32"/>
      <c r="B71" s="14" t="s">
        <v>71</v>
      </c>
      <c r="C71" s="16" t="s">
        <v>73</v>
      </c>
      <c r="D71" s="14"/>
      <c r="E71" s="18">
        <v>2</v>
      </c>
      <c r="F71" s="13">
        <v>0.2</v>
      </c>
      <c r="G71" s="13">
        <v>536.23</v>
      </c>
      <c r="H71" s="78">
        <f t="shared" si="7"/>
        <v>0.10724600000000001</v>
      </c>
      <c r="I71" s="13">
        <v>0</v>
      </c>
    </row>
    <row r="72" spans="1:21" ht="15.75" hidden="1" customHeight="1">
      <c r="A72" s="32"/>
      <c r="B72" s="14" t="s">
        <v>72</v>
      </c>
      <c r="C72" s="16" t="s">
        <v>29</v>
      </c>
      <c r="D72" s="14"/>
      <c r="E72" s="18">
        <v>1</v>
      </c>
      <c r="F72" s="59">
        <v>1</v>
      </c>
      <c r="G72" s="13">
        <v>911.85</v>
      </c>
      <c r="H72" s="78">
        <f t="shared" si="7"/>
        <v>0.91185000000000005</v>
      </c>
      <c r="I72" s="13">
        <v>0</v>
      </c>
    </row>
    <row r="73" spans="1:21" ht="15.75" hidden="1" customHeight="1">
      <c r="A73" s="32"/>
      <c r="B73" s="14" t="s">
        <v>133</v>
      </c>
      <c r="C73" s="16" t="s">
        <v>134</v>
      </c>
      <c r="D73" s="14"/>
      <c r="E73" s="18"/>
      <c r="F73" s="13"/>
      <c r="G73" s="13">
        <v>31.54</v>
      </c>
      <c r="H73" s="78">
        <f t="shared" si="7"/>
        <v>0</v>
      </c>
      <c r="I73" s="13"/>
    </row>
    <row r="74" spans="1:21" ht="15.75" hidden="1" customHeight="1">
      <c r="A74" s="32"/>
      <c r="B74" s="14" t="s">
        <v>120</v>
      </c>
      <c r="C74" s="16" t="s">
        <v>29</v>
      </c>
      <c r="D74" s="14"/>
      <c r="E74" s="18">
        <v>1</v>
      </c>
      <c r="F74" s="13">
        <v>1</v>
      </c>
      <c r="G74" s="13">
        <v>383.25</v>
      </c>
      <c r="H74" s="78">
        <f>G74*F74/1000</f>
        <v>0.38324999999999998</v>
      </c>
      <c r="I74" s="13">
        <v>0</v>
      </c>
    </row>
    <row r="75" spans="1:21" ht="15.75" customHeight="1">
      <c r="A75" s="32">
        <v>13</v>
      </c>
      <c r="B75" s="102" t="s">
        <v>195</v>
      </c>
      <c r="C75" s="103" t="s">
        <v>29</v>
      </c>
      <c r="D75" s="102" t="s">
        <v>173</v>
      </c>
      <c r="E75" s="17">
        <v>1</v>
      </c>
      <c r="F75" s="36">
        <f>E75*12</f>
        <v>12</v>
      </c>
      <c r="G75" s="36">
        <v>420</v>
      </c>
      <c r="H75" s="78"/>
      <c r="I75" s="13">
        <f>G75*F75/12</f>
        <v>420</v>
      </c>
    </row>
    <row r="76" spans="1:21" ht="15.75" hidden="1" customHeight="1">
      <c r="A76" s="32"/>
      <c r="B76" s="81" t="s">
        <v>74</v>
      </c>
      <c r="C76" s="16"/>
      <c r="D76" s="14"/>
      <c r="E76" s="18"/>
      <c r="F76" s="13"/>
      <c r="G76" s="13" t="s">
        <v>132</v>
      </c>
      <c r="H76" s="78" t="s">
        <v>132</v>
      </c>
      <c r="I76" s="13"/>
    </row>
    <row r="77" spans="1:21" ht="15.75" hidden="1" customHeight="1">
      <c r="A77" s="32"/>
      <c r="B77" s="44" t="s">
        <v>142</v>
      </c>
      <c r="C77" s="16" t="s">
        <v>75</v>
      </c>
      <c r="D77" s="14"/>
      <c r="E77" s="18"/>
      <c r="F77" s="13">
        <v>0.1</v>
      </c>
      <c r="G77" s="13">
        <v>2949.85</v>
      </c>
      <c r="H77" s="78">
        <f t="shared" si="7"/>
        <v>0.294985</v>
      </c>
      <c r="I77" s="13">
        <v>0</v>
      </c>
    </row>
    <row r="78" spans="1:21" ht="15.75" hidden="1" customHeight="1">
      <c r="A78" s="32"/>
      <c r="B78" s="88" t="s">
        <v>90</v>
      </c>
      <c r="C78" s="88"/>
      <c r="D78" s="88"/>
      <c r="E78" s="88"/>
      <c r="F78" s="88"/>
      <c r="G78" s="69"/>
      <c r="H78" s="82">
        <f>SUM(H55:H77)</f>
        <v>40.259437929999997</v>
      </c>
      <c r="I78" s="69"/>
    </row>
    <row r="79" spans="1:21" ht="15.75" hidden="1" customHeight="1">
      <c r="A79" s="32">
        <v>10</v>
      </c>
      <c r="B79" s="86" t="s">
        <v>119</v>
      </c>
      <c r="C79" s="23"/>
      <c r="D79" s="22"/>
      <c r="E79" s="83"/>
      <c r="F79" s="87">
        <v>1</v>
      </c>
      <c r="G79" s="13">
        <v>3395.9</v>
      </c>
      <c r="H79" s="78">
        <f>G79*F79/1000</f>
        <v>3.3959000000000001</v>
      </c>
      <c r="I79" s="13">
        <v>939.9</v>
      </c>
    </row>
    <row r="80" spans="1:21" ht="15.75" customHeight="1">
      <c r="A80" s="165" t="s">
        <v>150</v>
      </c>
      <c r="B80" s="166"/>
      <c r="C80" s="166"/>
      <c r="D80" s="166"/>
      <c r="E80" s="166"/>
      <c r="F80" s="166"/>
      <c r="G80" s="166"/>
      <c r="H80" s="166"/>
      <c r="I80" s="167"/>
    </row>
    <row r="81" spans="1:9" ht="15.75" customHeight="1">
      <c r="A81" s="32">
        <v>14</v>
      </c>
      <c r="B81" s="104" t="s">
        <v>121</v>
      </c>
      <c r="C81" s="103" t="s">
        <v>54</v>
      </c>
      <c r="D81" s="49"/>
      <c r="E81" s="36">
        <v>1042.5999999999999</v>
      </c>
      <c r="F81" s="36">
        <f>SUM(E81*12)</f>
        <v>12511.199999999999</v>
      </c>
      <c r="G81" s="36">
        <v>3.5</v>
      </c>
      <c r="H81" s="78">
        <f>SUM(F81*G81/1000)</f>
        <v>43.789199999999994</v>
      </c>
      <c r="I81" s="13">
        <f>G81*F81/12</f>
        <v>3649.1</v>
      </c>
    </row>
    <row r="82" spans="1:9" ht="31.5" customHeight="1">
      <c r="A82" s="32">
        <v>15</v>
      </c>
      <c r="B82" s="102" t="s">
        <v>196</v>
      </c>
      <c r="C82" s="103" t="s">
        <v>54</v>
      </c>
      <c r="D82" s="96"/>
      <c r="E82" s="121">
        <f>E81</f>
        <v>1042.5999999999999</v>
      </c>
      <c r="F82" s="36">
        <f>E82*12</f>
        <v>12511.199999999999</v>
      </c>
      <c r="G82" s="36">
        <v>3.2</v>
      </c>
      <c r="H82" s="78">
        <f>F82*G82/1000</f>
        <v>40.035839999999993</v>
      </c>
      <c r="I82" s="13">
        <f>G82*F82/12</f>
        <v>3336.3199999999997</v>
      </c>
    </row>
    <row r="83" spans="1:9" ht="15.75" customHeight="1">
      <c r="A83" s="32"/>
      <c r="B83" s="37" t="s">
        <v>78</v>
      </c>
      <c r="C83" s="81"/>
      <c r="D83" s="80"/>
      <c r="E83" s="69"/>
      <c r="F83" s="69"/>
      <c r="G83" s="69"/>
      <c r="H83" s="82">
        <f>H82</f>
        <v>40.035839999999993</v>
      </c>
      <c r="I83" s="69">
        <f>I82+I81+I75+I69+I60+I58+I33+I31+I30+I27+I21+I20+I18+I17+I16</f>
        <v>16990.872245333336</v>
      </c>
    </row>
    <row r="84" spans="1:9" ht="15.75" customHeight="1">
      <c r="A84" s="170" t="s">
        <v>59</v>
      </c>
      <c r="B84" s="171"/>
      <c r="C84" s="171"/>
      <c r="D84" s="171"/>
      <c r="E84" s="171"/>
      <c r="F84" s="171"/>
      <c r="G84" s="171"/>
      <c r="H84" s="171"/>
      <c r="I84" s="172"/>
    </row>
    <row r="85" spans="1:9" ht="15.75" customHeight="1">
      <c r="A85" s="32">
        <v>16</v>
      </c>
      <c r="B85" s="98" t="s">
        <v>243</v>
      </c>
      <c r="C85" s="161" t="s">
        <v>244</v>
      </c>
      <c r="D85" s="96"/>
      <c r="E85" s="36"/>
      <c r="F85" s="36">
        <v>0.5</v>
      </c>
      <c r="G85" s="36">
        <v>6439.95</v>
      </c>
      <c r="H85" s="77">
        <f>F85*G85/1000</f>
        <v>3.2199749999999998</v>
      </c>
      <c r="I85" s="97">
        <f>G85*0.5</f>
        <v>3219.9749999999999</v>
      </c>
    </row>
    <row r="86" spans="1:9" ht="18.75" customHeight="1">
      <c r="A86" s="32">
        <v>17</v>
      </c>
      <c r="B86" s="98" t="s">
        <v>245</v>
      </c>
      <c r="C86" s="161" t="s">
        <v>246</v>
      </c>
      <c r="D86" s="96"/>
      <c r="E86" s="36"/>
      <c r="F86" s="36">
        <v>1</v>
      </c>
      <c r="G86" s="36">
        <v>78109</v>
      </c>
      <c r="H86" s="59"/>
      <c r="I86" s="97">
        <f>G86*1</f>
        <v>78109</v>
      </c>
    </row>
    <row r="87" spans="1:9">
      <c r="A87" s="32"/>
      <c r="B87" s="42" t="s">
        <v>50</v>
      </c>
      <c r="C87" s="38"/>
      <c r="D87" s="45"/>
      <c r="E87" s="38">
        <v>1</v>
      </c>
      <c r="F87" s="38"/>
      <c r="G87" s="38"/>
      <c r="H87" s="38"/>
      <c r="I87" s="34">
        <f>SUM(I85:I86)</f>
        <v>81328.975000000006</v>
      </c>
    </row>
    <row r="88" spans="1:9" ht="16.5" customHeight="1">
      <c r="A88" s="32"/>
      <c r="B88" s="44" t="s">
        <v>77</v>
      </c>
      <c r="C88" s="15"/>
      <c r="D88" s="15"/>
      <c r="E88" s="39"/>
      <c r="F88" s="39"/>
      <c r="G88" s="40"/>
      <c r="H88" s="40"/>
      <c r="I88" s="17">
        <v>0</v>
      </c>
    </row>
    <row r="89" spans="1:9" ht="16.5" customHeight="1">
      <c r="A89" s="46"/>
      <c r="B89" s="43" t="s">
        <v>51</v>
      </c>
      <c r="C89" s="35"/>
      <c r="D89" s="35"/>
      <c r="E89" s="35"/>
      <c r="F89" s="35"/>
      <c r="G89" s="35"/>
      <c r="H89" s="35"/>
      <c r="I89" s="41">
        <f>I83+I87</f>
        <v>98319.847245333338</v>
      </c>
    </row>
    <row r="90" spans="1:9" ht="15.75" customHeight="1">
      <c r="A90" s="180" t="s">
        <v>247</v>
      </c>
      <c r="B90" s="180"/>
      <c r="C90" s="180"/>
      <c r="D90" s="180"/>
      <c r="E90" s="180"/>
      <c r="F90" s="180"/>
      <c r="G90" s="180"/>
      <c r="H90" s="180"/>
      <c r="I90" s="180"/>
    </row>
    <row r="91" spans="1:9" ht="15.75" customHeight="1">
      <c r="A91" s="56"/>
      <c r="B91" s="181" t="s">
        <v>248</v>
      </c>
      <c r="C91" s="181"/>
      <c r="D91" s="181"/>
      <c r="E91" s="181"/>
      <c r="F91" s="181"/>
      <c r="G91" s="181"/>
      <c r="H91" s="62"/>
      <c r="I91" s="3"/>
    </row>
    <row r="92" spans="1:9">
      <c r="A92" s="55"/>
      <c r="B92" s="178" t="s">
        <v>6</v>
      </c>
      <c r="C92" s="178"/>
      <c r="D92" s="178"/>
      <c r="E92" s="178"/>
      <c r="F92" s="178"/>
      <c r="G92" s="178"/>
      <c r="H92" s="27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74" t="s">
        <v>7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174" t="s">
        <v>8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5" t="s">
        <v>60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>
      <c r="A97" s="11"/>
    </row>
    <row r="98" spans="1:9" ht="15.75">
      <c r="A98" s="176" t="s">
        <v>9</v>
      </c>
      <c r="B98" s="176"/>
      <c r="C98" s="176"/>
      <c r="D98" s="176"/>
      <c r="E98" s="176"/>
      <c r="F98" s="176"/>
      <c r="G98" s="176"/>
      <c r="H98" s="176"/>
      <c r="I98" s="176"/>
    </row>
    <row r="99" spans="1:9" ht="15.75">
      <c r="A99" s="4"/>
    </row>
    <row r="100" spans="1:9" ht="15.75">
      <c r="B100" s="52" t="s">
        <v>10</v>
      </c>
      <c r="C100" s="177" t="s">
        <v>249</v>
      </c>
      <c r="D100" s="177"/>
      <c r="E100" s="177"/>
      <c r="F100" s="60"/>
      <c r="I100" s="54"/>
    </row>
    <row r="101" spans="1:9">
      <c r="A101" s="55"/>
      <c r="C101" s="178" t="s">
        <v>11</v>
      </c>
      <c r="D101" s="178"/>
      <c r="E101" s="178"/>
      <c r="F101" s="27"/>
      <c r="I101" s="53" t="s">
        <v>12</v>
      </c>
    </row>
    <row r="102" spans="1:9" ht="15.75">
      <c r="A102" s="28"/>
      <c r="C102" s="12"/>
      <c r="D102" s="12"/>
      <c r="G102" s="12"/>
      <c r="H102" s="12"/>
    </row>
    <row r="103" spans="1:9" ht="15.75">
      <c r="B103" s="52" t="s">
        <v>13</v>
      </c>
      <c r="C103" s="179"/>
      <c r="D103" s="179"/>
      <c r="E103" s="179"/>
      <c r="F103" s="61"/>
      <c r="I103" s="54"/>
    </row>
    <row r="104" spans="1:9">
      <c r="A104" s="55"/>
      <c r="C104" s="168" t="s">
        <v>11</v>
      </c>
      <c r="D104" s="168"/>
      <c r="E104" s="168"/>
      <c r="F104" s="55"/>
      <c r="I104" s="53" t="s">
        <v>12</v>
      </c>
    </row>
    <row r="105" spans="1:9" ht="15.75">
      <c r="A105" s="4" t="s">
        <v>14</v>
      </c>
    </row>
    <row r="106" spans="1:9">
      <c r="A106" s="169" t="s">
        <v>15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45" customHeight="1">
      <c r="A107" s="173" t="s">
        <v>16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30" customHeight="1">
      <c r="A108" s="173" t="s">
        <v>17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21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14.25" customHeight="1">
      <c r="A110" s="173" t="s">
        <v>20</v>
      </c>
      <c r="B110" s="173"/>
      <c r="C110" s="173"/>
      <c r="D110" s="173"/>
      <c r="E110" s="173"/>
      <c r="F110" s="173"/>
      <c r="G110" s="173"/>
      <c r="H110" s="173"/>
      <c r="I110" s="173"/>
    </row>
  </sheetData>
  <autoFilter ref="I12:I60"/>
  <mergeCells count="29">
    <mergeCell ref="R65:U65"/>
    <mergeCell ref="A80:I80"/>
    <mergeCell ref="A3:I3"/>
    <mergeCell ref="A4:I4"/>
    <mergeCell ref="A5:I5"/>
    <mergeCell ref="A8:I8"/>
    <mergeCell ref="A10:I10"/>
    <mergeCell ref="A14:I14"/>
    <mergeCell ref="A96:I96"/>
    <mergeCell ref="A15:I15"/>
    <mergeCell ref="A28:I28"/>
    <mergeCell ref="A42:I42"/>
    <mergeCell ref="A53:I53"/>
    <mergeCell ref="A90:I90"/>
    <mergeCell ref="B91:G91"/>
    <mergeCell ref="B92:G92"/>
    <mergeCell ref="A94:I94"/>
    <mergeCell ref="A95:I95"/>
    <mergeCell ref="A84:I84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topLeftCell="A59" workbookViewId="0">
      <selection activeCell="B84" sqref="B84:I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160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250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89"/>
      <c r="C6" s="89"/>
      <c r="D6" s="89"/>
      <c r="E6" s="89"/>
      <c r="F6" s="89"/>
      <c r="G6" s="89"/>
      <c r="H6" s="89"/>
      <c r="I6" s="33">
        <v>44165</v>
      </c>
      <c r="J6" s="2"/>
      <c r="K6" s="2"/>
      <c r="L6" s="2"/>
      <c r="M6" s="2"/>
    </row>
    <row r="7" spans="1:13" ht="15.75">
      <c r="B7" s="93"/>
      <c r="C7" s="93"/>
      <c r="D7" s="9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242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172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G18*F18/18*1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222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219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220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221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173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219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hidden="1" customHeight="1">
      <c r="A28" s="32">
        <v>7</v>
      </c>
      <c r="B28" s="71" t="s">
        <v>23</v>
      </c>
      <c r="C28" s="64" t="s">
        <v>24</v>
      </c>
      <c r="D28" s="63"/>
      <c r="E28" s="65">
        <v>1042.5999999999999</v>
      </c>
      <c r="F28" s="66">
        <f>SUM(E28*12)</f>
        <v>12511.199999999999</v>
      </c>
      <c r="G28" s="66">
        <v>6.15</v>
      </c>
      <c r="H28" s="67">
        <f>SUM(F28*G28/1000)</f>
        <v>76.943880000000007</v>
      </c>
      <c r="I28" s="13">
        <f>F28/12*G28</f>
        <v>6411.99</v>
      </c>
      <c r="J28" s="26"/>
    </row>
    <row r="29" spans="1:13" ht="15.75" customHeight="1">
      <c r="A29" s="165" t="s">
        <v>81</v>
      </c>
      <c r="B29" s="166"/>
      <c r="C29" s="166"/>
      <c r="D29" s="166"/>
      <c r="E29" s="166"/>
      <c r="F29" s="166"/>
      <c r="G29" s="166"/>
      <c r="H29" s="166"/>
      <c r="I29" s="167"/>
      <c r="J29" s="25"/>
      <c r="K29" s="8"/>
      <c r="L29" s="8"/>
      <c r="M29" s="8"/>
    </row>
    <row r="30" spans="1:13" ht="15.75" hidden="1" customHeight="1">
      <c r="A30" s="32"/>
      <c r="B30" s="84" t="s">
        <v>27</v>
      </c>
      <c r="C30" s="64"/>
      <c r="D30" s="63"/>
      <c r="E30" s="65"/>
      <c r="F30" s="66"/>
      <c r="G30" s="66"/>
      <c r="H30" s="67"/>
      <c r="I30" s="13"/>
      <c r="J30" s="25"/>
      <c r="K30" s="8"/>
      <c r="L30" s="8"/>
      <c r="M30" s="8"/>
    </row>
    <row r="31" spans="1:13" ht="15.75" hidden="1" customHeight="1">
      <c r="A31" s="32">
        <v>7</v>
      </c>
      <c r="B31" s="63" t="s">
        <v>107</v>
      </c>
      <c r="C31" s="64" t="s">
        <v>86</v>
      </c>
      <c r="D31" s="63" t="s">
        <v>157</v>
      </c>
      <c r="E31" s="66">
        <v>266.57</v>
      </c>
      <c r="F31" s="66">
        <f>SUM(E31*52/1000)</f>
        <v>13.86164</v>
      </c>
      <c r="G31" s="66">
        <v>146.79</v>
      </c>
      <c r="H31" s="67">
        <f t="shared" ref="H31:H36" si="1">SUM(F31*G31/1000)</f>
        <v>2.0347501356</v>
      </c>
      <c r="I31" s="13">
        <f t="shared" ref="I31:I34" si="2">F31/6*G31</f>
        <v>339.12502259999997</v>
      </c>
      <c r="J31" s="25"/>
      <c r="K31" s="8"/>
      <c r="L31" s="8"/>
      <c r="M31" s="8"/>
    </row>
    <row r="32" spans="1:13" ht="31.5" hidden="1" customHeight="1">
      <c r="A32" s="32">
        <v>8</v>
      </c>
      <c r="B32" s="63" t="s">
        <v>106</v>
      </c>
      <c r="C32" s="64" t="s">
        <v>86</v>
      </c>
      <c r="D32" s="63" t="s">
        <v>158</v>
      </c>
      <c r="E32" s="66">
        <v>48.03</v>
      </c>
      <c r="F32" s="66">
        <f>SUM(E32*78/1000)</f>
        <v>3.74634</v>
      </c>
      <c r="G32" s="66">
        <v>243.54</v>
      </c>
      <c r="H32" s="67">
        <f t="shared" si="1"/>
        <v>0.91238364360000002</v>
      </c>
      <c r="I32" s="13">
        <f t="shared" si="2"/>
        <v>152.0639406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26</v>
      </c>
      <c r="C33" s="64" t="s">
        <v>86</v>
      </c>
      <c r="D33" s="63" t="s">
        <v>53</v>
      </c>
      <c r="E33" s="66">
        <v>266.57</v>
      </c>
      <c r="F33" s="66">
        <f>SUM(E33/1000)</f>
        <v>0.26656999999999997</v>
      </c>
      <c r="G33" s="66">
        <v>2844</v>
      </c>
      <c r="H33" s="67">
        <f t="shared" si="1"/>
        <v>0.7581250799999999</v>
      </c>
      <c r="I33" s="13">
        <f>F33*G33</f>
        <v>758.12507999999991</v>
      </c>
      <c r="J33" s="25"/>
      <c r="K33" s="8"/>
      <c r="L33" s="8"/>
      <c r="M33" s="8"/>
    </row>
    <row r="34" spans="1:14" ht="15.75" hidden="1" customHeight="1">
      <c r="A34" s="32">
        <v>9</v>
      </c>
      <c r="B34" s="63" t="s">
        <v>105</v>
      </c>
      <c r="C34" s="64" t="s">
        <v>29</v>
      </c>
      <c r="D34" s="63" t="s">
        <v>62</v>
      </c>
      <c r="E34" s="70">
        <v>0.33333333333333331</v>
      </c>
      <c r="F34" s="66">
        <f>155/3</f>
        <v>51.666666666666664</v>
      </c>
      <c r="G34" s="66">
        <v>53.38</v>
      </c>
      <c r="H34" s="67">
        <f>SUM(G34*155/3/1000)</f>
        <v>2.7579666666666669</v>
      </c>
      <c r="I34" s="13">
        <f t="shared" si="2"/>
        <v>459.6611111111111</v>
      </c>
      <c r="J34" s="25"/>
      <c r="K34" s="8"/>
    </row>
    <row r="35" spans="1:14" ht="15.75" hidden="1" customHeight="1">
      <c r="A35" s="32"/>
      <c r="B35" s="63" t="s">
        <v>63</v>
      </c>
      <c r="C35" s="64" t="s">
        <v>31</v>
      </c>
      <c r="D35" s="63" t="s">
        <v>65</v>
      </c>
      <c r="E35" s="65"/>
      <c r="F35" s="66">
        <v>1</v>
      </c>
      <c r="G35" s="66">
        <v>180.15</v>
      </c>
      <c r="H35" s="67">
        <f t="shared" si="1"/>
        <v>0.18015</v>
      </c>
      <c r="I35" s="13">
        <v>0</v>
      </c>
      <c r="J35" s="26"/>
    </row>
    <row r="36" spans="1:14" ht="15.75" hidden="1" customHeight="1">
      <c r="A36" s="32"/>
      <c r="B36" s="63" t="s">
        <v>64</v>
      </c>
      <c r="C36" s="64" t="s">
        <v>30</v>
      </c>
      <c r="D36" s="63" t="s">
        <v>65</v>
      </c>
      <c r="E36" s="65"/>
      <c r="F36" s="66">
        <v>1</v>
      </c>
      <c r="G36" s="66">
        <v>1214.74</v>
      </c>
      <c r="H36" s="67">
        <f t="shared" si="1"/>
        <v>1.2147399999999999</v>
      </c>
      <c r="I36" s="13">
        <v>0</v>
      </c>
      <c r="J36" s="26"/>
    </row>
    <row r="37" spans="1:14" ht="15.75" customHeight="1">
      <c r="A37" s="32"/>
      <c r="B37" s="84" t="s">
        <v>5</v>
      </c>
      <c r="C37" s="64"/>
      <c r="D37" s="63"/>
      <c r="E37" s="65"/>
      <c r="F37" s="66"/>
      <c r="G37" s="66"/>
      <c r="H37" s="67" t="s">
        <v>132</v>
      </c>
      <c r="I37" s="13"/>
      <c r="J37" s="26"/>
    </row>
    <row r="38" spans="1:14" ht="15.75" hidden="1" customHeight="1">
      <c r="A38" s="32">
        <v>7</v>
      </c>
      <c r="B38" s="123" t="s">
        <v>25</v>
      </c>
      <c r="C38" s="105" t="s">
        <v>30</v>
      </c>
      <c r="D38" s="104"/>
      <c r="E38" s="121"/>
      <c r="F38" s="107">
        <v>3</v>
      </c>
      <c r="G38" s="107">
        <v>1930</v>
      </c>
      <c r="H38" s="67">
        <f t="shared" ref="H38:H43" si="3">SUM(F38*G38/1000)</f>
        <v>5.79</v>
      </c>
      <c r="I38" s="13">
        <f>G38*1</f>
        <v>1930</v>
      </c>
      <c r="J38" s="26"/>
    </row>
    <row r="39" spans="1:14" ht="15.75" customHeight="1">
      <c r="A39" s="32">
        <v>7</v>
      </c>
      <c r="B39" s="123" t="s">
        <v>108</v>
      </c>
      <c r="C39" s="124" t="s">
        <v>28</v>
      </c>
      <c r="D39" s="104" t="s">
        <v>170</v>
      </c>
      <c r="E39" s="121">
        <v>38.5</v>
      </c>
      <c r="F39" s="125">
        <f>E39*48/1000</f>
        <v>1.8480000000000001</v>
      </c>
      <c r="G39" s="107">
        <v>3134.93</v>
      </c>
      <c r="H39" s="67">
        <f>G39*F39/1000</f>
        <v>5.7933506399999999</v>
      </c>
      <c r="I39" s="13">
        <f t="shared" ref="I39:I41" si="4">F39/6*G39</f>
        <v>965.55843999999991</v>
      </c>
      <c r="J39" s="26"/>
      <c r="L39" s="19"/>
      <c r="M39" s="20"/>
      <c r="N39" s="21"/>
    </row>
    <row r="40" spans="1:14" ht="15.75" customHeight="1">
      <c r="A40" s="32">
        <v>8</v>
      </c>
      <c r="B40" s="104" t="s">
        <v>187</v>
      </c>
      <c r="C40" s="105" t="s">
        <v>28</v>
      </c>
      <c r="D40" s="104" t="s">
        <v>215</v>
      </c>
      <c r="E40" s="107">
        <v>38.5</v>
      </c>
      <c r="F40" s="125">
        <f>E40*72/1000</f>
        <v>2.7719999999999998</v>
      </c>
      <c r="G40" s="107">
        <v>522.92999999999995</v>
      </c>
      <c r="H40" s="67">
        <f t="shared" si="3"/>
        <v>1.4495619599999998</v>
      </c>
      <c r="I40" s="13">
        <f t="shared" si="4"/>
        <v>241.59365999999997</v>
      </c>
      <c r="J40" s="26"/>
      <c r="L40" s="19"/>
      <c r="M40" s="20"/>
      <c r="N40" s="21"/>
    </row>
    <row r="41" spans="1:14" ht="47.25" customHeight="1">
      <c r="A41" s="32">
        <v>9</v>
      </c>
      <c r="B41" s="104" t="s">
        <v>188</v>
      </c>
      <c r="C41" s="105" t="s">
        <v>86</v>
      </c>
      <c r="D41" s="104" t="s">
        <v>170</v>
      </c>
      <c r="E41" s="107">
        <v>38.5</v>
      </c>
      <c r="F41" s="125">
        <f>E41*48/1000</f>
        <v>1.8480000000000001</v>
      </c>
      <c r="G41" s="107">
        <v>8652.07</v>
      </c>
      <c r="H41" s="67">
        <f t="shared" si="3"/>
        <v>15.989025359999999</v>
      </c>
      <c r="I41" s="13">
        <f t="shared" si="4"/>
        <v>2664.8375599999999</v>
      </c>
      <c r="J41" s="26"/>
      <c r="L41" s="19"/>
      <c r="M41" s="20"/>
      <c r="N41" s="21"/>
    </row>
    <row r="42" spans="1:14" ht="15.75" customHeight="1">
      <c r="A42" s="32">
        <v>10</v>
      </c>
      <c r="B42" s="104" t="s">
        <v>87</v>
      </c>
      <c r="C42" s="105" t="s">
        <v>86</v>
      </c>
      <c r="D42" s="104" t="s">
        <v>172</v>
      </c>
      <c r="E42" s="107">
        <v>38.5</v>
      </c>
      <c r="F42" s="125">
        <f>SUM(E42*30/1000)</f>
        <v>1.155</v>
      </c>
      <c r="G42" s="107">
        <v>639.14</v>
      </c>
      <c r="H42" s="67">
        <f t="shared" si="3"/>
        <v>0.73820669999999999</v>
      </c>
      <c r="I42" s="13">
        <f>G42*F42/30*1</f>
        <v>24.60689</v>
      </c>
      <c r="J42" s="26"/>
      <c r="L42" s="19"/>
      <c r="M42" s="20"/>
      <c r="N42" s="21"/>
    </row>
    <row r="43" spans="1:14" ht="15.75" customHeight="1">
      <c r="A43" s="32">
        <v>11</v>
      </c>
      <c r="B43" s="123" t="s">
        <v>68</v>
      </c>
      <c r="C43" s="124" t="s">
        <v>31</v>
      </c>
      <c r="D43" s="123"/>
      <c r="E43" s="106"/>
      <c r="F43" s="125">
        <v>0.5</v>
      </c>
      <c r="G43" s="125">
        <v>900</v>
      </c>
      <c r="H43" s="67">
        <f t="shared" si="3"/>
        <v>0.45</v>
      </c>
      <c r="I43" s="13">
        <f>G43*F43/30*1</f>
        <v>15</v>
      </c>
      <c r="J43" s="26"/>
      <c r="L43" s="19"/>
      <c r="M43" s="20"/>
      <c r="N43" s="21"/>
    </row>
    <row r="44" spans="1:14" ht="30.75" customHeight="1">
      <c r="A44" s="117">
        <v>12</v>
      </c>
      <c r="B44" s="123" t="s">
        <v>190</v>
      </c>
      <c r="C44" s="124" t="s">
        <v>28</v>
      </c>
      <c r="D44" s="123" t="s">
        <v>191</v>
      </c>
      <c r="E44" s="106">
        <v>1.2</v>
      </c>
      <c r="F44" s="125">
        <f>E44*12/1000</f>
        <v>1.4399999999999998E-2</v>
      </c>
      <c r="G44" s="125">
        <v>20547.34</v>
      </c>
      <c r="H44" s="59"/>
      <c r="I44" s="13">
        <f>G44*F44/6</f>
        <v>49.313615999999996</v>
      </c>
      <c r="J44" s="26"/>
      <c r="L44" s="19"/>
      <c r="M44" s="20"/>
      <c r="N44" s="21"/>
    </row>
    <row r="45" spans="1:14" ht="15.75" hidden="1" customHeight="1">
      <c r="A45" s="165" t="s">
        <v>125</v>
      </c>
      <c r="B45" s="166"/>
      <c r="C45" s="166"/>
      <c r="D45" s="166"/>
      <c r="E45" s="166"/>
      <c r="F45" s="166"/>
      <c r="G45" s="166"/>
      <c r="H45" s="166"/>
      <c r="I45" s="167"/>
      <c r="J45" s="26"/>
      <c r="L45" s="19"/>
      <c r="M45" s="20"/>
      <c r="N45" s="21"/>
    </row>
    <row r="46" spans="1:14" ht="15.75" hidden="1" customHeight="1">
      <c r="A46" s="32"/>
      <c r="B46" s="63" t="s">
        <v>110</v>
      </c>
      <c r="C46" s="64" t="s">
        <v>86</v>
      </c>
      <c r="D46" s="63" t="s">
        <v>41</v>
      </c>
      <c r="E46" s="65">
        <v>636.25</v>
      </c>
      <c r="F46" s="66">
        <f>SUM(E46*2/1000)</f>
        <v>1.2725</v>
      </c>
      <c r="G46" s="13">
        <v>762.53</v>
      </c>
      <c r="H46" s="67">
        <f t="shared" ref="H46:H55" si="5">SUM(F46*G46/1000)</f>
        <v>0.9703194249999999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34</v>
      </c>
      <c r="C47" s="64" t="s">
        <v>86</v>
      </c>
      <c r="D47" s="63" t="s">
        <v>41</v>
      </c>
      <c r="E47" s="65">
        <v>26</v>
      </c>
      <c r="F47" s="66">
        <f>SUM(E47*2/1000)</f>
        <v>5.1999999999999998E-2</v>
      </c>
      <c r="G47" s="13">
        <v>545.65</v>
      </c>
      <c r="H47" s="67">
        <f t="shared" si="5"/>
        <v>2.8373799999999998E-2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35</v>
      </c>
      <c r="C48" s="64" t="s">
        <v>86</v>
      </c>
      <c r="D48" s="63" t="s">
        <v>41</v>
      </c>
      <c r="E48" s="65">
        <v>579</v>
      </c>
      <c r="F48" s="66">
        <f>SUM(E48*2/1000)</f>
        <v>1.1579999999999999</v>
      </c>
      <c r="G48" s="13">
        <v>545.65</v>
      </c>
      <c r="H48" s="67">
        <f t="shared" si="5"/>
        <v>0.63186269999999989</v>
      </c>
      <c r="I48" s="13">
        <v>0</v>
      </c>
      <c r="J48" s="26"/>
      <c r="L48" s="19"/>
      <c r="M48" s="20"/>
      <c r="N48" s="21"/>
    </row>
    <row r="49" spans="1:14" ht="15.75" hidden="1" customHeight="1">
      <c r="A49" s="32"/>
      <c r="B49" s="63" t="s">
        <v>36</v>
      </c>
      <c r="C49" s="64" t="s">
        <v>86</v>
      </c>
      <c r="D49" s="63" t="s">
        <v>41</v>
      </c>
      <c r="E49" s="65">
        <v>683.33</v>
      </c>
      <c r="F49" s="66">
        <f>SUM(E49*2/1000)</f>
        <v>1.36666</v>
      </c>
      <c r="G49" s="13">
        <v>571.35</v>
      </c>
      <c r="H49" s="67">
        <f t="shared" si="5"/>
        <v>0.78084119099999993</v>
      </c>
      <c r="I49" s="13">
        <v>0</v>
      </c>
      <c r="J49" s="26"/>
      <c r="L49" s="19"/>
      <c r="M49" s="20"/>
      <c r="N49" s="21"/>
    </row>
    <row r="50" spans="1:14" ht="15.75" hidden="1" customHeight="1">
      <c r="A50" s="32"/>
      <c r="B50" s="63" t="s">
        <v>32</v>
      </c>
      <c r="C50" s="64" t="s">
        <v>33</v>
      </c>
      <c r="D50" s="63" t="s">
        <v>41</v>
      </c>
      <c r="E50" s="65">
        <v>44.11</v>
      </c>
      <c r="F50" s="66">
        <f>SUM(E50*2/100)</f>
        <v>0.88219999999999998</v>
      </c>
      <c r="G50" s="13">
        <v>68.56</v>
      </c>
      <c r="H50" s="67">
        <f t="shared" si="5"/>
        <v>6.0483632000000002E-2</v>
      </c>
      <c r="I50" s="13">
        <v>0</v>
      </c>
      <c r="J50" s="26"/>
      <c r="L50" s="19"/>
      <c r="M50" s="20"/>
      <c r="N50" s="21"/>
    </row>
    <row r="51" spans="1:14" ht="15.75" hidden="1" customHeight="1">
      <c r="A51" s="32">
        <v>10</v>
      </c>
      <c r="B51" s="63" t="s">
        <v>55</v>
      </c>
      <c r="C51" s="64" t="s">
        <v>86</v>
      </c>
      <c r="D51" s="63" t="s">
        <v>126</v>
      </c>
      <c r="E51" s="65">
        <v>1140</v>
      </c>
      <c r="F51" s="66">
        <f>SUM(E51*5/1000)</f>
        <v>5.7</v>
      </c>
      <c r="G51" s="13">
        <v>1142.7</v>
      </c>
      <c r="H51" s="67">
        <f t="shared" si="5"/>
        <v>6.5133900000000002</v>
      </c>
      <c r="I51" s="13">
        <f>F51/5*G51</f>
        <v>1302.6780000000001</v>
      </c>
      <c r="J51" s="26"/>
      <c r="L51" s="19"/>
      <c r="M51" s="20"/>
      <c r="N51" s="21"/>
    </row>
    <row r="52" spans="1:14" ht="31.5" hidden="1" customHeight="1">
      <c r="A52" s="32">
        <v>14</v>
      </c>
      <c r="B52" s="63" t="s">
        <v>88</v>
      </c>
      <c r="C52" s="64" t="s">
        <v>86</v>
      </c>
      <c r="D52" s="63" t="s">
        <v>41</v>
      </c>
      <c r="E52" s="65">
        <v>1140</v>
      </c>
      <c r="F52" s="66">
        <f>SUM(E52*2/1000)</f>
        <v>2.2799999999999998</v>
      </c>
      <c r="G52" s="13">
        <v>1142.7</v>
      </c>
      <c r="H52" s="67">
        <f t="shared" si="5"/>
        <v>2.6053559999999996</v>
      </c>
      <c r="I52" s="13">
        <f>F52/2*G52</f>
        <v>1302.6779999999999</v>
      </c>
      <c r="J52" s="26"/>
      <c r="L52" s="19"/>
      <c r="M52" s="20"/>
      <c r="N52" s="21"/>
    </row>
    <row r="53" spans="1:14" ht="31.5" hidden="1" customHeight="1">
      <c r="A53" s="32">
        <v>15</v>
      </c>
      <c r="B53" s="63" t="s">
        <v>89</v>
      </c>
      <c r="C53" s="64" t="s">
        <v>37</v>
      </c>
      <c r="D53" s="63" t="s">
        <v>41</v>
      </c>
      <c r="E53" s="65">
        <v>9</v>
      </c>
      <c r="F53" s="66">
        <f>SUM(E53*2/100)</f>
        <v>0.18</v>
      </c>
      <c r="G53" s="13">
        <v>2571.08</v>
      </c>
      <c r="H53" s="67">
        <f t="shared" si="5"/>
        <v>0.46279439999999999</v>
      </c>
      <c r="I53" s="13">
        <f t="shared" ref="I53:I54" si="6">F53/2*G53</f>
        <v>231.3972</v>
      </c>
      <c r="J53" s="26"/>
      <c r="L53" s="19"/>
      <c r="M53" s="20"/>
      <c r="N53" s="21"/>
    </row>
    <row r="54" spans="1:14" ht="15.75" hidden="1" customHeight="1">
      <c r="A54" s="32">
        <v>16</v>
      </c>
      <c r="B54" s="63" t="s">
        <v>38</v>
      </c>
      <c r="C54" s="64" t="s">
        <v>39</v>
      </c>
      <c r="D54" s="63" t="s">
        <v>41</v>
      </c>
      <c r="E54" s="65">
        <v>1</v>
      </c>
      <c r="F54" s="66">
        <v>0.02</v>
      </c>
      <c r="G54" s="13">
        <v>5322.15</v>
      </c>
      <c r="H54" s="67">
        <f t="shared" si="5"/>
        <v>0.106443</v>
      </c>
      <c r="I54" s="13">
        <f t="shared" si="6"/>
        <v>53.221499999999999</v>
      </c>
      <c r="J54" s="26"/>
      <c r="L54" s="19"/>
      <c r="M54" s="20"/>
      <c r="N54" s="21"/>
    </row>
    <row r="55" spans="1:14" ht="15.75" hidden="1" customHeight="1">
      <c r="A55" s="32">
        <v>11</v>
      </c>
      <c r="B55" s="63" t="s">
        <v>40</v>
      </c>
      <c r="C55" s="64" t="s">
        <v>111</v>
      </c>
      <c r="D55" s="63" t="s">
        <v>69</v>
      </c>
      <c r="E55" s="65">
        <v>36</v>
      </c>
      <c r="F55" s="66">
        <f>SUM(E55)*3</f>
        <v>108</v>
      </c>
      <c r="G55" s="13">
        <v>61.84</v>
      </c>
      <c r="H55" s="67">
        <f t="shared" si="5"/>
        <v>6.6787200000000002</v>
      </c>
      <c r="I55" s="13">
        <f>E55*G55</f>
        <v>2226.2400000000002</v>
      </c>
      <c r="J55" s="26"/>
      <c r="L55" s="19"/>
      <c r="M55" s="20"/>
      <c r="N55" s="21"/>
    </row>
    <row r="56" spans="1:14" ht="15.75" customHeight="1">
      <c r="A56" s="165" t="s">
        <v>145</v>
      </c>
      <c r="B56" s="166"/>
      <c r="C56" s="166"/>
      <c r="D56" s="166"/>
      <c r="E56" s="166"/>
      <c r="F56" s="166"/>
      <c r="G56" s="166"/>
      <c r="H56" s="166"/>
      <c r="I56" s="167"/>
      <c r="J56" s="26"/>
      <c r="L56" s="19"/>
      <c r="M56" s="20"/>
      <c r="N56" s="21"/>
    </row>
    <row r="57" spans="1:14" ht="15.75" hidden="1" customHeight="1">
      <c r="A57" s="32"/>
      <c r="B57" s="84" t="s">
        <v>42</v>
      </c>
      <c r="C57" s="64"/>
      <c r="D57" s="63"/>
      <c r="E57" s="65"/>
      <c r="F57" s="66"/>
      <c r="G57" s="66"/>
      <c r="H57" s="67"/>
      <c r="I57" s="13"/>
      <c r="J57" s="26"/>
      <c r="L57" s="19"/>
      <c r="M57" s="20"/>
      <c r="N57" s="21"/>
    </row>
    <row r="58" spans="1:14" ht="31.5" hidden="1" customHeight="1">
      <c r="A58" s="32">
        <v>17</v>
      </c>
      <c r="B58" s="63" t="s">
        <v>112</v>
      </c>
      <c r="C58" s="64" t="s">
        <v>83</v>
      </c>
      <c r="D58" s="63" t="s">
        <v>113</v>
      </c>
      <c r="E58" s="65">
        <v>72.33</v>
      </c>
      <c r="F58" s="66">
        <f>SUM(E58*6/100)</f>
        <v>4.3398000000000003</v>
      </c>
      <c r="G58" s="13">
        <v>1456.95</v>
      </c>
      <c r="H58" s="67">
        <f>SUM(F58*G58/1000)</f>
        <v>6.3228716100000009</v>
      </c>
      <c r="I58" s="13">
        <f>F58/6*G58</f>
        <v>1053.8119350000002</v>
      </c>
      <c r="J58" s="26"/>
      <c r="L58" s="19"/>
      <c r="M58" s="20"/>
      <c r="N58" s="21"/>
    </row>
    <row r="59" spans="1:14" ht="15.75" customHeight="1">
      <c r="A59" s="32"/>
      <c r="B59" s="84" t="s">
        <v>43</v>
      </c>
      <c r="C59" s="64"/>
      <c r="D59" s="63"/>
      <c r="E59" s="65"/>
      <c r="F59" s="67"/>
      <c r="G59" s="13"/>
      <c r="H59" s="72"/>
      <c r="I59" s="13"/>
      <c r="J59" s="26"/>
      <c r="L59" s="19"/>
      <c r="M59" s="20"/>
      <c r="N59" s="21"/>
    </row>
    <row r="60" spans="1:14" ht="15.75" hidden="1" customHeight="1">
      <c r="A60" s="32"/>
      <c r="B60" s="63" t="s">
        <v>114</v>
      </c>
      <c r="C60" s="64"/>
      <c r="D60" s="63" t="s">
        <v>53</v>
      </c>
      <c r="E60" s="65">
        <v>952</v>
      </c>
      <c r="F60" s="67">
        <v>9.52</v>
      </c>
      <c r="G60" s="13">
        <v>848.37</v>
      </c>
      <c r="H60" s="72">
        <f>F60*G60/1000</f>
        <v>8.0764823999999997</v>
      </c>
      <c r="I60" s="13">
        <v>0</v>
      </c>
      <c r="J60" s="26"/>
      <c r="L60" s="19"/>
    </row>
    <row r="61" spans="1:14" ht="15.75" customHeight="1">
      <c r="A61" s="32">
        <v>13</v>
      </c>
      <c r="B61" s="109" t="s">
        <v>162</v>
      </c>
      <c r="C61" s="110" t="s">
        <v>163</v>
      </c>
      <c r="D61" s="109" t="s">
        <v>172</v>
      </c>
      <c r="E61" s="126">
        <v>100</v>
      </c>
      <c r="F61" s="36">
        <f>E61*12</f>
        <v>1200</v>
      </c>
      <c r="G61" s="36">
        <v>1.4</v>
      </c>
      <c r="H61" s="119"/>
      <c r="I61" s="13">
        <f>G61*F61/12</f>
        <v>140</v>
      </c>
      <c r="J61" s="26"/>
      <c r="L61" s="19"/>
    </row>
    <row r="62" spans="1:14" ht="15.75" hidden="1" customHeight="1">
      <c r="A62" s="32"/>
      <c r="B62" s="85" t="s">
        <v>44</v>
      </c>
      <c r="C62" s="73"/>
      <c r="D62" s="74"/>
      <c r="E62" s="75"/>
      <c r="F62" s="76"/>
      <c r="G62" s="76"/>
      <c r="H62" s="77" t="s">
        <v>132</v>
      </c>
      <c r="I62" s="13"/>
    </row>
    <row r="63" spans="1:14" ht="15.75" hidden="1" customHeight="1">
      <c r="A63" s="32">
        <v>10</v>
      </c>
      <c r="B63" s="14" t="s">
        <v>45</v>
      </c>
      <c r="C63" s="16" t="s">
        <v>111</v>
      </c>
      <c r="D63" s="14" t="s">
        <v>65</v>
      </c>
      <c r="E63" s="18">
        <v>5</v>
      </c>
      <c r="F63" s="66">
        <v>5</v>
      </c>
      <c r="G63" s="13">
        <v>237.74</v>
      </c>
      <c r="H63" s="78">
        <f t="shared" ref="H63:H80" si="7">SUM(F63*G63/1000)</f>
        <v>1.1887000000000001</v>
      </c>
      <c r="I63" s="13">
        <f>G63</f>
        <v>237.74</v>
      </c>
    </row>
    <row r="64" spans="1:14" ht="15.75" hidden="1" customHeight="1">
      <c r="A64" s="32"/>
      <c r="B64" s="14" t="s">
        <v>46</v>
      </c>
      <c r="C64" s="16" t="s">
        <v>111</v>
      </c>
      <c r="D64" s="14" t="s">
        <v>65</v>
      </c>
      <c r="E64" s="18">
        <v>2</v>
      </c>
      <c r="F64" s="66">
        <v>2</v>
      </c>
      <c r="G64" s="13">
        <v>81.510000000000005</v>
      </c>
      <c r="H64" s="78">
        <f t="shared" si="7"/>
        <v>0.16302</v>
      </c>
      <c r="I64" s="13">
        <v>0</v>
      </c>
    </row>
    <row r="65" spans="1:22" ht="15.75" hidden="1" customHeight="1">
      <c r="A65" s="32"/>
      <c r="B65" s="14" t="s">
        <v>47</v>
      </c>
      <c r="C65" s="16" t="s">
        <v>115</v>
      </c>
      <c r="D65" s="14" t="s">
        <v>53</v>
      </c>
      <c r="E65" s="65">
        <v>4292</v>
      </c>
      <c r="F65" s="13">
        <f>SUM(E65/100)</f>
        <v>42.92</v>
      </c>
      <c r="G65" s="13">
        <v>226.79</v>
      </c>
      <c r="H65" s="78">
        <f t="shared" si="7"/>
        <v>9.733826800000001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2"/>
      <c r="B66" s="14" t="s">
        <v>48</v>
      </c>
      <c r="C66" s="16" t="s">
        <v>116</v>
      </c>
      <c r="D66" s="14"/>
      <c r="E66" s="65">
        <v>4292</v>
      </c>
      <c r="F66" s="13">
        <f>SUM(E66/1000)</f>
        <v>4.2919999999999998</v>
      </c>
      <c r="G66" s="13">
        <v>176.61</v>
      </c>
      <c r="H66" s="78">
        <f t="shared" si="7"/>
        <v>0.75801012000000001</v>
      </c>
      <c r="I66" s="13">
        <v>0</v>
      </c>
      <c r="J66" s="28"/>
      <c r="K66" s="28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2"/>
      <c r="B67" s="14" t="s">
        <v>49</v>
      </c>
      <c r="C67" s="16" t="s">
        <v>75</v>
      </c>
      <c r="D67" s="14" t="s">
        <v>53</v>
      </c>
      <c r="E67" s="65">
        <v>510</v>
      </c>
      <c r="F67" s="13">
        <f>SUM(E67/100)</f>
        <v>5.0999999999999996</v>
      </c>
      <c r="G67" s="13">
        <v>2217.7800000000002</v>
      </c>
      <c r="H67" s="78">
        <f t="shared" si="7"/>
        <v>11.310677999999999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2"/>
      <c r="B68" s="79" t="s">
        <v>117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42.67</v>
      </c>
      <c r="H68" s="78">
        <f t="shared" si="7"/>
        <v>0.19628199999999998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68"/>
      <c r="S68" s="168"/>
      <c r="T68" s="168"/>
      <c r="U68" s="168"/>
    </row>
    <row r="69" spans="1:22" ht="15.75" hidden="1" customHeight="1">
      <c r="A69" s="32"/>
      <c r="B69" s="79" t="s">
        <v>118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39.81</v>
      </c>
      <c r="H69" s="78">
        <f t="shared" si="7"/>
        <v>0.18312600000000001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2"/>
      <c r="B70" s="14" t="s">
        <v>56</v>
      </c>
      <c r="C70" s="16" t="s">
        <v>57</v>
      </c>
      <c r="D70" s="14" t="s">
        <v>53</v>
      </c>
      <c r="E70" s="18">
        <v>3</v>
      </c>
      <c r="F70" s="66">
        <v>3</v>
      </c>
      <c r="G70" s="13">
        <v>53.32</v>
      </c>
      <c r="H70" s="78">
        <f t="shared" si="7"/>
        <v>0.15996000000000002</v>
      </c>
      <c r="I70" s="13">
        <v>0</v>
      </c>
    </row>
    <row r="71" spans="1:22" ht="15.75" customHeight="1">
      <c r="A71" s="32"/>
      <c r="B71" s="160" t="s">
        <v>194</v>
      </c>
      <c r="C71" s="16"/>
      <c r="D71" s="14"/>
      <c r="E71" s="18"/>
      <c r="F71" s="59"/>
      <c r="G71" s="13"/>
      <c r="H71" s="78"/>
      <c r="I71" s="13"/>
    </row>
    <row r="72" spans="1:22" ht="32.25" customHeight="1">
      <c r="A72" s="32">
        <v>14</v>
      </c>
      <c r="B72" s="127" t="s">
        <v>192</v>
      </c>
      <c r="C72" s="128" t="s">
        <v>193</v>
      </c>
      <c r="D72" s="129"/>
      <c r="E72" s="17">
        <v>1042.5999999999999</v>
      </c>
      <c r="F72" s="130">
        <f>E72*12</f>
        <v>12511.199999999999</v>
      </c>
      <c r="G72" s="130">
        <v>2.6</v>
      </c>
      <c r="H72" s="78"/>
      <c r="I72" s="13">
        <f>G72*F72/12</f>
        <v>2710.7599999999998</v>
      </c>
    </row>
    <row r="73" spans="1:22" ht="15.75" customHeight="1">
      <c r="A73" s="32"/>
      <c r="B73" s="90" t="s">
        <v>70</v>
      </c>
      <c r="C73" s="16"/>
      <c r="D73" s="14"/>
      <c r="E73" s="18"/>
      <c r="F73" s="13"/>
      <c r="G73" s="13"/>
      <c r="H73" s="78" t="s">
        <v>132</v>
      </c>
      <c r="I73" s="13"/>
    </row>
    <row r="74" spans="1:22" ht="15.75" hidden="1" customHeight="1">
      <c r="A74" s="32"/>
      <c r="B74" s="14" t="s">
        <v>71</v>
      </c>
      <c r="C74" s="16" t="s">
        <v>73</v>
      </c>
      <c r="D74" s="14"/>
      <c r="E74" s="18">
        <v>2</v>
      </c>
      <c r="F74" s="13">
        <v>0.2</v>
      </c>
      <c r="G74" s="13">
        <v>536.23</v>
      </c>
      <c r="H74" s="78">
        <f t="shared" si="7"/>
        <v>0.10724600000000001</v>
      </c>
      <c r="I74" s="13">
        <v>0</v>
      </c>
    </row>
    <row r="75" spans="1:22" ht="15.75" hidden="1" customHeight="1">
      <c r="A75" s="32"/>
      <c r="B75" s="14" t="s">
        <v>72</v>
      </c>
      <c r="C75" s="16" t="s">
        <v>29</v>
      </c>
      <c r="D75" s="14"/>
      <c r="E75" s="18">
        <v>1</v>
      </c>
      <c r="F75" s="59">
        <v>1</v>
      </c>
      <c r="G75" s="13">
        <v>911.85</v>
      </c>
      <c r="H75" s="78">
        <f t="shared" si="7"/>
        <v>0.91185000000000005</v>
      </c>
      <c r="I75" s="13">
        <v>0</v>
      </c>
    </row>
    <row r="76" spans="1:22" ht="15.75" hidden="1" customHeight="1">
      <c r="A76" s="32"/>
      <c r="B76" s="14" t="s">
        <v>133</v>
      </c>
      <c r="C76" s="16" t="s">
        <v>134</v>
      </c>
      <c r="D76" s="14"/>
      <c r="E76" s="18"/>
      <c r="F76" s="13"/>
      <c r="G76" s="13">
        <v>31.54</v>
      </c>
      <c r="H76" s="78">
        <f t="shared" si="7"/>
        <v>0</v>
      </c>
      <c r="I76" s="13"/>
    </row>
    <row r="77" spans="1:22" ht="15.75" hidden="1" customHeight="1">
      <c r="A77" s="32"/>
      <c r="B77" s="14" t="s">
        <v>120</v>
      </c>
      <c r="C77" s="16" t="s">
        <v>29</v>
      </c>
      <c r="D77" s="14"/>
      <c r="E77" s="18">
        <v>1</v>
      </c>
      <c r="F77" s="13">
        <v>1</v>
      </c>
      <c r="G77" s="13">
        <v>383.25</v>
      </c>
      <c r="H77" s="78">
        <f>G77*F77/1000</f>
        <v>0.38324999999999998</v>
      </c>
      <c r="I77" s="13">
        <v>0</v>
      </c>
    </row>
    <row r="78" spans="1:22" ht="15.75" customHeight="1">
      <c r="A78" s="32">
        <v>15</v>
      </c>
      <c r="B78" s="102" t="s">
        <v>195</v>
      </c>
      <c r="C78" s="103" t="s">
        <v>29</v>
      </c>
      <c r="D78" s="102" t="s">
        <v>173</v>
      </c>
      <c r="E78" s="17">
        <v>1</v>
      </c>
      <c r="F78" s="36">
        <f>E78*12</f>
        <v>12</v>
      </c>
      <c r="G78" s="36">
        <v>420</v>
      </c>
      <c r="H78" s="78"/>
      <c r="I78" s="13">
        <f>G78*F78/12</f>
        <v>420</v>
      </c>
    </row>
    <row r="79" spans="1:22" ht="15.75" hidden="1" customHeight="1">
      <c r="A79" s="32"/>
      <c r="B79" s="81" t="s">
        <v>74</v>
      </c>
      <c r="C79" s="16"/>
      <c r="D79" s="14"/>
      <c r="E79" s="18"/>
      <c r="F79" s="13"/>
      <c r="G79" s="13" t="s">
        <v>132</v>
      </c>
      <c r="H79" s="78" t="s">
        <v>132</v>
      </c>
      <c r="I79" s="13"/>
    </row>
    <row r="80" spans="1:22" ht="15.75" hidden="1" customHeight="1">
      <c r="A80" s="32"/>
      <c r="B80" s="44" t="s">
        <v>142</v>
      </c>
      <c r="C80" s="16" t="s">
        <v>75</v>
      </c>
      <c r="D80" s="14"/>
      <c r="E80" s="18"/>
      <c r="F80" s="13">
        <v>0.1</v>
      </c>
      <c r="G80" s="13">
        <v>2949.85</v>
      </c>
      <c r="H80" s="78">
        <f t="shared" si="7"/>
        <v>0.294985</v>
      </c>
      <c r="I80" s="13">
        <v>0</v>
      </c>
    </row>
    <row r="81" spans="1:9" ht="15.75" hidden="1" customHeight="1">
      <c r="A81" s="32"/>
      <c r="B81" s="88" t="s">
        <v>90</v>
      </c>
      <c r="C81" s="88"/>
      <c r="D81" s="88"/>
      <c r="E81" s="88"/>
      <c r="F81" s="88"/>
      <c r="G81" s="69"/>
      <c r="H81" s="82">
        <f>SUM(H58:H80)</f>
        <v>39.790287929999998</v>
      </c>
      <c r="I81" s="69"/>
    </row>
    <row r="82" spans="1:9" ht="15.75" hidden="1" customHeight="1">
      <c r="A82" s="32">
        <v>10</v>
      </c>
      <c r="B82" s="86" t="s">
        <v>119</v>
      </c>
      <c r="C82" s="23"/>
      <c r="D82" s="22"/>
      <c r="E82" s="83"/>
      <c r="F82" s="87">
        <v>1</v>
      </c>
      <c r="G82" s="13">
        <v>3395.9</v>
      </c>
      <c r="H82" s="78">
        <f>G82*F82/1000</f>
        <v>3.3959000000000001</v>
      </c>
      <c r="I82" s="13">
        <v>939.9</v>
      </c>
    </row>
    <row r="83" spans="1:9" ht="15.75" customHeight="1">
      <c r="A83" s="165" t="s">
        <v>146</v>
      </c>
      <c r="B83" s="166"/>
      <c r="C83" s="166"/>
      <c r="D83" s="166"/>
      <c r="E83" s="166"/>
      <c r="F83" s="166"/>
      <c r="G83" s="166"/>
      <c r="H83" s="166"/>
      <c r="I83" s="167"/>
    </row>
    <row r="84" spans="1:9" ht="15.75" customHeight="1">
      <c r="A84" s="32">
        <v>16</v>
      </c>
      <c r="B84" s="104" t="s">
        <v>121</v>
      </c>
      <c r="C84" s="103" t="s">
        <v>54</v>
      </c>
      <c r="D84" s="49"/>
      <c r="E84" s="36">
        <v>1042.5999999999999</v>
      </c>
      <c r="F84" s="36">
        <f>SUM(E84*12)</f>
        <v>12511.199999999999</v>
      </c>
      <c r="G84" s="36">
        <v>3.5</v>
      </c>
      <c r="H84" s="78">
        <f>SUM(F84*G84/1000)</f>
        <v>43.789199999999994</v>
      </c>
      <c r="I84" s="13">
        <f>G84*F84/12</f>
        <v>3649.1</v>
      </c>
    </row>
    <row r="85" spans="1:9" ht="31.5" customHeight="1">
      <c r="A85" s="32">
        <v>17</v>
      </c>
      <c r="B85" s="102" t="s">
        <v>196</v>
      </c>
      <c r="C85" s="103" t="s">
        <v>54</v>
      </c>
      <c r="D85" s="96"/>
      <c r="E85" s="121">
        <f>E84</f>
        <v>1042.5999999999999</v>
      </c>
      <c r="F85" s="36">
        <f>E85*12</f>
        <v>12511.199999999999</v>
      </c>
      <c r="G85" s="36">
        <v>3.2</v>
      </c>
      <c r="H85" s="78">
        <f>F85*G85/1000</f>
        <v>40.035839999999993</v>
      </c>
      <c r="I85" s="13">
        <f>G85*F85/12</f>
        <v>3336.3199999999997</v>
      </c>
    </row>
    <row r="86" spans="1:9" ht="15.75" customHeight="1">
      <c r="A86" s="32"/>
      <c r="B86" s="37" t="s">
        <v>78</v>
      </c>
      <c r="C86" s="81"/>
      <c r="D86" s="80"/>
      <c r="E86" s="69"/>
      <c r="F86" s="69"/>
      <c r="G86" s="69"/>
      <c r="H86" s="82">
        <f>H85</f>
        <v>40.035839999999993</v>
      </c>
      <c r="I86" s="69">
        <f>I85+I84+I78+I72+I61+I44+I43+I42+I41+I40+I39+I27+I21+I20+I18+I17+I16</f>
        <v>18451.250898000002</v>
      </c>
    </row>
    <row r="87" spans="1:9" ht="15.75" customHeight="1">
      <c r="A87" s="170" t="s">
        <v>59</v>
      </c>
      <c r="B87" s="171"/>
      <c r="C87" s="171"/>
      <c r="D87" s="171"/>
      <c r="E87" s="171"/>
      <c r="F87" s="171"/>
      <c r="G87" s="171"/>
      <c r="H87" s="171"/>
      <c r="I87" s="172"/>
    </row>
    <row r="88" spans="1:9">
      <c r="A88" s="32"/>
      <c r="B88" s="42" t="s">
        <v>50</v>
      </c>
      <c r="C88" s="38"/>
      <c r="D88" s="45"/>
      <c r="E88" s="38">
        <v>1</v>
      </c>
      <c r="F88" s="38"/>
      <c r="G88" s="38"/>
      <c r="H88" s="38"/>
      <c r="I88" s="34">
        <v>0</v>
      </c>
    </row>
    <row r="89" spans="1:9" ht="16.5" customHeight="1">
      <c r="A89" s="32"/>
      <c r="B89" s="44" t="s">
        <v>77</v>
      </c>
      <c r="C89" s="15"/>
      <c r="D89" s="15"/>
      <c r="E89" s="39"/>
      <c r="F89" s="39"/>
      <c r="G89" s="40"/>
      <c r="H89" s="40"/>
      <c r="I89" s="17">
        <v>0</v>
      </c>
    </row>
    <row r="90" spans="1:9" ht="16.5" customHeight="1">
      <c r="A90" s="46"/>
      <c r="B90" s="43" t="s">
        <v>51</v>
      </c>
      <c r="C90" s="35"/>
      <c r="D90" s="35"/>
      <c r="E90" s="35"/>
      <c r="F90" s="35"/>
      <c r="G90" s="35"/>
      <c r="H90" s="35"/>
      <c r="I90" s="41">
        <f>I86+I88</f>
        <v>18451.250898000002</v>
      </c>
    </row>
    <row r="91" spans="1:9" ht="15.75" customHeight="1">
      <c r="A91" s="180" t="s">
        <v>251</v>
      </c>
      <c r="B91" s="180"/>
      <c r="C91" s="180"/>
      <c r="D91" s="180"/>
      <c r="E91" s="180"/>
      <c r="F91" s="180"/>
      <c r="G91" s="180"/>
      <c r="H91" s="180"/>
      <c r="I91" s="180"/>
    </row>
    <row r="92" spans="1:9" ht="15.75" customHeight="1">
      <c r="A92" s="56"/>
      <c r="B92" s="181" t="s">
        <v>252</v>
      </c>
      <c r="C92" s="181"/>
      <c r="D92" s="181"/>
      <c r="E92" s="181"/>
      <c r="F92" s="181"/>
      <c r="G92" s="181"/>
      <c r="H92" s="62"/>
      <c r="I92" s="3"/>
    </row>
    <row r="93" spans="1:9">
      <c r="A93" s="91"/>
      <c r="B93" s="178" t="s">
        <v>6</v>
      </c>
      <c r="C93" s="178"/>
      <c r="D93" s="178"/>
      <c r="E93" s="178"/>
      <c r="F93" s="178"/>
      <c r="G93" s="178"/>
      <c r="H93" s="27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74" t="s">
        <v>7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4" t="s">
        <v>8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5" t="s">
        <v>60</v>
      </c>
      <c r="B97" s="175"/>
      <c r="C97" s="175"/>
      <c r="D97" s="175"/>
      <c r="E97" s="175"/>
      <c r="F97" s="175"/>
      <c r="G97" s="175"/>
      <c r="H97" s="175"/>
      <c r="I97" s="175"/>
    </row>
    <row r="98" spans="1:9" ht="15.75">
      <c r="A98" s="11"/>
    </row>
    <row r="99" spans="1:9" ht="15.75">
      <c r="A99" s="176" t="s">
        <v>9</v>
      </c>
      <c r="B99" s="176"/>
      <c r="C99" s="176"/>
      <c r="D99" s="176"/>
      <c r="E99" s="176"/>
      <c r="F99" s="176"/>
      <c r="G99" s="176"/>
      <c r="H99" s="176"/>
      <c r="I99" s="176"/>
    </row>
    <row r="100" spans="1:9" ht="15.75">
      <c r="A100" s="4"/>
    </row>
    <row r="101" spans="1:9" ht="15.75">
      <c r="B101" s="93" t="s">
        <v>10</v>
      </c>
      <c r="C101" s="177" t="s">
        <v>249</v>
      </c>
      <c r="D101" s="177"/>
      <c r="E101" s="177"/>
      <c r="F101" s="60"/>
      <c r="I101" s="94"/>
    </row>
    <row r="102" spans="1:9">
      <c r="A102" s="91"/>
      <c r="C102" s="178" t="s">
        <v>11</v>
      </c>
      <c r="D102" s="178"/>
      <c r="E102" s="178"/>
      <c r="F102" s="27"/>
      <c r="I102" s="92" t="s">
        <v>12</v>
      </c>
    </row>
    <row r="103" spans="1:9" ht="15.75">
      <c r="A103" s="28"/>
      <c r="C103" s="12"/>
      <c r="D103" s="12"/>
      <c r="G103" s="12"/>
      <c r="H103" s="12"/>
    </row>
    <row r="104" spans="1:9" ht="15.75">
      <c r="B104" s="93" t="s">
        <v>13</v>
      </c>
      <c r="C104" s="179"/>
      <c r="D104" s="179"/>
      <c r="E104" s="179"/>
      <c r="F104" s="61"/>
      <c r="I104" s="94"/>
    </row>
    <row r="105" spans="1:9">
      <c r="A105" s="91"/>
      <c r="C105" s="168" t="s">
        <v>11</v>
      </c>
      <c r="D105" s="168"/>
      <c r="E105" s="168"/>
      <c r="F105" s="91"/>
      <c r="I105" s="92" t="s">
        <v>12</v>
      </c>
    </row>
    <row r="106" spans="1:9" ht="15.75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5" customHeight="1">
      <c r="A108" s="173" t="s">
        <v>16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17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21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14.25" customHeight="1">
      <c r="A111" s="173" t="s">
        <v>20</v>
      </c>
      <c r="B111" s="173"/>
      <c r="C111" s="173"/>
      <c r="D111" s="173"/>
      <c r="E111" s="173"/>
      <c r="F111" s="173"/>
      <c r="G111" s="173"/>
      <c r="H111" s="173"/>
      <c r="I111" s="173"/>
    </row>
  </sheetData>
  <autoFilter ref="I12:I63"/>
  <mergeCells count="29">
    <mergeCell ref="A107:I107"/>
    <mergeCell ref="A108:I108"/>
    <mergeCell ref="A109:I109"/>
    <mergeCell ref="A110:I110"/>
    <mergeCell ref="A111:I111"/>
    <mergeCell ref="R68:U68"/>
    <mergeCell ref="C105:E105"/>
    <mergeCell ref="A87:I87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opLeftCell="A78" workbookViewId="0">
      <selection activeCell="G105" sqref="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4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161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253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89"/>
      <c r="C6" s="89"/>
      <c r="D6" s="89"/>
      <c r="E6" s="89"/>
      <c r="F6" s="89"/>
      <c r="G6" s="89"/>
      <c r="H6" s="89"/>
      <c r="I6" s="33">
        <v>44196</v>
      </c>
      <c r="J6" s="2"/>
      <c r="K6" s="2"/>
      <c r="L6" s="2"/>
      <c r="M6" s="2"/>
    </row>
    <row r="7" spans="1:13" ht="15.75">
      <c r="B7" s="93"/>
      <c r="C7" s="93"/>
      <c r="D7" s="9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172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G18*F18/18*1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222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219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220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221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173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219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hidden="1" customHeight="1">
      <c r="A28" s="32">
        <v>6</v>
      </c>
      <c r="B28" s="71" t="s">
        <v>23</v>
      </c>
      <c r="C28" s="64" t="s">
        <v>24</v>
      </c>
      <c r="D28" s="63"/>
      <c r="E28" s="65">
        <v>1042.5999999999999</v>
      </c>
      <c r="F28" s="66">
        <f>SUM(E28*12)</f>
        <v>12511.199999999999</v>
      </c>
      <c r="G28" s="66">
        <v>6.15</v>
      </c>
      <c r="H28" s="67">
        <f>SUM(F28*G28/1000)</f>
        <v>76.943880000000007</v>
      </c>
      <c r="I28" s="13">
        <f>F28/12*G28</f>
        <v>6411.99</v>
      </c>
      <c r="J28" s="26"/>
    </row>
    <row r="29" spans="1:13" ht="15.75" customHeight="1">
      <c r="A29" s="165" t="s">
        <v>81</v>
      </c>
      <c r="B29" s="166"/>
      <c r="C29" s="166"/>
      <c r="D29" s="166"/>
      <c r="E29" s="166"/>
      <c r="F29" s="166"/>
      <c r="G29" s="166"/>
      <c r="H29" s="166"/>
      <c r="I29" s="167"/>
      <c r="J29" s="25"/>
      <c r="K29" s="8"/>
      <c r="L29" s="8"/>
      <c r="M29" s="8"/>
    </row>
    <row r="30" spans="1:13" ht="15.75" hidden="1" customHeight="1">
      <c r="A30" s="32"/>
      <c r="B30" s="84" t="s">
        <v>27</v>
      </c>
      <c r="C30" s="64"/>
      <c r="D30" s="63"/>
      <c r="E30" s="65"/>
      <c r="F30" s="66"/>
      <c r="G30" s="66"/>
      <c r="H30" s="67"/>
      <c r="I30" s="13"/>
      <c r="J30" s="25"/>
      <c r="K30" s="8"/>
      <c r="L30" s="8"/>
      <c r="M30" s="8"/>
    </row>
    <row r="31" spans="1:13" ht="15.75" hidden="1" customHeight="1">
      <c r="A31" s="32">
        <v>7</v>
      </c>
      <c r="B31" s="63" t="s">
        <v>107</v>
      </c>
      <c r="C31" s="64" t="s">
        <v>86</v>
      </c>
      <c r="D31" s="63" t="s">
        <v>157</v>
      </c>
      <c r="E31" s="66">
        <v>266.57</v>
      </c>
      <c r="F31" s="66">
        <f>SUM(E31*52/1000)</f>
        <v>13.86164</v>
      </c>
      <c r="G31" s="66">
        <v>146.79</v>
      </c>
      <c r="H31" s="67">
        <f t="shared" ref="H31:H36" si="1">SUM(F31*G31/1000)</f>
        <v>2.0347501356</v>
      </c>
      <c r="I31" s="13">
        <f t="shared" ref="I31:I34" si="2">F31/6*G31</f>
        <v>339.12502259999997</v>
      </c>
      <c r="J31" s="25"/>
      <c r="K31" s="8"/>
      <c r="L31" s="8"/>
      <c r="M31" s="8"/>
    </row>
    <row r="32" spans="1:13" ht="31.5" hidden="1" customHeight="1">
      <c r="A32" s="32">
        <v>8</v>
      </c>
      <c r="B32" s="63" t="s">
        <v>106</v>
      </c>
      <c r="C32" s="64" t="s">
        <v>86</v>
      </c>
      <c r="D32" s="63" t="s">
        <v>158</v>
      </c>
      <c r="E32" s="66">
        <v>48.03</v>
      </c>
      <c r="F32" s="66">
        <f>SUM(E32*78/1000)</f>
        <v>3.74634</v>
      </c>
      <c r="G32" s="66">
        <v>243.54</v>
      </c>
      <c r="H32" s="67">
        <f t="shared" si="1"/>
        <v>0.91238364360000002</v>
      </c>
      <c r="I32" s="13">
        <f t="shared" si="2"/>
        <v>152.0639406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26</v>
      </c>
      <c r="C33" s="64" t="s">
        <v>86</v>
      </c>
      <c r="D33" s="63" t="s">
        <v>53</v>
      </c>
      <c r="E33" s="66">
        <v>266.57</v>
      </c>
      <c r="F33" s="66">
        <f>SUM(E33/1000)</f>
        <v>0.26656999999999997</v>
      </c>
      <c r="G33" s="66">
        <v>2844</v>
      </c>
      <c r="H33" s="67">
        <f t="shared" si="1"/>
        <v>0.7581250799999999</v>
      </c>
      <c r="I33" s="13">
        <f>F33*G33</f>
        <v>758.12507999999991</v>
      </c>
      <c r="J33" s="25"/>
      <c r="K33" s="8"/>
      <c r="L33" s="8"/>
      <c r="M33" s="8"/>
    </row>
    <row r="34" spans="1:14" ht="15.75" hidden="1" customHeight="1">
      <c r="A34" s="32">
        <v>9</v>
      </c>
      <c r="B34" s="63" t="s">
        <v>105</v>
      </c>
      <c r="C34" s="64" t="s">
        <v>29</v>
      </c>
      <c r="D34" s="63" t="s">
        <v>62</v>
      </c>
      <c r="E34" s="70">
        <v>0.33333333333333331</v>
      </c>
      <c r="F34" s="66">
        <f>155/3</f>
        <v>51.666666666666664</v>
      </c>
      <c r="G34" s="66">
        <v>53.38</v>
      </c>
      <c r="H34" s="67">
        <f>SUM(G34*155/3/1000)</f>
        <v>2.7579666666666669</v>
      </c>
      <c r="I34" s="13">
        <f t="shared" si="2"/>
        <v>459.6611111111111</v>
      </c>
      <c r="J34" s="25"/>
      <c r="K34" s="8"/>
    </row>
    <row r="35" spans="1:14" ht="15.75" hidden="1" customHeight="1">
      <c r="A35" s="32"/>
      <c r="B35" s="63" t="s">
        <v>63</v>
      </c>
      <c r="C35" s="64" t="s">
        <v>31</v>
      </c>
      <c r="D35" s="63" t="s">
        <v>65</v>
      </c>
      <c r="E35" s="65"/>
      <c r="F35" s="66">
        <v>1</v>
      </c>
      <c r="G35" s="66">
        <v>180.15</v>
      </c>
      <c r="H35" s="67">
        <f t="shared" si="1"/>
        <v>0.18015</v>
      </c>
      <c r="I35" s="13">
        <v>0</v>
      </c>
      <c r="J35" s="26"/>
    </row>
    <row r="36" spans="1:14" ht="15.75" hidden="1" customHeight="1">
      <c r="A36" s="32"/>
      <c r="B36" s="63" t="s">
        <v>64</v>
      </c>
      <c r="C36" s="64" t="s">
        <v>30</v>
      </c>
      <c r="D36" s="63" t="s">
        <v>65</v>
      </c>
      <c r="E36" s="65"/>
      <c r="F36" s="66">
        <v>1</v>
      </c>
      <c r="G36" s="66">
        <v>1214.74</v>
      </c>
      <c r="H36" s="67">
        <f t="shared" si="1"/>
        <v>1.2147399999999999</v>
      </c>
      <c r="I36" s="13">
        <v>0</v>
      </c>
      <c r="J36" s="26"/>
    </row>
    <row r="37" spans="1:14" ht="15.75" customHeight="1">
      <c r="A37" s="32"/>
      <c r="B37" s="84" t="s">
        <v>5</v>
      </c>
      <c r="C37" s="64"/>
      <c r="D37" s="63"/>
      <c r="E37" s="65"/>
      <c r="F37" s="66"/>
      <c r="G37" s="66"/>
      <c r="H37" s="67" t="s">
        <v>132</v>
      </c>
      <c r="I37" s="13"/>
      <c r="J37" s="26"/>
    </row>
    <row r="38" spans="1:14" ht="15.75" customHeight="1">
      <c r="A38" s="32">
        <v>7</v>
      </c>
      <c r="B38" s="63" t="s">
        <v>25</v>
      </c>
      <c r="C38" s="64" t="s">
        <v>30</v>
      </c>
      <c r="D38" s="63" t="s">
        <v>254</v>
      </c>
      <c r="E38" s="65"/>
      <c r="F38" s="66">
        <v>3</v>
      </c>
      <c r="G38" s="163">
        <v>1930</v>
      </c>
      <c r="H38" s="67">
        <f t="shared" ref="H38" si="3">SUM(F38*G38/1000)</f>
        <v>5.79</v>
      </c>
      <c r="I38" s="13">
        <f>G38*0.8</f>
        <v>1544</v>
      </c>
      <c r="J38" s="26"/>
    </row>
    <row r="39" spans="1:14" ht="15.75" customHeight="1">
      <c r="A39" s="32">
        <v>8</v>
      </c>
      <c r="B39" s="123" t="s">
        <v>108</v>
      </c>
      <c r="C39" s="124" t="s">
        <v>28</v>
      </c>
      <c r="D39" s="104" t="s">
        <v>170</v>
      </c>
      <c r="E39" s="121">
        <v>38.5</v>
      </c>
      <c r="F39" s="125">
        <f>E39*48/1000</f>
        <v>1.8480000000000001</v>
      </c>
      <c r="G39" s="107">
        <v>3134.93</v>
      </c>
      <c r="H39" s="67">
        <f>G39*F39/1000</f>
        <v>5.7933506399999999</v>
      </c>
      <c r="I39" s="13">
        <f t="shared" ref="I39:I41" si="4">F39/6*G39</f>
        <v>965.55843999999991</v>
      </c>
      <c r="J39" s="26"/>
      <c r="L39" s="19"/>
      <c r="M39" s="20"/>
      <c r="N39" s="21"/>
    </row>
    <row r="40" spans="1:14" ht="15.75" customHeight="1">
      <c r="A40" s="32">
        <v>9</v>
      </c>
      <c r="B40" s="104" t="s">
        <v>187</v>
      </c>
      <c r="C40" s="105" t="s">
        <v>28</v>
      </c>
      <c r="D40" s="104" t="s">
        <v>215</v>
      </c>
      <c r="E40" s="107">
        <v>38.5</v>
      </c>
      <c r="F40" s="125">
        <f>E40*72/1000</f>
        <v>2.7719999999999998</v>
      </c>
      <c r="G40" s="107">
        <v>522.92999999999995</v>
      </c>
      <c r="H40" s="67">
        <f t="shared" ref="H40:H43" si="5">SUM(F40*G40/1000)</f>
        <v>1.4495619599999998</v>
      </c>
      <c r="I40" s="13">
        <f t="shared" si="4"/>
        <v>241.59365999999997</v>
      </c>
      <c r="J40" s="26"/>
      <c r="L40" s="19"/>
      <c r="M40" s="20"/>
      <c r="N40" s="21"/>
    </row>
    <row r="41" spans="1:14" ht="47.25" customHeight="1">
      <c r="A41" s="32">
        <v>10</v>
      </c>
      <c r="B41" s="104" t="s">
        <v>188</v>
      </c>
      <c r="C41" s="105" t="s">
        <v>86</v>
      </c>
      <c r="D41" s="104" t="s">
        <v>170</v>
      </c>
      <c r="E41" s="107">
        <v>38.5</v>
      </c>
      <c r="F41" s="125">
        <f>E41*48/1000</f>
        <v>1.8480000000000001</v>
      </c>
      <c r="G41" s="107">
        <v>8652.07</v>
      </c>
      <c r="H41" s="67">
        <f t="shared" si="5"/>
        <v>15.989025359999999</v>
      </c>
      <c r="I41" s="13">
        <f t="shared" si="4"/>
        <v>2664.8375599999999</v>
      </c>
      <c r="J41" s="26"/>
      <c r="L41" s="19"/>
      <c r="M41" s="20"/>
      <c r="N41" s="21"/>
    </row>
    <row r="42" spans="1:14" ht="15.75" hidden="1" customHeight="1">
      <c r="A42" s="32">
        <v>10</v>
      </c>
      <c r="B42" s="104" t="s">
        <v>87</v>
      </c>
      <c r="C42" s="105" t="s">
        <v>86</v>
      </c>
      <c r="D42" s="104" t="s">
        <v>172</v>
      </c>
      <c r="E42" s="107">
        <v>38.5</v>
      </c>
      <c r="F42" s="125">
        <f>SUM(E42*30/1000)</f>
        <v>1.155</v>
      </c>
      <c r="G42" s="107">
        <v>639.14</v>
      </c>
      <c r="H42" s="67">
        <f t="shared" si="5"/>
        <v>0.73820669999999999</v>
      </c>
      <c r="I42" s="13">
        <f>G42*F42/30*1</f>
        <v>24.60689</v>
      </c>
      <c r="J42" s="26"/>
      <c r="L42" s="19"/>
      <c r="M42" s="20"/>
      <c r="N42" s="21"/>
    </row>
    <row r="43" spans="1:14" ht="15.75" hidden="1" customHeight="1">
      <c r="A43" s="32">
        <v>11</v>
      </c>
      <c r="B43" s="123" t="s">
        <v>68</v>
      </c>
      <c r="C43" s="124" t="s">
        <v>31</v>
      </c>
      <c r="D43" s="123"/>
      <c r="E43" s="106"/>
      <c r="F43" s="125">
        <v>0.5</v>
      </c>
      <c r="G43" s="125">
        <v>900</v>
      </c>
      <c r="H43" s="67">
        <f t="shared" si="5"/>
        <v>0.45</v>
      </c>
      <c r="I43" s="13">
        <f>G43*F43/30*1</f>
        <v>15</v>
      </c>
      <c r="J43" s="26"/>
      <c r="L43" s="19"/>
      <c r="M43" s="20"/>
      <c r="N43" s="21"/>
    </row>
    <row r="44" spans="1:14" ht="28.5" customHeight="1">
      <c r="A44" s="117">
        <v>11</v>
      </c>
      <c r="B44" s="123" t="s">
        <v>190</v>
      </c>
      <c r="C44" s="124" t="s">
        <v>28</v>
      </c>
      <c r="D44" s="123" t="s">
        <v>191</v>
      </c>
      <c r="E44" s="106">
        <v>1.2</v>
      </c>
      <c r="F44" s="125">
        <f>E44*12/1000</f>
        <v>1.4399999999999998E-2</v>
      </c>
      <c r="G44" s="125">
        <v>20547.34</v>
      </c>
      <c r="H44" s="59"/>
      <c r="I44" s="13">
        <f>G44*F44/6</f>
        <v>49.313615999999996</v>
      </c>
      <c r="J44" s="26"/>
      <c r="L44" s="19"/>
      <c r="M44" s="20"/>
      <c r="N44" s="21"/>
    </row>
    <row r="45" spans="1:14" ht="15.75" customHeight="1">
      <c r="A45" s="165" t="s">
        <v>125</v>
      </c>
      <c r="B45" s="166"/>
      <c r="C45" s="166"/>
      <c r="D45" s="166"/>
      <c r="E45" s="166"/>
      <c r="F45" s="166"/>
      <c r="G45" s="166"/>
      <c r="H45" s="166"/>
      <c r="I45" s="167"/>
      <c r="J45" s="26"/>
      <c r="L45" s="19"/>
      <c r="M45" s="20"/>
      <c r="N45" s="21"/>
    </row>
    <row r="46" spans="1:14" ht="15.75" hidden="1" customHeight="1">
      <c r="A46" s="32"/>
      <c r="B46" s="63" t="s">
        <v>110</v>
      </c>
      <c r="C46" s="64" t="s">
        <v>86</v>
      </c>
      <c r="D46" s="63" t="s">
        <v>41</v>
      </c>
      <c r="E46" s="65">
        <v>636.25</v>
      </c>
      <c r="F46" s="66">
        <f>SUM(E46*2/1000)</f>
        <v>1.2725</v>
      </c>
      <c r="G46" s="13">
        <v>762.53</v>
      </c>
      <c r="H46" s="67">
        <f t="shared" ref="H46:H55" si="6">SUM(F46*G46/1000)</f>
        <v>0.9703194249999999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34</v>
      </c>
      <c r="C47" s="64" t="s">
        <v>86</v>
      </c>
      <c r="D47" s="63" t="s">
        <v>41</v>
      </c>
      <c r="E47" s="65">
        <v>26</v>
      </c>
      <c r="F47" s="66">
        <f>SUM(E47*2/1000)</f>
        <v>5.1999999999999998E-2</v>
      </c>
      <c r="G47" s="13">
        <v>545.65</v>
      </c>
      <c r="H47" s="67">
        <f t="shared" si="6"/>
        <v>2.8373799999999998E-2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35</v>
      </c>
      <c r="C48" s="64" t="s">
        <v>86</v>
      </c>
      <c r="D48" s="63" t="s">
        <v>41</v>
      </c>
      <c r="E48" s="65">
        <v>579</v>
      </c>
      <c r="F48" s="66">
        <f>SUM(E48*2/1000)</f>
        <v>1.1579999999999999</v>
      </c>
      <c r="G48" s="13">
        <v>545.65</v>
      </c>
      <c r="H48" s="67">
        <f t="shared" si="6"/>
        <v>0.63186269999999989</v>
      </c>
      <c r="I48" s="13">
        <v>0</v>
      </c>
      <c r="J48" s="26"/>
      <c r="L48" s="19"/>
      <c r="M48" s="20"/>
      <c r="N48" s="21"/>
    </row>
    <row r="49" spans="1:14" ht="15.75" hidden="1" customHeight="1">
      <c r="A49" s="32"/>
      <c r="B49" s="63" t="s">
        <v>36</v>
      </c>
      <c r="C49" s="64" t="s">
        <v>86</v>
      </c>
      <c r="D49" s="63" t="s">
        <v>41</v>
      </c>
      <c r="E49" s="65">
        <v>683.33</v>
      </c>
      <c r="F49" s="66">
        <f>SUM(E49*2/1000)</f>
        <v>1.36666</v>
      </c>
      <c r="G49" s="13">
        <v>571.35</v>
      </c>
      <c r="H49" s="67">
        <f t="shared" si="6"/>
        <v>0.78084119099999993</v>
      </c>
      <c r="I49" s="13">
        <v>0</v>
      </c>
      <c r="J49" s="26"/>
      <c r="L49" s="19"/>
      <c r="M49" s="20"/>
      <c r="N49" s="21"/>
    </row>
    <row r="50" spans="1:14" ht="15.75" hidden="1" customHeight="1">
      <c r="A50" s="32"/>
      <c r="B50" s="63" t="s">
        <v>32</v>
      </c>
      <c r="C50" s="64" t="s">
        <v>33</v>
      </c>
      <c r="D50" s="63" t="s">
        <v>41</v>
      </c>
      <c r="E50" s="65">
        <v>44.11</v>
      </c>
      <c r="F50" s="66">
        <f>SUM(E50*2/100)</f>
        <v>0.88219999999999998</v>
      </c>
      <c r="G50" s="13">
        <v>68.56</v>
      </c>
      <c r="H50" s="67">
        <f t="shared" si="6"/>
        <v>6.0483632000000002E-2</v>
      </c>
      <c r="I50" s="13">
        <v>0</v>
      </c>
      <c r="J50" s="26"/>
      <c r="L50" s="19"/>
      <c r="M50" s="20"/>
      <c r="N50" s="21"/>
    </row>
    <row r="51" spans="1:14" ht="15.75" customHeight="1">
      <c r="A51" s="32">
        <v>12</v>
      </c>
      <c r="B51" s="63" t="s">
        <v>55</v>
      </c>
      <c r="C51" s="64" t="s">
        <v>86</v>
      </c>
      <c r="D51" s="63" t="s">
        <v>172</v>
      </c>
      <c r="E51" s="164">
        <v>500.2</v>
      </c>
      <c r="F51" s="163">
        <f>SUM(E51*5/1000)</f>
        <v>2.5009999999999999</v>
      </c>
      <c r="G51" s="100">
        <v>1809.27</v>
      </c>
      <c r="H51" s="67">
        <f t="shared" si="6"/>
        <v>4.52498427</v>
      </c>
      <c r="I51" s="13">
        <f>F51/5*G51</f>
        <v>904.99685399999998</v>
      </c>
      <c r="J51" s="26"/>
      <c r="L51" s="19"/>
      <c r="M51" s="20"/>
      <c r="N51" s="21"/>
    </row>
    <row r="52" spans="1:14" ht="31.5" hidden="1" customHeight="1">
      <c r="A52" s="32">
        <v>14</v>
      </c>
      <c r="B52" s="63" t="s">
        <v>88</v>
      </c>
      <c r="C52" s="64" t="s">
        <v>86</v>
      </c>
      <c r="D52" s="63" t="s">
        <v>41</v>
      </c>
      <c r="E52" s="65">
        <v>1140</v>
      </c>
      <c r="F52" s="66">
        <f>SUM(E52*2/1000)</f>
        <v>2.2799999999999998</v>
      </c>
      <c r="G52" s="13">
        <v>1142.7</v>
      </c>
      <c r="H52" s="67">
        <f t="shared" si="6"/>
        <v>2.6053559999999996</v>
      </c>
      <c r="I52" s="13">
        <f>F52/2*G52</f>
        <v>1302.6779999999999</v>
      </c>
      <c r="J52" s="26"/>
      <c r="L52" s="19"/>
      <c r="M52" s="20"/>
      <c r="N52" s="21"/>
    </row>
    <row r="53" spans="1:14" ht="31.5" hidden="1" customHeight="1">
      <c r="A53" s="32">
        <v>15</v>
      </c>
      <c r="B53" s="63" t="s">
        <v>89</v>
      </c>
      <c r="C53" s="64" t="s">
        <v>37</v>
      </c>
      <c r="D53" s="63" t="s">
        <v>41</v>
      </c>
      <c r="E53" s="65">
        <v>9</v>
      </c>
      <c r="F53" s="66">
        <f>SUM(E53*2/100)</f>
        <v>0.18</v>
      </c>
      <c r="G53" s="13">
        <v>2571.08</v>
      </c>
      <c r="H53" s="67">
        <f t="shared" si="6"/>
        <v>0.46279439999999999</v>
      </c>
      <c r="I53" s="13">
        <f t="shared" ref="I53:I54" si="7">F53/2*G53</f>
        <v>231.3972</v>
      </c>
      <c r="J53" s="26"/>
      <c r="L53" s="19"/>
      <c r="M53" s="20"/>
      <c r="N53" s="21"/>
    </row>
    <row r="54" spans="1:14" ht="15.75" hidden="1" customHeight="1">
      <c r="A54" s="32">
        <v>16</v>
      </c>
      <c r="B54" s="63" t="s">
        <v>38</v>
      </c>
      <c r="C54" s="64" t="s">
        <v>39</v>
      </c>
      <c r="D54" s="63" t="s">
        <v>41</v>
      </c>
      <c r="E54" s="65">
        <v>1</v>
      </c>
      <c r="F54" s="66">
        <v>0.02</v>
      </c>
      <c r="G54" s="13">
        <v>5322.15</v>
      </c>
      <c r="H54" s="67">
        <f t="shared" si="6"/>
        <v>0.106443</v>
      </c>
      <c r="I54" s="13">
        <f t="shared" si="7"/>
        <v>53.221499999999999</v>
      </c>
      <c r="J54" s="26"/>
      <c r="L54" s="19"/>
      <c r="M54" s="20"/>
      <c r="N54" s="21"/>
    </row>
    <row r="55" spans="1:14" ht="15.75" customHeight="1">
      <c r="A55" s="32">
        <v>13</v>
      </c>
      <c r="B55" s="63" t="s">
        <v>40</v>
      </c>
      <c r="C55" s="64" t="s">
        <v>111</v>
      </c>
      <c r="D55" s="108">
        <v>44179</v>
      </c>
      <c r="E55" s="65">
        <v>36</v>
      </c>
      <c r="F55" s="66">
        <f>SUM(E55)*3</f>
        <v>108</v>
      </c>
      <c r="G55" s="154">
        <v>97.93</v>
      </c>
      <c r="H55" s="67">
        <f t="shared" si="6"/>
        <v>10.57644</v>
      </c>
      <c r="I55" s="13">
        <f>E55*G55</f>
        <v>3525.4800000000005</v>
      </c>
      <c r="J55" s="26"/>
      <c r="L55" s="19"/>
      <c r="M55" s="20"/>
      <c r="N55" s="21"/>
    </row>
    <row r="56" spans="1:14" ht="15.75" customHeight="1">
      <c r="A56" s="165" t="s">
        <v>127</v>
      </c>
      <c r="B56" s="166"/>
      <c r="C56" s="166"/>
      <c r="D56" s="166"/>
      <c r="E56" s="166"/>
      <c r="F56" s="166"/>
      <c r="G56" s="166"/>
      <c r="H56" s="166"/>
      <c r="I56" s="167"/>
      <c r="J56" s="26"/>
      <c r="L56" s="19"/>
      <c r="M56" s="20"/>
      <c r="N56" s="21"/>
    </row>
    <row r="57" spans="1:14" ht="15.75" hidden="1" customHeight="1">
      <c r="A57" s="32"/>
      <c r="B57" s="84" t="s">
        <v>42</v>
      </c>
      <c r="C57" s="64"/>
      <c r="D57" s="63"/>
      <c r="E57" s="65"/>
      <c r="F57" s="66"/>
      <c r="G57" s="66"/>
      <c r="H57" s="67"/>
      <c r="I57" s="13"/>
      <c r="J57" s="26"/>
      <c r="L57" s="19"/>
      <c r="M57" s="20"/>
      <c r="N57" s="21"/>
    </row>
    <row r="58" spans="1:14" ht="31.5" hidden="1" customHeight="1">
      <c r="A58" s="32">
        <v>11</v>
      </c>
      <c r="B58" s="63" t="s">
        <v>112</v>
      </c>
      <c r="C58" s="64" t="s">
        <v>83</v>
      </c>
      <c r="D58" s="63" t="s">
        <v>113</v>
      </c>
      <c r="E58" s="65">
        <v>72.33</v>
      </c>
      <c r="F58" s="66">
        <f>SUM(E58*6/100)</f>
        <v>4.3398000000000003</v>
      </c>
      <c r="G58" s="13">
        <v>1456.95</v>
      </c>
      <c r="H58" s="67">
        <f>SUM(F58*G58/1000)</f>
        <v>6.3228716100000009</v>
      </c>
      <c r="I58" s="13">
        <f>F58/6*G58</f>
        <v>1053.8119350000002</v>
      </c>
      <c r="J58" s="26"/>
      <c r="L58" s="19"/>
      <c r="M58" s="20"/>
      <c r="N58" s="21"/>
    </row>
    <row r="59" spans="1:14" ht="15.75" customHeight="1">
      <c r="A59" s="32"/>
      <c r="B59" s="84" t="s">
        <v>43</v>
      </c>
      <c r="C59" s="64"/>
      <c r="D59" s="63"/>
      <c r="E59" s="65"/>
      <c r="F59" s="67"/>
      <c r="G59" s="13"/>
      <c r="H59" s="72"/>
      <c r="I59" s="13"/>
      <c r="J59" s="26"/>
      <c r="L59" s="19"/>
      <c r="M59" s="20"/>
      <c r="N59" s="21"/>
    </row>
    <row r="60" spans="1:14" ht="15.75" hidden="1" customHeight="1">
      <c r="A60" s="32"/>
      <c r="B60" s="63" t="s">
        <v>114</v>
      </c>
      <c r="C60" s="64"/>
      <c r="D60" s="63" t="s">
        <v>53</v>
      </c>
      <c r="E60" s="65">
        <v>952</v>
      </c>
      <c r="F60" s="67">
        <v>9.52</v>
      </c>
      <c r="G60" s="13">
        <v>848.37</v>
      </c>
      <c r="H60" s="72">
        <f>F60*G60/1000</f>
        <v>8.0764823999999997</v>
      </c>
      <c r="I60" s="13">
        <v>0</v>
      </c>
      <c r="J60" s="26"/>
      <c r="L60" s="19"/>
    </row>
    <row r="61" spans="1:14" ht="15.75" customHeight="1">
      <c r="A61" s="32">
        <v>14</v>
      </c>
      <c r="B61" s="109" t="s">
        <v>162</v>
      </c>
      <c r="C61" s="110" t="s">
        <v>163</v>
      </c>
      <c r="D61" s="109" t="s">
        <v>172</v>
      </c>
      <c r="E61" s="126">
        <v>100</v>
      </c>
      <c r="F61" s="36">
        <f>E61*12</f>
        <v>1200</v>
      </c>
      <c r="G61" s="36">
        <v>1.4</v>
      </c>
      <c r="H61" s="119"/>
      <c r="I61" s="13">
        <f>G61*F61/12</f>
        <v>140</v>
      </c>
      <c r="J61" s="26"/>
      <c r="L61" s="19"/>
    </row>
    <row r="62" spans="1:14" ht="15.75" hidden="1" customHeight="1">
      <c r="A62" s="32"/>
      <c r="B62" s="85" t="s">
        <v>44</v>
      </c>
      <c r="C62" s="73"/>
      <c r="D62" s="74"/>
      <c r="E62" s="75"/>
      <c r="F62" s="76"/>
      <c r="G62" s="76"/>
      <c r="H62" s="77" t="s">
        <v>132</v>
      </c>
      <c r="I62" s="13"/>
    </row>
    <row r="63" spans="1:14" ht="15.75" hidden="1" customHeight="1">
      <c r="A63" s="32">
        <v>13</v>
      </c>
      <c r="B63" s="14" t="s">
        <v>45</v>
      </c>
      <c r="C63" s="16" t="s">
        <v>111</v>
      </c>
      <c r="D63" s="14" t="s">
        <v>172</v>
      </c>
      <c r="E63" s="18">
        <v>5</v>
      </c>
      <c r="F63" s="66">
        <v>5</v>
      </c>
      <c r="G63" s="13">
        <v>237.74</v>
      </c>
      <c r="H63" s="78">
        <f t="shared" ref="H63:H81" si="8">SUM(F63*G63/1000)</f>
        <v>1.1887000000000001</v>
      </c>
      <c r="I63" s="13">
        <f>G63</f>
        <v>237.74</v>
      </c>
    </row>
    <row r="64" spans="1:14" ht="15.75" hidden="1" customHeight="1">
      <c r="A64" s="32"/>
      <c r="B64" s="14" t="s">
        <v>46</v>
      </c>
      <c r="C64" s="16" t="s">
        <v>111</v>
      </c>
      <c r="D64" s="14" t="s">
        <v>65</v>
      </c>
      <c r="E64" s="18">
        <v>2</v>
      </c>
      <c r="F64" s="66">
        <v>2</v>
      </c>
      <c r="G64" s="13">
        <v>81.510000000000005</v>
      </c>
      <c r="H64" s="78">
        <f t="shared" si="8"/>
        <v>0.16302</v>
      </c>
      <c r="I64" s="13">
        <v>0</v>
      </c>
    </row>
    <row r="65" spans="1:22" ht="15.75" hidden="1" customHeight="1">
      <c r="A65" s="32"/>
      <c r="B65" s="14" t="s">
        <v>47</v>
      </c>
      <c r="C65" s="16" t="s">
        <v>115</v>
      </c>
      <c r="D65" s="14" t="s">
        <v>53</v>
      </c>
      <c r="E65" s="65">
        <v>4292</v>
      </c>
      <c r="F65" s="13">
        <f>SUM(E65/100)</f>
        <v>42.92</v>
      </c>
      <c r="G65" s="13">
        <v>226.79</v>
      </c>
      <c r="H65" s="78">
        <f t="shared" si="8"/>
        <v>9.733826800000001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2"/>
      <c r="B66" s="14" t="s">
        <v>48</v>
      </c>
      <c r="C66" s="16" t="s">
        <v>116</v>
      </c>
      <c r="D66" s="14"/>
      <c r="E66" s="65">
        <v>4292</v>
      </c>
      <c r="F66" s="13">
        <f>SUM(E66/1000)</f>
        <v>4.2919999999999998</v>
      </c>
      <c r="G66" s="13">
        <v>176.61</v>
      </c>
      <c r="H66" s="78">
        <f t="shared" si="8"/>
        <v>0.75801012000000001</v>
      </c>
      <c r="I66" s="13">
        <v>0</v>
      </c>
      <c r="J66" s="28"/>
      <c r="K66" s="28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2"/>
      <c r="B67" s="14" t="s">
        <v>49</v>
      </c>
      <c r="C67" s="16" t="s">
        <v>75</v>
      </c>
      <c r="D67" s="14" t="s">
        <v>53</v>
      </c>
      <c r="E67" s="65">
        <v>510</v>
      </c>
      <c r="F67" s="13">
        <f>SUM(E67/100)</f>
        <v>5.0999999999999996</v>
      </c>
      <c r="G67" s="13">
        <v>2217.7800000000002</v>
      </c>
      <c r="H67" s="78">
        <f t="shared" si="8"/>
        <v>11.310677999999999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2"/>
      <c r="B68" s="79" t="s">
        <v>117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42.67</v>
      </c>
      <c r="H68" s="78">
        <f t="shared" si="8"/>
        <v>0.19628199999999998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68"/>
      <c r="S68" s="168"/>
      <c r="T68" s="168"/>
      <c r="U68" s="168"/>
    </row>
    <row r="69" spans="1:22" ht="15.75" hidden="1" customHeight="1">
      <c r="A69" s="32"/>
      <c r="B69" s="79" t="s">
        <v>118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39.81</v>
      </c>
      <c r="H69" s="78">
        <f t="shared" si="8"/>
        <v>0.18312600000000001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2"/>
      <c r="B70" s="14" t="s">
        <v>56</v>
      </c>
      <c r="C70" s="16" t="s">
        <v>57</v>
      </c>
      <c r="D70" s="14" t="s">
        <v>53</v>
      </c>
      <c r="E70" s="18">
        <v>3</v>
      </c>
      <c r="F70" s="66">
        <v>3</v>
      </c>
      <c r="G70" s="13">
        <v>53.32</v>
      </c>
      <c r="H70" s="78">
        <f t="shared" si="8"/>
        <v>0.15996000000000002</v>
      </c>
      <c r="I70" s="13">
        <v>0</v>
      </c>
    </row>
    <row r="71" spans="1:22" ht="15.75" customHeight="1">
      <c r="A71" s="32"/>
      <c r="B71" s="162" t="s">
        <v>194</v>
      </c>
      <c r="C71" s="16"/>
      <c r="D71" s="14"/>
      <c r="E71" s="18"/>
      <c r="F71" s="59"/>
      <c r="G71" s="13"/>
      <c r="H71" s="78"/>
      <c r="I71" s="13"/>
    </row>
    <row r="72" spans="1:22" ht="32.25" customHeight="1">
      <c r="A72" s="32">
        <v>15</v>
      </c>
      <c r="B72" s="127" t="s">
        <v>192</v>
      </c>
      <c r="C72" s="128" t="s">
        <v>193</v>
      </c>
      <c r="D72" s="129"/>
      <c r="E72" s="17">
        <v>1042.5999999999999</v>
      </c>
      <c r="F72" s="130">
        <f>E72*12</f>
        <v>12511.199999999999</v>
      </c>
      <c r="G72" s="130">
        <v>2.6</v>
      </c>
      <c r="H72" s="78"/>
      <c r="I72" s="13">
        <f>G72*F72/12</f>
        <v>2710.7599999999998</v>
      </c>
    </row>
    <row r="73" spans="1:22" ht="15.75" customHeight="1">
      <c r="A73" s="32"/>
      <c r="B73" s="90" t="s">
        <v>70</v>
      </c>
      <c r="C73" s="16"/>
      <c r="D73" s="14"/>
      <c r="E73" s="18"/>
      <c r="F73" s="13"/>
      <c r="G73" s="13"/>
      <c r="H73" s="78" t="s">
        <v>132</v>
      </c>
      <c r="I73" s="13"/>
    </row>
    <row r="74" spans="1:22" ht="15.75" hidden="1" customHeight="1">
      <c r="A74" s="32">
        <v>12</v>
      </c>
      <c r="B74" s="14" t="s">
        <v>71</v>
      </c>
      <c r="C74" s="16" t="s">
        <v>73</v>
      </c>
      <c r="D74" s="14"/>
      <c r="E74" s="18">
        <v>2</v>
      </c>
      <c r="F74" s="13">
        <v>0.2</v>
      </c>
      <c r="G74" s="13">
        <v>536.23</v>
      </c>
      <c r="H74" s="78">
        <f t="shared" si="8"/>
        <v>0.10724600000000001</v>
      </c>
      <c r="I74" s="13">
        <f>G74*0.1</f>
        <v>53.623000000000005</v>
      </c>
    </row>
    <row r="75" spans="1:22" ht="15.75" hidden="1" customHeight="1">
      <c r="A75" s="32"/>
      <c r="B75" s="14" t="s">
        <v>72</v>
      </c>
      <c r="C75" s="16" t="s">
        <v>29</v>
      </c>
      <c r="D75" s="14"/>
      <c r="E75" s="18">
        <v>1</v>
      </c>
      <c r="F75" s="59">
        <v>1</v>
      </c>
      <c r="G75" s="13">
        <v>911.85</v>
      </c>
      <c r="H75" s="78">
        <f t="shared" si="8"/>
        <v>0.91185000000000005</v>
      </c>
      <c r="I75" s="13">
        <v>0</v>
      </c>
    </row>
    <row r="76" spans="1:22" ht="15.75" hidden="1" customHeight="1">
      <c r="A76" s="32"/>
      <c r="B76" s="14" t="s">
        <v>133</v>
      </c>
      <c r="C76" s="16" t="s">
        <v>134</v>
      </c>
      <c r="D76" s="14"/>
      <c r="E76" s="18"/>
      <c r="F76" s="13"/>
      <c r="G76" s="13">
        <v>31.54</v>
      </c>
      <c r="H76" s="78">
        <f t="shared" si="8"/>
        <v>0</v>
      </c>
      <c r="I76" s="13"/>
    </row>
    <row r="77" spans="1:22" ht="15.75" hidden="1" customHeight="1">
      <c r="A77" s="32"/>
      <c r="B77" s="14" t="s">
        <v>120</v>
      </c>
      <c r="C77" s="16" t="s">
        <v>29</v>
      </c>
      <c r="D77" s="14"/>
      <c r="E77" s="18">
        <v>1</v>
      </c>
      <c r="F77" s="13">
        <v>1</v>
      </c>
      <c r="G77" s="13">
        <v>383.25</v>
      </c>
      <c r="H77" s="78">
        <f>G77*F77/1000</f>
        <v>0.38324999999999998</v>
      </c>
      <c r="I77" s="13">
        <v>0</v>
      </c>
    </row>
    <row r="78" spans="1:22" ht="15.75" customHeight="1">
      <c r="A78" s="32">
        <v>16</v>
      </c>
      <c r="B78" s="102" t="s">
        <v>195</v>
      </c>
      <c r="C78" s="103" t="s">
        <v>29</v>
      </c>
      <c r="D78" s="102" t="s">
        <v>173</v>
      </c>
      <c r="E78" s="17">
        <v>1</v>
      </c>
      <c r="F78" s="36">
        <f>E78*12</f>
        <v>12</v>
      </c>
      <c r="G78" s="36">
        <v>420</v>
      </c>
      <c r="H78" s="78"/>
      <c r="I78" s="13">
        <f>G78*F78/12</f>
        <v>420</v>
      </c>
    </row>
    <row r="79" spans="1:22" ht="15.75" hidden="1" customHeight="1">
      <c r="A79" s="32"/>
      <c r="B79" s="14"/>
      <c r="C79" s="16"/>
      <c r="D79" s="14"/>
      <c r="E79" s="18"/>
      <c r="F79" s="13"/>
      <c r="G79" s="13"/>
      <c r="H79" s="78"/>
      <c r="I79" s="13"/>
    </row>
    <row r="80" spans="1:22" ht="15.75" hidden="1" customHeight="1">
      <c r="A80" s="32"/>
      <c r="B80" s="81" t="s">
        <v>74</v>
      </c>
      <c r="C80" s="16"/>
      <c r="D80" s="14"/>
      <c r="E80" s="18"/>
      <c r="F80" s="13"/>
      <c r="G80" s="13" t="s">
        <v>132</v>
      </c>
      <c r="H80" s="78" t="s">
        <v>132</v>
      </c>
      <c r="I80" s="13"/>
    </row>
    <row r="81" spans="1:9" ht="15.75" hidden="1" customHeight="1">
      <c r="A81" s="32"/>
      <c r="B81" s="44" t="s">
        <v>142</v>
      </c>
      <c r="C81" s="16" t="s">
        <v>75</v>
      </c>
      <c r="D81" s="14"/>
      <c r="E81" s="18"/>
      <c r="F81" s="13">
        <v>0.1</v>
      </c>
      <c r="G81" s="13">
        <v>2949.85</v>
      </c>
      <c r="H81" s="78">
        <f t="shared" si="8"/>
        <v>0.294985</v>
      </c>
      <c r="I81" s="13">
        <v>0</v>
      </c>
    </row>
    <row r="82" spans="1:9" ht="15.75" hidden="1" customHeight="1">
      <c r="A82" s="32"/>
      <c r="B82" s="88" t="s">
        <v>90</v>
      </c>
      <c r="C82" s="88"/>
      <c r="D82" s="88"/>
      <c r="E82" s="88"/>
      <c r="F82" s="88"/>
      <c r="G82" s="69"/>
      <c r="H82" s="82">
        <f>SUM(H58:H81)</f>
        <v>39.790287929999998</v>
      </c>
      <c r="I82" s="69"/>
    </row>
    <row r="83" spans="1:9" ht="15.75" hidden="1" customHeight="1">
      <c r="A83" s="32">
        <v>10</v>
      </c>
      <c r="B83" s="86" t="s">
        <v>119</v>
      </c>
      <c r="C83" s="23"/>
      <c r="D83" s="22"/>
      <c r="E83" s="83"/>
      <c r="F83" s="87">
        <v>1</v>
      </c>
      <c r="G83" s="13">
        <v>3395.9</v>
      </c>
      <c r="H83" s="78">
        <f>G83*F83/1000</f>
        <v>3.3959000000000001</v>
      </c>
      <c r="I83" s="13">
        <v>939.9</v>
      </c>
    </row>
    <row r="84" spans="1:9" ht="15.75" customHeight="1">
      <c r="A84" s="165" t="s">
        <v>128</v>
      </c>
      <c r="B84" s="166"/>
      <c r="C84" s="166"/>
      <c r="D84" s="166"/>
      <c r="E84" s="166"/>
      <c r="F84" s="166"/>
      <c r="G84" s="166"/>
      <c r="H84" s="166"/>
      <c r="I84" s="167"/>
    </row>
    <row r="85" spans="1:9" ht="15.75" customHeight="1">
      <c r="A85" s="32">
        <v>17</v>
      </c>
      <c r="B85" s="104" t="s">
        <v>121</v>
      </c>
      <c r="C85" s="103" t="s">
        <v>54</v>
      </c>
      <c r="D85" s="49"/>
      <c r="E85" s="36">
        <v>1042.5999999999999</v>
      </c>
      <c r="F85" s="36">
        <f>SUM(E85*12)</f>
        <v>12511.199999999999</v>
      </c>
      <c r="G85" s="36">
        <v>3.5</v>
      </c>
      <c r="H85" s="78">
        <f>SUM(F85*G85/1000)</f>
        <v>43.789199999999994</v>
      </c>
      <c r="I85" s="13">
        <f>G85*F85/12</f>
        <v>3649.1</v>
      </c>
    </row>
    <row r="86" spans="1:9" ht="31.5" customHeight="1">
      <c r="A86" s="32">
        <v>18</v>
      </c>
      <c r="B86" s="102" t="s">
        <v>196</v>
      </c>
      <c r="C86" s="103" t="s">
        <v>54</v>
      </c>
      <c r="D86" s="96"/>
      <c r="E86" s="121">
        <f>E85</f>
        <v>1042.5999999999999</v>
      </c>
      <c r="F86" s="36">
        <f>E86*12</f>
        <v>12511.199999999999</v>
      </c>
      <c r="G86" s="36">
        <v>3.2</v>
      </c>
      <c r="H86" s="78">
        <f>F86*G86/1000</f>
        <v>40.035839999999993</v>
      </c>
      <c r="I86" s="13">
        <f>G86*F86/12</f>
        <v>3336.3199999999997</v>
      </c>
    </row>
    <row r="87" spans="1:9" ht="15.75" customHeight="1">
      <c r="A87" s="32"/>
      <c r="B87" s="37" t="s">
        <v>78</v>
      </c>
      <c r="C87" s="81"/>
      <c r="D87" s="80"/>
      <c r="E87" s="69"/>
      <c r="F87" s="69"/>
      <c r="G87" s="69"/>
      <c r="H87" s="82">
        <f>H86</f>
        <v>40.035839999999993</v>
      </c>
      <c r="I87" s="69">
        <f>I86+I85+I78+I72+I61+I55+I51+I44+I41+I40+I39+I38+I27+I21+I20+I18+I17+I16</f>
        <v>24386.120862</v>
      </c>
    </row>
    <row r="88" spans="1:9" ht="15.75" customHeight="1">
      <c r="A88" s="170" t="s">
        <v>59</v>
      </c>
      <c r="B88" s="171"/>
      <c r="C88" s="171"/>
      <c r="D88" s="171"/>
      <c r="E88" s="171"/>
      <c r="F88" s="171"/>
      <c r="G88" s="171"/>
      <c r="H88" s="171"/>
      <c r="I88" s="172"/>
    </row>
    <row r="89" spans="1:9">
      <c r="A89" s="32"/>
      <c r="B89" s="42" t="s">
        <v>50</v>
      </c>
      <c r="C89" s="38"/>
      <c r="D89" s="45"/>
      <c r="E89" s="38">
        <v>1</v>
      </c>
      <c r="F89" s="38"/>
      <c r="G89" s="38"/>
      <c r="H89" s="38"/>
      <c r="I89" s="34">
        <v>0</v>
      </c>
    </row>
    <row r="90" spans="1:9" ht="16.5" customHeight="1">
      <c r="A90" s="32"/>
      <c r="B90" s="44" t="s">
        <v>77</v>
      </c>
      <c r="C90" s="15"/>
      <c r="D90" s="15"/>
      <c r="E90" s="39"/>
      <c r="F90" s="39"/>
      <c r="G90" s="40"/>
      <c r="H90" s="40"/>
      <c r="I90" s="17">
        <v>0</v>
      </c>
    </row>
    <row r="91" spans="1:9" ht="16.5" customHeight="1">
      <c r="A91" s="46"/>
      <c r="B91" s="43" t="s">
        <v>51</v>
      </c>
      <c r="C91" s="35"/>
      <c r="D91" s="35"/>
      <c r="E91" s="35"/>
      <c r="F91" s="35"/>
      <c r="G91" s="35"/>
      <c r="H91" s="35"/>
      <c r="I91" s="41">
        <f>I87+I89</f>
        <v>24386.120862</v>
      </c>
    </row>
    <row r="92" spans="1:9" ht="15.75" customHeight="1">
      <c r="A92" s="180" t="s">
        <v>255</v>
      </c>
      <c r="B92" s="180"/>
      <c r="C92" s="180"/>
      <c r="D92" s="180"/>
      <c r="E92" s="180"/>
      <c r="F92" s="180"/>
      <c r="G92" s="180"/>
      <c r="H92" s="180"/>
      <c r="I92" s="180"/>
    </row>
    <row r="93" spans="1:9" ht="15.75" customHeight="1">
      <c r="A93" s="56"/>
      <c r="B93" s="181" t="s">
        <v>256</v>
      </c>
      <c r="C93" s="181"/>
      <c r="D93" s="181"/>
      <c r="E93" s="181"/>
      <c r="F93" s="181"/>
      <c r="G93" s="181"/>
      <c r="H93" s="62"/>
      <c r="I93" s="3"/>
    </row>
    <row r="94" spans="1:9">
      <c r="A94" s="91"/>
      <c r="B94" s="178" t="s">
        <v>6</v>
      </c>
      <c r="C94" s="178"/>
      <c r="D94" s="178"/>
      <c r="E94" s="178"/>
      <c r="F94" s="178"/>
      <c r="G94" s="178"/>
      <c r="H94" s="27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4" t="s">
        <v>7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4" t="s">
        <v>8</v>
      </c>
      <c r="B97" s="174"/>
      <c r="C97" s="174"/>
      <c r="D97" s="174"/>
      <c r="E97" s="174"/>
      <c r="F97" s="174"/>
      <c r="G97" s="174"/>
      <c r="H97" s="174"/>
      <c r="I97" s="174"/>
    </row>
    <row r="98" spans="1:9" ht="15.75">
      <c r="A98" s="175" t="s">
        <v>60</v>
      </c>
      <c r="B98" s="175"/>
      <c r="C98" s="175"/>
      <c r="D98" s="175"/>
      <c r="E98" s="175"/>
      <c r="F98" s="175"/>
      <c r="G98" s="175"/>
      <c r="H98" s="175"/>
      <c r="I98" s="175"/>
    </row>
    <row r="99" spans="1:9" ht="15.75">
      <c r="A99" s="11"/>
    </row>
    <row r="100" spans="1:9" ht="15.75">
      <c r="A100" s="176" t="s">
        <v>9</v>
      </c>
      <c r="B100" s="176"/>
      <c r="C100" s="176"/>
      <c r="D100" s="176"/>
      <c r="E100" s="176"/>
      <c r="F100" s="176"/>
      <c r="G100" s="176"/>
      <c r="H100" s="176"/>
      <c r="I100" s="176"/>
    </row>
    <row r="101" spans="1:9" ht="15.75">
      <c r="A101" s="4"/>
    </row>
    <row r="102" spans="1:9" ht="15.75">
      <c r="B102" s="93" t="s">
        <v>10</v>
      </c>
      <c r="C102" s="177" t="s">
        <v>249</v>
      </c>
      <c r="D102" s="177"/>
      <c r="E102" s="177"/>
      <c r="F102" s="60"/>
      <c r="I102" s="94"/>
    </row>
    <row r="103" spans="1:9">
      <c r="A103" s="91"/>
      <c r="C103" s="178" t="s">
        <v>11</v>
      </c>
      <c r="D103" s="178"/>
      <c r="E103" s="178"/>
      <c r="F103" s="27"/>
      <c r="I103" s="92" t="s">
        <v>12</v>
      </c>
    </row>
    <row r="104" spans="1:9" ht="15.75">
      <c r="A104" s="28"/>
      <c r="C104" s="12"/>
      <c r="D104" s="12"/>
      <c r="G104" s="12"/>
      <c r="H104" s="12"/>
    </row>
    <row r="105" spans="1:9" ht="15.75">
      <c r="B105" s="93" t="s">
        <v>13</v>
      </c>
      <c r="C105" s="179"/>
      <c r="D105" s="179"/>
      <c r="E105" s="179"/>
      <c r="F105" s="61"/>
      <c r="I105" s="94"/>
    </row>
    <row r="106" spans="1:9">
      <c r="A106" s="91"/>
      <c r="C106" s="168" t="s">
        <v>11</v>
      </c>
      <c r="D106" s="168"/>
      <c r="E106" s="168"/>
      <c r="F106" s="91"/>
      <c r="I106" s="92" t="s">
        <v>12</v>
      </c>
    </row>
    <row r="107" spans="1:9" ht="15.75">
      <c r="A107" s="4" t="s">
        <v>14</v>
      </c>
    </row>
    <row r="108" spans="1:9">
      <c r="A108" s="169" t="s">
        <v>15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45" customHeight="1">
      <c r="A109" s="173" t="s">
        <v>16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17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30" customHeight="1">
      <c r="A111" s="173" t="s">
        <v>21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14.25" customHeight="1">
      <c r="A112" s="173" t="s">
        <v>20</v>
      </c>
      <c r="B112" s="173"/>
      <c r="C112" s="173"/>
      <c r="D112" s="173"/>
      <c r="E112" s="173"/>
      <c r="F112" s="173"/>
      <c r="G112" s="173"/>
      <c r="H112" s="173"/>
      <c r="I112" s="173"/>
    </row>
  </sheetData>
  <autoFilter ref="I12:I63"/>
  <mergeCells count="29">
    <mergeCell ref="A108:I108"/>
    <mergeCell ref="A109:I109"/>
    <mergeCell ref="A110:I110"/>
    <mergeCell ref="A111:I111"/>
    <mergeCell ref="A112:I112"/>
    <mergeCell ref="R68:U68"/>
    <mergeCell ref="C106:E106"/>
    <mergeCell ref="A88:I88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4:I84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6:I5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topLeftCell="A55" workbookViewId="0">
      <selection activeCell="B83" sqref="B83:I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143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184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 t="s">
        <v>185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172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94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94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94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100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53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94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hidden="1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63" t="s">
        <v>107</v>
      </c>
      <c r="C30" s="64" t="s">
        <v>86</v>
      </c>
      <c r="D30" s="63" t="s">
        <v>103</v>
      </c>
      <c r="E30" s="66">
        <v>266.57</v>
      </c>
      <c r="F30" s="66">
        <f>SUM(E30*52/1000)</f>
        <v>13.86164</v>
      </c>
      <c r="G30" s="66">
        <v>146.79</v>
      </c>
      <c r="H30" s="67">
        <f t="shared" ref="H30:H35" si="1">SUM(F30*G30/1000)</f>
        <v>2.0347501356</v>
      </c>
      <c r="I30" s="13">
        <f t="shared" ref="I30:I33" si="2">F30/6*G30</f>
        <v>339.12502259999997</v>
      </c>
      <c r="J30" s="25"/>
      <c r="K30" s="8"/>
      <c r="L30" s="8"/>
      <c r="M30" s="8"/>
    </row>
    <row r="31" spans="1:13" ht="31.5" hidden="1" customHeight="1">
      <c r="A31" s="32">
        <v>9</v>
      </c>
      <c r="B31" s="63" t="s">
        <v>106</v>
      </c>
      <c r="C31" s="64" t="s">
        <v>86</v>
      </c>
      <c r="D31" s="63" t="s">
        <v>104</v>
      </c>
      <c r="E31" s="66">
        <v>48.03</v>
      </c>
      <c r="F31" s="66">
        <f>SUM(E31*78/1000)</f>
        <v>3.74634</v>
      </c>
      <c r="G31" s="66">
        <v>243.54</v>
      </c>
      <c r="H31" s="67">
        <f t="shared" si="1"/>
        <v>0.91238364360000002</v>
      </c>
      <c r="I31" s="13">
        <f t="shared" si="2"/>
        <v>152.0639406</v>
      </c>
      <c r="J31" s="25"/>
      <c r="K31" s="8"/>
      <c r="L31" s="8"/>
      <c r="M31" s="8"/>
    </row>
    <row r="32" spans="1:13" ht="15.75" hidden="1" customHeight="1">
      <c r="A32" s="32">
        <v>10</v>
      </c>
      <c r="B32" s="63" t="s">
        <v>26</v>
      </c>
      <c r="C32" s="64" t="s">
        <v>86</v>
      </c>
      <c r="D32" s="63" t="s">
        <v>53</v>
      </c>
      <c r="E32" s="66">
        <v>266.57</v>
      </c>
      <c r="F32" s="66">
        <f>SUM(E32/1000)</f>
        <v>0.26656999999999997</v>
      </c>
      <c r="G32" s="66">
        <v>2844</v>
      </c>
      <c r="H32" s="67">
        <f t="shared" si="1"/>
        <v>0.7581250799999999</v>
      </c>
      <c r="I32" s="13">
        <f>F32*G32</f>
        <v>758.12507999999991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105</v>
      </c>
      <c r="C33" s="64" t="s">
        <v>29</v>
      </c>
      <c r="D33" s="63" t="s">
        <v>62</v>
      </c>
      <c r="E33" s="70">
        <v>0.33333333333333331</v>
      </c>
      <c r="F33" s="66">
        <f>155/3</f>
        <v>51.666666666666664</v>
      </c>
      <c r="G33" s="66">
        <v>53.38</v>
      </c>
      <c r="H33" s="67">
        <f>SUM(G33*155/3/1000)</f>
        <v>2.7579666666666669</v>
      </c>
      <c r="I33" s="13">
        <f t="shared" si="2"/>
        <v>459.6611111111111</v>
      </c>
      <c r="J33" s="25"/>
      <c r="K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si="1"/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1"/>
        <v>1.2147399999999999</v>
      </c>
      <c r="I35" s="13">
        <v>0</v>
      </c>
      <c r="J35" s="26"/>
    </row>
    <row r="36" spans="1:14" ht="15.75" customHeight="1">
      <c r="A36" s="32"/>
      <c r="B36" s="84" t="s">
        <v>5</v>
      </c>
      <c r="C36" s="64"/>
      <c r="D36" s="63"/>
      <c r="E36" s="65"/>
      <c r="F36" s="66"/>
      <c r="G36" s="66"/>
      <c r="H36" s="67" t="s">
        <v>132</v>
      </c>
      <c r="I36" s="13"/>
      <c r="J36" s="26"/>
    </row>
    <row r="37" spans="1:14" ht="15.75" customHeight="1">
      <c r="A37" s="32">
        <v>7</v>
      </c>
      <c r="B37" s="123" t="s">
        <v>25</v>
      </c>
      <c r="C37" s="105" t="s">
        <v>30</v>
      </c>
      <c r="D37" s="104" t="s">
        <v>198</v>
      </c>
      <c r="E37" s="121"/>
      <c r="F37" s="107">
        <v>3</v>
      </c>
      <c r="G37" s="107">
        <v>1930</v>
      </c>
      <c r="H37" s="67">
        <f t="shared" ref="H37:H42" si="3">SUM(F37*G37/1000)</f>
        <v>5.79</v>
      </c>
      <c r="I37" s="13">
        <f>G37*0.7</f>
        <v>1351</v>
      </c>
      <c r="J37" s="26"/>
    </row>
    <row r="38" spans="1:14" ht="15.75" customHeight="1">
      <c r="A38" s="32">
        <v>8</v>
      </c>
      <c r="B38" s="123" t="s">
        <v>108</v>
      </c>
      <c r="C38" s="124" t="s">
        <v>28</v>
      </c>
      <c r="D38" s="104" t="s">
        <v>170</v>
      </c>
      <c r="E38" s="121">
        <v>38.5</v>
      </c>
      <c r="F38" s="125">
        <f>E38*48/1000</f>
        <v>1.8480000000000001</v>
      </c>
      <c r="G38" s="107">
        <v>3134.93</v>
      </c>
      <c r="H38" s="67">
        <f>G38*F38/1000</f>
        <v>5.7933506399999999</v>
      </c>
      <c r="I38" s="13">
        <f t="shared" ref="I38:I40" si="4">F38/6*G38</f>
        <v>965.55843999999991</v>
      </c>
      <c r="J38" s="26"/>
      <c r="L38" s="19"/>
      <c r="M38" s="20"/>
      <c r="N38" s="21"/>
    </row>
    <row r="39" spans="1:14" ht="15.75" customHeight="1">
      <c r="A39" s="32">
        <v>9</v>
      </c>
      <c r="B39" s="104" t="s">
        <v>187</v>
      </c>
      <c r="C39" s="105" t="s">
        <v>28</v>
      </c>
      <c r="D39" s="104" t="s">
        <v>189</v>
      </c>
      <c r="E39" s="107">
        <v>38.5</v>
      </c>
      <c r="F39" s="125">
        <f>E39*72/1000</f>
        <v>2.7719999999999998</v>
      </c>
      <c r="G39" s="107">
        <v>522.92999999999995</v>
      </c>
      <c r="H39" s="67">
        <f t="shared" si="3"/>
        <v>1.4495619599999998</v>
      </c>
      <c r="I39" s="13">
        <f t="shared" si="4"/>
        <v>241.59365999999997</v>
      </c>
      <c r="J39" s="26"/>
      <c r="L39" s="19"/>
      <c r="M39" s="20"/>
      <c r="N39" s="21"/>
    </row>
    <row r="40" spans="1:14" ht="28.5" customHeight="1">
      <c r="A40" s="32">
        <v>10</v>
      </c>
      <c r="B40" s="104" t="s">
        <v>188</v>
      </c>
      <c r="C40" s="105" t="s">
        <v>86</v>
      </c>
      <c r="D40" s="104" t="s">
        <v>170</v>
      </c>
      <c r="E40" s="107">
        <v>38.5</v>
      </c>
      <c r="F40" s="125">
        <f>E40*48/1000</f>
        <v>1.8480000000000001</v>
      </c>
      <c r="G40" s="107">
        <v>8652.07</v>
      </c>
      <c r="H40" s="67">
        <f t="shared" si="3"/>
        <v>15.989025359999999</v>
      </c>
      <c r="I40" s="13">
        <f t="shared" si="4"/>
        <v>2664.8375599999999</v>
      </c>
      <c r="J40" s="26"/>
      <c r="L40" s="19"/>
      <c r="M40" s="20"/>
      <c r="N40" s="21"/>
    </row>
    <row r="41" spans="1:14" ht="15.75" hidden="1" customHeight="1">
      <c r="A41" s="32">
        <v>10</v>
      </c>
      <c r="B41" s="104" t="s">
        <v>87</v>
      </c>
      <c r="C41" s="105" t="s">
        <v>86</v>
      </c>
      <c r="D41" s="104" t="s">
        <v>175</v>
      </c>
      <c r="E41" s="107">
        <v>38.5</v>
      </c>
      <c r="F41" s="125">
        <f>SUM(E41*30/1000)</f>
        <v>1.155</v>
      </c>
      <c r="G41" s="107">
        <v>639.14</v>
      </c>
      <c r="H41" s="67">
        <f t="shared" si="3"/>
        <v>0.73820669999999999</v>
      </c>
      <c r="I41" s="13">
        <f>F41/7.5*G41</f>
        <v>98.42756</v>
      </c>
      <c r="J41" s="26"/>
      <c r="L41" s="19"/>
      <c r="M41" s="20"/>
      <c r="N41" s="21"/>
    </row>
    <row r="42" spans="1:14" ht="15.75" hidden="1" customHeight="1">
      <c r="A42" s="32">
        <v>11</v>
      </c>
      <c r="B42" s="123" t="s">
        <v>68</v>
      </c>
      <c r="C42" s="124" t="s">
        <v>31</v>
      </c>
      <c r="D42" s="123"/>
      <c r="E42" s="106"/>
      <c r="F42" s="125">
        <v>0.5</v>
      </c>
      <c r="G42" s="125">
        <v>900</v>
      </c>
      <c r="H42" s="67">
        <f t="shared" si="3"/>
        <v>0.45</v>
      </c>
      <c r="I42" s="13">
        <f>F42/7.5*G42</f>
        <v>60</v>
      </c>
      <c r="J42" s="26"/>
      <c r="L42" s="19"/>
      <c r="M42" s="20"/>
      <c r="N42" s="21"/>
    </row>
    <row r="43" spans="1:14" ht="29.25" customHeight="1">
      <c r="A43" s="117">
        <v>11</v>
      </c>
      <c r="B43" s="123" t="s">
        <v>190</v>
      </c>
      <c r="C43" s="124" t="s">
        <v>28</v>
      </c>
      <c r="D43" s="123" t="s">
        <v>191</v>
      </c>
      <c r="E43" s="106">
        <v>1.2</v>
      </c>
      <c r="F43" s="125">
        <f>E43*12/1000</f>
        <v>1.4399999999999998E-2</v>
      </c>
      <c r="G43" s="125">
        <v>20547.34</v>
      </c>
      <c r="H43" s="59"/>
      <c r="I43" s="118">
        <f>G43*F43/6</f>
        <v>49.313615999999996</v>
      </c>
      <c r="J43" s="26"/>
      <c r="L43" s="19"/>
      <c r="M43" s="20"/>
      <c r="N43" s="21"/>
    </row>
    <row r="44" spans="1:14" ht="15.75" customHeight="1">
      <c r="A44" s="165" t="s">
        <v>125</v>
      </c>
      <c r="B44" s="166"/>
      <c r="C44" s="166"/>
      <c r="D44" s="166"/>
      <c r="E44" s="166"/>
      <c r="F44" s="166"/>
      <c r="G44" s="166"/>
      <c r="H44" s="166"/>
      <c r="I44" s="167"/>
      <c r="J44" s="26"/>
      <c r="L44" s="19"/>
      <c r="M44" s="20"/>
      <c r="N44" s="21"/>
    </row>
    <row r="45" spans="1:14" ht="15.75" hidden="1" customHeight="1">
      <c r="A45" s="32"/>
      <c r="B45" s="63" t="s">
        <v>110</v>
      </c>
      <c r="C45" s="64" t="s">
        <v>86</v>
      </c>
      <c r="D45" s="63" t="s">
        <v>41</v>
      </c>
      <c r="E45" s="65">
        <v>636.25</v>
      </c>
      <c r="F45" s="66">
        <f>SUM(E45*2/1000)</f>
        <v>1.2725</v>
      </c>
      <c r="G45" s="13">
        <v>762.53</v>
      </c>
      <c r="H45" s="67">
        <f t="shared" ref="H45:H54" si="5">SUM(F45*G45/1000)</f>
        <v>0.9703194249999999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34</v>
      </c>
      <c r="C46" s="64" t="s">
        <v>86</v>
      </c>
      <c r="D46" s="63" t="s">
        <v>41</v>
      </c>
      <c r="E46" s="65">
        <v>26</v>
      </c>
      <c r="F46" s="66">
        <f>SUM(E46*2/1000)</f>
        <v>5.1999999999999998E-2</v>
      </c>
      <c r="G46" s="13">
        <v>545.65</v>
      </c>
      <c r="H46" s="67">
        <f t="shared" si="5"/>
        <v>2.8373799999999998E-2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35</v>
      </c>
      <c r="C47" s="64" t="s">
        <v>86</v>
      </c>
      <c r="D47" s="63" t="s">
        <v>41</v>
      </c>
      <c r="E47" s="65">
        <v>579</v>
      </c>
      <c r="F47" s="66">
        <f>SUM(E47*2/1000)</f>
        <v>1.1579999999999999</v>
      </c>
      <c r="G47" s="13">
        <v>545.65</v>
      </c>
      <c r="H47" s="67">
        <f t="shared" si="5"/>
        <v>0.63186269999999989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36</v>
      </c>
      <c r="C48" s="64" t="s">
        <v>86</v>
      </c>
      <c r="D48" s="63" t="s">
        <v>41</v>
      </c>
      <c r="E48" s="65">
        <v>683.33</v>
      </c>
      <c r="F48" s="66">
        <f>SUM(E48*2/1000)</f>
        <v>1.36666</v>
      </c>
      <c r="G48" s="13">
        <v>571.35</v>
      </c>
      <c r="H48" s="67">
        <f t="shared" si="5"/>
        <v>0.78084119099999993</v>
      </c>
      <c r="I48" s="13">
        <v>0</v>
      </c>
      <c r="J48" s="26"/>
      <c r="L48" s="19"/>
      <c r="M48" s="20"/>
      <c r="N48" s="21"/>
    </row>
    <row r="49" spans="1:22" ht="15.75" hidden="1" customHeight="1">
      <c r="A49" s="32"/>
      <c r="B49" s="63" t="s">
        <v>32</v>
      </c>
      <c r="C49" s="64" t="s">
        <v>33</v>
      </c>
      <c r="D49" s="63" t="s">
        <v>41</v>
      </c>
      <c r="E49" s="65">
        <v>44.11</v>
      </c>
      <c r="F49" s="66">
        <f>SUM(E49*2/100)</f>
        <v>0.88219999999999998</v>
      </c>
      <c r="G49" s="13">
        <v>68.56</v>
      </c>
      <c r="H49" s="67">
        <f t="shared" si="5"/>
        <v>6.0483632000000002E-2</v>
      </c>
      <c r="I49" s="13">
        <v>0</v>
      </c>
      <c r="J49" s="26"/>
      <c r="L49" s="19"/>
      <c r="M49" s="20"/>
      <c r="N49" s="21"/>
    </row>
    <row r="50" spans="1:22" ht="15.75" customHeight="1">
      <c r="A50" s="32">
        <v>12</v>
      </c>
      <c r="B50" s="104" t="s">
        <v>55</v>
      </c>
      <c r="C50" s="105" t="s">
        <v>86</v>
      </c>
      <c r="D50" s="104" t="s">
        <v>172</v>
      </c>
      <c r="E50" s="121">
        <v>500.2</v>
      </c>
      <c r="F50" s="107">
        <f>SUM(E50*5/1000)</f>
        <v>2.5009999999999999</v>
      </c>
      <c r="G50" s="36">
        <v>1809.27</v>
      </c>
      <c r="H50" s="67">
        <f t="shared" si="5"/>
        <v>4.52498427</v>
      </c>
      <c r="I50" s="13">
        <f>F50/5*G50</f>
        <v>904.99685399999998</v>
      </c>
      <c r="J50" s="26"/>
      <c r="L50" s="19"/>
      <c r="M50" s="20"/>
      <c r="N50" s="21"/>
    </row>
    <row r="51" spans="1:22" ht="31.5" hidden="1" customHeight="1">
      <c r="A51" s="32"/>
      <c r="B51" s="63" t="s">
        <v>88</v>
      </c>
      <c r="C51" s="64" t="s">
        <v>86</v>
      </c>
      <c r="D51" s="63" t="s">
        <v>41</v>
      </c>
      <c r="E51" s="65">
        <v>1140</v>
      </c>
      <c r="F51" s="66">
        <f>SUM(E51*2/1000)</f>
        <v>2.2799999999999998</v>
      </c>
      <c r="G51" s="13">
        <v>1142.7</v>
      </c>
      <c r="H51" s="67">
        <f t="shared" si="5"/>
        <v>2.6053559999999996</v>
      </c>
      <c r="I51" s="13">
        <v>0</v>
      </c>
      <c r="J51" s="26"/>
      <c r="L51" s="19"/>
      <c r="M51" s="20"/>
      <c r="N51" s="21"/>
    </row>
    <row r="52" spans="1:22" ht="31.5" hidden="1" customHeight="1">
      <c r="A52" s="32"/>
      <c r="B52" s="63" t="s">
        <v>89</v>
      </c>
      <c r="C52" s="64" t="s">
        <v>37</v>
      </c>
      <c r="D52" s="63" t="s">
        <v>41</v>
      </c>
      <c r="E52" s="65">
        <v>9</v>
      </c>
      <c r="F52" s="66">
        <f>SUM(E52*2/100)</f>
        <v>0.18</v>
      </c>
      <c r="G52" s="13">
        <v>2571.08</v>
      </c>
      <c r="H52" s="67">
        <f t="shared" si="5"/>
        <v>0.46279439999999999</v>
      </c>
      <c r="I52" s="13">
        <v>0</v>
      </c>
      <c r="J52" s="26"/>
      <c r="L52" s="19"/>
      <c r="M52" s="20"/>
      <c r="N52" s="21"/>
    </row>
    <row r="53" spans="1:22" ht="15.75" hidden="1" customHeight="1">
      <c r="A53" s="32"/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5322.15</v>
      </c>
      <c r="H53" s="67">
        <f t="shared" si="5"/>
        <v>0.106443</v>
      </c>
      <c r="I53" s="13">
        <v>0</v>
      </c>
      <c r="J53" s="26"/>
      <c r="L53" s="19"/>
      <c r="M53" s="20"/>
      <c r="N53" s="21"/>
    </row>
    <row r="54" spans="1:22" ht="15" hidden="1" customHeight="1">
      <c r="A54" s="32">
        <v>13</v>
      </c>
      <c r="B54" s="63" t="s">
        <v>40</v>
      </c>
      <c r="C54" s="64" t="s">
        <v>111</v>
      </c>
      <c r="D54" s="108">
        <v>43497</v>
      </c>
      <c r="E54" s="65">
        <v>36</v>
      </c>
      <c r="F54" s="66">
        <f>SUM(E54)*3</f>
        <v>108</v>
      </c>
      <c r="G54" s="13">
        <v>61.84</v>
      </c>
      <c r="H54" s="67">
        <f t="shared" si="5"/>
        <v>6.6787200000000002</v>
      </c>
      <c r="I54" s="13">
        <f>E54*G54</f>
        <v>2226.2400000000002</v>
      </c>
      <c r="J54" s="26"/>
      <c r="L54" s="19"/>
      <c r="M54" s="20"/>
      <c r="N54" s="21"/>
    </row>
    <row r="55" spans="1:22" ht="15.75" customHeight="1">
      <c r="A55" s="165" t="s">
        <v>127</v>
      </c>
      <c r="B55" s="166"/>
      <c r="C55" s="166"/>
      <c r="D55" s="166"/>
      <c r="E55" s="166"/>
      <c r="F55" s="166"/>
      <c r="G55" s="166"/>
      <c r="H55" s="166"/>
      <c r="I55" s="167"/>
      <c r="J55" s="26"/>
      <c r="L55" s="19"/>
      <c r="M55" s="20"/>
      <c r="N55" s="21"/>
    </row>
    <row r="56" spans="1:22" ht="15.75" hidden="1" customHeight="1">
      <c r="A56" s="32"/>
      <c r="B56" s="84" t="s">
        <v>42</v>
      </c>
      <c r="C56" s="64"/>
      <c r="D56" s="63"/>
      <c r="E56" s="65"/>
      <c r="F56" s="66"/>
      <c r="G56" s="66"/>
      <c r="H56" s="67"/>
      <c r="I56" s="13"/>
      <c r="J56" s="26"/>
      <c r="L56" s="19"/>
      <c r="M56" s="20"/>
      <c r="N56" s="21"/>
    </row>
    <row r="57" spans="1:22" ht="31.5" hidden="1" customHeight="1">
      <c r="A57" s="32">
        <v>14</v>
      </c>
      <c r="B57" s="63" t="s">
        <v>112</v>
      </c>
      <c r="C57" s="64" t="s">
        <v>83</v>
      </c>
      <c r="D57" s="63" t="s">
        <v>113</v>
      </c>
      <c r="E57" s="65">
        <v>72.33</v>
      </c>
      <c r="F57" s="66">
        <f>SUM(E57*6/100)</f>
        <v>4.3398000000000003</v>
      </c>
      <c r="G57" s="13">
        <v>1456.95</v>
      </c>
      <c r="H57" s="67">
        <f>SUM(F57*G57/1000)</f>
        <v>6.3228716100000009</v>
      </c>
      <c r="I57" s="13">
        <f>F57/6*G57</f>
        <v>1053.8119350000002</v>
      </c>
      <c r="J57" s="26"/>
      <c r="L57" s="19"/>
      <c r="M57" s="20"/>
      <c r="N57" s="21"/>
    </row>
    <row r="58" spans="1:22" ht="15.75" customHeight="1">
      <c r="A58" s="32"/>
      <c r="B58" s="84" t="s">
        <v>43</v>
      </c>
      <c r="C58" s="64"/>
      <c r="D58" s="63"/>
      <c r="E58" s="65"/>
      <c r="F58" s="67"/>
      <c r="G58" s="13"/>
      <c r="H58" s="72"/>
      <c r="I58" s="13"/>
      <c r="J58" s="26"/>
      <c r="L58" s="19"/>
      <c r="M58" s="20"/>
      <c r="N58" s="21"/>
    </row>
    <row r="59" spans="1:22" ht="15.75" hidden="1" customHeight="1">
      <c r="A59" s="32"/>
      <c r="B59" s="63" t="s">
        <v>114</v>
      </c>
      <c r="C59" s="64"/>
      <c r="D59" s="63" t="s">
        <v>53</v>
      </c>
      <c r="E59" s="65">
        <v>952</v>
      </c>
      <c r="F59" s="77">
        <v>9.52</v>
      </c>
      <c r="G59" s="13">
        <v>848.37</v>
      </c>
      <c r="H59" s="72">
        <f>F59*G59/1000</f>
        <v>8.0764823999999997</v>
      </c>
      <c r="I59" s="13">
        <v>0</v>
      </c>
      <c r="J59" s="26"/>
      <c r="L59" s="19"/>
    </row>
    <row r="60" spans="1:22" ht="15.75" customHeight="1">
      <c r="A60" s="32">
        <v>13</v>
      </c>
      <c r="B60" s="109" t="s">
        <v>162</v>
      </c>
      <c r="C60" s="110" t="s">
        <v>163</v>
      </c>
      <c r="D60" s="109" t="s">
        <v>172</v>
      </c>
      <c r="E60" s="126">
        <v>100</v>
      </c>
      <c r="F60" s="36">
        <f>E60*12</f>
        <v>1200</v>
      </c>
      <c r="G60" s="36">
        <v>1.4</v>
      </c>
      <c r="H60" s="119"/>
      <c r="I60" s="13">
        <f>G60*F60/12</f>
        <v>140</v>
      </c>
      <c r="J60" s="26"/>
      <c r="L60" s="19"/>
    </row>
    <row r="61" spans="1:22" ht="17.25" hidden="1" customHeight="1">
      <c r="A61" s="32"/>
      <c r="B61" s="85" t="s">
        <v>44</v>
      </c>
      <c r="C61" s="73"/>
      <c r="D61" s="74"/>
      <c r="E61" s="75"/>
      <c r="F61" s="120"/>
      <c r="G61" s="76"/>
      <c r="H61" s="77" t="s">
        <v>132</v>
      </c>
      <c r="I61" s="13"/>
    </row>
    <row r="62" spans="1:22" ht="18.75" hidden="1" customHeight="1">
      <c r="A62" s="32">
        <v>14</v>
      </c>
      <c r="B62" s="14" t="s">
        <v>45</v>
      </c>
      <c r="C62" s="16" t="s">
        <v>111</v>
      </c>
      <c r="D62" s="14"/>
      <c r="E62" s="18">
        <v>5</v>
      </c>
      <c r="F62" s="66">
        <v>5</v>
      </c>
      <c r="G62" s="13">
        <v>237.74</v>
      </c>
      <c r="H62" s="78">
        <f t="shared" ref="H62:H79" si="6">SUM(F62*G62/1000)</f>
        <v>1.1887000000000001</v>
      </c>
      <c r="I62" s="13">
        <f>G62</f>
        <v>237.74</v>
      </c>
    </row>
    <row r="63" spans="1:22" ht="21" hidden="1" customHeight="1">
      <c r="A63" s="32"/>
      <c r="B63" s="14" t="s">
        <v>46</v>
      </c>
      <c r="C63" s="16" t="s">
        <v>111</v>
      </c>
      <c r="D63" s="14" t="s">
        <v>65</v>
      </c>
      <c r="E63" s="18">
        <v>2</v>
      </c>
      <c r="F63" s="66">
        <v>2</v>
      </c>
      <c r="G63" s="13">
        <v>81.510000000000005</v>
      </c>
      <c r="H63" s="78">
        <f t="shared" si="6"/>
        <v>0.16302</v>
      </c>
      <c r="I63" s="13">
        <v>0</v>
      </c>
    </row>
    <row r="64" spans="1:22" ht="18.75" hidden="1" customHeight="1">
      <c r="A64" s="32"/>
      <c r="B64" s="14" t="s">
        <v>47</v>
      </c>
      <c r="C64" s="16" t="s">
        <v>115</v>
      </c>
      <c r="D64" s="14" t="s">
        <v>53</v>
      </c>
      <c r="E64" s="65">
        <v>4292</v>
      </c>
      <c r="F64" s="13">
        <f>SUM(E64/100)</f>
        <v>42.92</v>
      </c>
      <c r="G64" s="13">
        <v>226.79</v>
      </c>
      <c r="H64" s="78">
        <f t="shared" si="6"/>
        <v>9.733826800000001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20.25" hidden="1" customHeight="1">
      <c r="A65" s="32"/>
      <c r="B65" s="14" t="s">
        <v>48</v>
      </c>
      <c r="C65" s="16" t="s">
        <v>116</v>
      </c>
      <c r="D65" s="14"/>
      <c r="E65" s="65">
        <v>4292</v>
      </c>
      <c r="F65" s="13">
        <f>SUM(E65/1000)</f>
        <v>4.2919999999999998</v>
      </c>
      <c r="G65" s="13">
        <v>176.61</v>
      </c>
      <c r="H65" s="78">
        <f t="shared" si="6"/>
        <v>0.75801012000000001</v>
      </c>
      <c r="I65" s="13">
        <v>0</v>
      </c>
      <c r="J65" s="28"/>
      <c r="K65" s="28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9.5" hidden="1" customHeight="1">
      <c r="A66" s="32"/>
      <c r="B66" s="14" t="s">
        <v>49</v>
      </c>
      <c r="C66" s="16" t="s">
        <v>75</v>
      </c>
      <c r="D66" s="14" t="s">
        <v>53</v>
      </c>
      <c r="E66" s="65">
        <v>510</v>
      </c>
      <c r="F66" s="13">
        <f>SUM(E66/100)</f>
        <v>5.0999999999999996</v>
      </c>
      <c r="G66" s="13">
        <v>2217.7800000000002</v>
      </c>
      <c r="H66" s="78">
        <f t="shared" si="6"/>
        <v>11.310677999999999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32"/>
      <c r="B67" s="79" t="s">
        <v>117</v>
      </c>
      <c r="C67" s="16" t="s">
        <v>31</v>
      </c>
      <c r="D67" s="14"/>
      <c r="E67" s="65">
        <v>4.5999999999999996</v>
      </c>
      <c r="F67" s="13">
        <f>SUM(E67)</f>
        <v>4.5999999999999996</v>
      </c>
      <c r="G67" s="13">
        <v>42.67</v>
      </c>
      <c r="H67" s="78">
        <f t="shared" si="6"/>
        <v>0.19628199999999998</v>
      </c>
      <c r="I67" s="13">
        <v>0</v>
      </c>
      <c r="J67" s="5"/>
      <c r="K67" s="5"/>
      <c r="L67" s="5"/>
      <c r="M67" s="5"/>
      <c r="N67" s="5"/>
      <c r="O67" s="5"/>
      <c r="P67" s="5"/>
      <c r="Q67" s="5"/>
      <c r="R67" s="168"/>
      <c r="S67" s="168"/>
      <c r="T67" s="168"/>
      <c r="U67" s="168"/>
    </row>
    <row r="68" spans="1:21" ht="15" hidden="1" customHeight="1">
      <c r="A68" s="32"/>
      <c r="B68" s="79" t="s">
        <v>118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39.81</v>
      </c>
      <c r="H68" s="78">
        <f t="shared" si="6"/>
        <v>0.18312600000000001</v>
      </c>
      <c r="I68" s="13">
        <v>0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20.25" hidden="1" customHeight="1">
      <c r="A69" s="32"/>
      <c r="B69" s="14" t="s">
        <v>56</v>
      </c>
      <c r="C69" s="16" t="s">
        <v>57</v>
      </c>
      <c r="D69" s="14" t="s">
        <v>53</v>
      </c>
      <c r="E69" s="18">
        <v>3</v>
      </c>
      <c r="F69" s="66">
        <v>3</v>
      </c>
      <c r="G69" s="13">
        <v>53.32</v>
      </c>
      <c r="H69" s="78">
        <f t="shared" si="6"/>
        <v>0.15996000000000002</v>
      </c>
      <c r="I69" s="13">
        <v>0</v>
      </c>
    </row>
    <row r="70" spans="1:21" ht="20.25" customHeight="1">
      <c r="A70" s="32"/>
      <c r="B70" s="114" t="s">
        <v>194</v>
      </c>
      <c r="C70" s="16"/>
      <c r="D70" s="14"/>
      <c r="E70" s="18"/>
      <c r="F70" s="59"/>
      <c r="G70" s="13"/>
      <c r="H70" s="78"/>
      <c r="I70" s="13"/>
    </row>
    <row r="71" spans="1:21" ht="30" customHeight="1">
      <c r="A71" s="32">
        <v>14</v>
      </c>
      <c r="B71" s="127" t="s">
        <v>192</v>
      </c>
      <c r="C71" s="128" t="s">
        <v>193</v>
      </c>
      <c r="D71" s="129"/>
      <c r="E71" s="17">
        <v>1042.5999999999999</v>
      </c>
      <c r="F71" s="130">
        <f>E71*12</f>
        <v>12511.199999999999</v>
      </c>
      <c r="G71" s="130">
        <v>2.6</v>
      </c>
      <c r="H71" s="78"/>
      <c r="I71" s="13">
        <f>G71*F71/12</f>
        <v>2710.7599999999998</v>
      </c>
    </row>
    <row r="72" spans="1:21" ht="15.75" customHeight="1">
      <c r="A72" s="32"/>
      <c r="B72" s="115" t="s">
        <v>70</v>
      </c>
      <c r="C72" s="16"/>
      <c r="D72" s="14"/>
      <c r="E72" s="18"/>
      <c r="F72" s="13"/>
      <c r="G72" s="13"/>
      <c r="H72" s="78" t="s">
        <v>132</v>
      </c>
      <c r="I72" s="13"/>
    </row>
    <row r="73" spans="1:21" ht="23.25" hidden="1" customHeight="1">
      <c r="A73" s="32"/>
      <c r="B73" s="14" t="s">
        <v>71</v>
      </c>
      <c r="C73" s="16" t="s">
        <v>73</v>
      </c>
      <c r="D73" s="14"/>
      <c r="E73" s="18">
        <v>2</v>
      </c>
      <c r="F73" s="13">
        <v>0.2</v>
      </c>
      <c r="G73" s="13">
        <v>536.23</v>
      </c>
      <c r="H73" s="78">
        <f t="shared" si="6"/>
        <v>0.10724600000000001</v>
      </c>
      <c r="I73" s="13">
        <v>0</v>
      </c>
    </row>
    <row r="74" spans="1:21" ht="18" hidden="1" customHeight="1">
      <c r="A74" s="32"/>
      <c r="B74" s="14" t="s">
        <v>72</v>
      </c>
      <c r="C74" s="16" t="s">
        <v>29</v>
      </c>
      <c r="D74" s="14"/>
      <c r="E74" s="18">
        <v>1</v>
      </c>
      <c r="F74" s="59">
        <v>1</v>
      </c>
      <c r="G74" s="13">
        <v>911.85</v>
      </c>
      <c r="H74" s="78">
        <f t="shared" si="6"/>
        <v>0.91185000000000005</v>
      </c>
      <c r="I74" s="13">
        <v>0</v>
      </c>
    </row>
    <row r="75" spans="1:21" ht="21" hidden="1" customHeight="1">
      <c r="A75" s="32"/>
      <c r="B75" s="14" t="s">
        <v>133</v>
      </c>
      <c r="C75" s="16" t="s">
        <v>134</v>
      </c>
      <c r="D75" s="14"/>
      <c r="E75" s="18"/>
      <c r="F75" s="13"/>
      <c r="G75" s="13">
        <v>31.54</v>
      </c>
      <c r="H75" s="78">
        <f t="shared" si="6"/>
        <v>0</v>
      </c>
      <c r="I75" s="13"/>
    </row>
    <row r="76" spans="1:21" ht="19.5" hidden="1" customHeight="1">
      <c r="A76" s="32"/>
      <c r="B76" s="14" t="s">
        <v>120</v>
      </c>
      <c r="C76" s="16" t="s">
        <v>29</v>
      </c>
      <c r="D76" s="14"/>
      <c r="E76" s="18">
        <v>1</v>
      </c>
      <c r="F76" s="13">
        <v>1</v>
      </c>
      <c r="G76" s="13">
        <v>383.25</v>
      </c>
      <c r="H76" s="78">
        <f>G76*F76/1000</f>
        <v>0.38324999999999998</v>
      </c>
      <c r="I76" s="13">
        <v>0</v>
      </c>
    </row>
    <row r="77" spans="1:21" ht="19.5" customHeight="1">
      <c r="A77" s="32">
        <v>15</v>
      </c>
      <c r="B77" s="102" t="s">
        <v>195</v>
      </c>
      <c r="C77" s="103" t="s">
        <v>29</v>
      </c>
      <c r="D77" s="102" t="s">
        <v>173</v>
      </c>
      <c r="E77" s="17">
        <v>1</v>
      </c>
      <c r="F77" s="36">
        <f>E77*12</f>
        <v>12</v>
      </c>
      <c r="G77" s="36">
        <v>420</v>
      </c>
      <c r="H77" s="78"/>
      <c r="I77" s="13">
        <f>G77*F77/12</f>
        <v>420</v>
      </c>
    </row>
    <row r="78" spans="1:21" ht="15.75" hidden="1" customHeight="1">
      <c r="A78" s="32"/>
      <c r="B78" s="81" t="s">
        <v>74</v>
      </c>
      <c r="C78" s="16"/>
      <c r="D78" s="14"/>
      <c r="E78" s="18"/>
      <c r="F78" s="13"/>
      <c r="G78" s="13" t="s">
        <v>132</v>
      </c>
      <c r="H78" s="78" t="s">
        <v>132</v>
      </c>
      <c r="I78" s="13"/>
    </row>
    <row r="79" spans="1:21" ht="18.75" hidden="1" customHeight="1">
      <c r="A79" s="32"/>
      <c r="B79" s="44" t="s">
        <v>142</v>
      </c>
      <c r="C79" s="16" t="s">
        <v>75</v>
      </c>
      <c r="D79" s="14"/>
      <c r="E79" s="18"/>
      <c r="F79" s="13">
        <v>0.1</v>
      </c>
      <c r="G79" s="13">
        <v>2949.85</v>
      </c>
      <c r="H79" s="78">
        <f t="shared" si="6"/>
        <v>0.294985</v>
      </c>
      <c r="I79" s="13">
        <v>0</v>
      </c>
    </row>
    <row r="80" spans="1:21" ht="13.5" hidden="1" customHeight="1">
      <c r="A80" s="32"/>
      <c r="B80" s="88" t="s">
        <v>90</v>
      </c>
      <c r="C80" s="88"/>
      <c r="D80" s="88"/>
      <c r="E80" s="88"/>
      <c r="F80" s="88"/>
      <c r="G80" s="69"/>
      <c r="H80" s="82">
        <f>SUM(H57:H79)</f>
        <v>39.790287929999998</v>
      </c>
      <c r="I80" s="69"/>
    </row>
    <row r="81" spans="1:9" ht="15" hidden="1" customHeight="1">
      <c r="A81" s="32"/>
      <c r="B81" s="86" t="s">
        <v>119</v>
      </c>
      <c r="C81" s="23"/>
      <c r="D81" s="22"/>
      <c r="E81" s="83"/>
      <c r="F81" s="87">
        <v>1</v>
      </c>
      <c r="G81" s="13">
        <v>3124.9</v>
      </c>
      <c r="H81" s="78">
        <f>G81*F81/1000</f>
        <v>3.1249000000000002</v>
      </c>
      <c r="I81" s="13">
        <v>0</v>
      </c>
    </row>
    <row r="82" spans="1:9" ht="15.75" customHeight="1">
      <c r="A82" s="165" t="s">
        <v>128</v>
      </c>
      <c r="B82" s="166"/>
      <c r="C82" s="166"/>
      <c r="D82" s="166"/>
      <c r="E82" s="166"/>
      <c r="F82" s="166"/>
      <c r="G82" s="166"/>
      <c r="H82" s="166"/>
      <c r="I82" s="167"/>
    </row>
    <row r="83" spans="1:9" ht="15.75" customHeight="1">
      <c r="A83" s="32">
        <v>16</v>
      </c>
      <c r="B83" s="131" t="s">
        <v>121</v>
      </c>
      <c r="C83" s="103" t="s">
        <v>54</v>
      </c>
      <c r="D83" s="49"/>
      <c r="E83" s="36">
        <v>1042.5999999999999</v>
      </c>
      <c r="F83" s="36">
        <f>SUM(E83*12)</f>
        <v>12511.199999999999</v>
      </c>
      <c r="G83" s="132">
        <v>3.5</v>
      </c>
      <c r="H83" s="78">
        <f>SUM(F83*G83/1000)</f>
        <v>43.789199999999994</v>
      </c>
      <c r="I83" s="13">
        <f>G83*F83/12</f>
        <v>3649.1</v>
      </c>
    </row>
    <row r="84" spans="1:9" ht="31.5" customHeight="1">
      <c r="A84" s="32">
        <v>17</v>
      </c>
      <c r="B84" s="102" t="s">
        <v>196</v>
      </c>
      <c r="C84" s="103" t="s">
        <v>54</v>
      </c>
      <c r="D84" s="96"/>
      <c r="E84" s="121">
        <f>E83</f>
        <v>1042.5999999999999</v>
      </c>
      <c r="F84" s="36">
        <f>E84*12</f>
        <v>12511.199999999999</v>
      </c>
      <c r="G84" s="36">
        <v>3.2</v>
      </c>
      <c r="H84" s="78">
        <f>F84*G84/1000</f>
        <v>40.035839999999993</v>
      </c>
      <c r="I84" s="13">
        <f>G84*F84/12</f>
        <v>3336.3199999999997</v>
      </c>
    </row>
    <row r="85" spans="1:9" ht="31.5" customHeight="1">
      <c r="A85" s="32">
        <v>18</v>
      </c>
      <c r="B85" s="102" t="s">
        <v>197</v>
      </c>
      <c r="C85" s="103" t="s">
        <v>163</v>
      </c>
      <c r="D85" s="96"/>
      <c r="E85" s="133">
        <v>1042.5999999999999</v>
      </c>
      <c r="F85" s="36">
        <f>E85*1</f>
        <v>1042.5999999999999</v>
      </c>
      <c r="G85" s="36">
        <v>3.2</v>
      </c>
      <c r="H85" s="78"/>
      <c r="I85" s="13">
        <f>G85*F85/1</f>
        <v>3336.3199999999997</v>
      </c>
    </row>
    <row r="86" spans="1:9" ht="15.75" customHeight="1">
      <c r="A86" s="32"/>
      <c r="B86" s="37" t="s">
        <v>78</v>
      </c>
      <c r="C86" s="81"/>
      <c r="D86" s="80"/>
      <c r="E86" s="69"/>
      <c r="F86" s="69"/>
      <c r="G86" s="69"/>
      <c r="H86" s="82">
        <f>H84</f>
        <v>40.035839999999993</v>
      </c>
      <c r="I86" s="69">
        <f>I85+I84+I83+I77+I71+I60+I50+I43+I40+I39+I38+I37+I27+I21+I20+I18+I17+I16</f>
        <v>24003.960862</v>
      </c>
    </row>
    <row r="87" spans="1:9" ht="15.75" customHeight="1">
      <c r="A87" s="170" t="s">
        <v>59</v>
      </c>
      <c r="B87" s="171"/>
      <c r="C87" s="171"/>
      <c r="D87" s="171"/>
      <c r="E87" s="171"/>
      <c r="F87" s="171"/>
      <c r="G87" s="171"/>
      <c r="H87" s="171"/>
      <c r="I87" s="172"/>
    </row>
    <row r="88" spans="1:9">
      <c r="A88" s="32"/>
      <c r="B88" s="42" t="s">
        <v>50</v>
      </c>
      <c r="C88" s="38"/>
      <c r="D88" s="45"/>
      <c r="E88" s="38">
        <v>1</v>
      </c>
      <c r="F88" s="38"/>
      <c r="G88" s="38"/>
      <c r="H88" s="38"/>
      <c r="I88" s="34">
        <v>0</v>
      </c>
    </row>
    <row r="89" spans="1:9" ht="16.5" customHeight="1">
      <c r="A89" s="32"/>
      <c r="B89" s="44" t="s">
        <v>77</v>
      </c>
      <c r="C89" s="15"/>
      <c r="D89" s="15"/>
      <c r="E89" s="39"/>
      <c r="F89" s="39"/>
      <c r="G89" s="40"/>
      <c r="H89" s="40"/>
      <c r="I89" s="17">
        <v>0</v>
      </c>
    </row>
    <row r="90" spans="1:9" ht="16.5" customHeight="1">
      <c r="A90" s="46"/>
      <c r="B90" s="43" t="s">
        <v>156</v>
      </c>
      <c r="C90" s="35"/>
      <c r="D90" s="35"/>
      <c r="E90" s="35"/>
      <c r="F90" s="35"/>
      <c r="G90" s="35"/>
      <c r="H90" s="35"/>
      <c r="I90" s="41">
        <f>I86+I88</f>
        <v>24003.960862</v>
      </c>
    </row>
    <row r="91" spans="1:9" ht="15.75" customHeight="1">
      <c r="A91" s="180" t="s">
        <v>199</v>
      </c>
      <c r="B91" s="180"/>
      <c r="C91" s="180"/>
      <c r="D91" s="180"/>
      <c r="E91" s="180"/>
      <c r="F91" s="180"/>
      <c r="G91" s="180"/>
      <c r="H91" s="180"/>
      <c r="I91" s="180"/>
    </row>
    <row r="92" spans="1:9" ht="15.75" customHeight="1">
      <c r="A92" s="56"/>
      <c r="B92" s="181" t="s">
        <v>200</v>
      </c>
      <c r="C92" s="181"/>
      <c r="D92" s="181"/>
      <c r="E92" s="181"/>
      <c r="F92" s="181"/>
      <c r="G92" s="181"/>
      <c r="H92" s="62"/>
      <c r="I92" s="3"/>
    </row>
    <row r="93" spans="1:9">
      <c r="A93" s="55"/>
      <c r="B93" s="178" t="s">
        <v>6</v>
      </c>
      <c r="C93" s="178"/>
      <c r="D93" s="178"/>
      <c r="E93" s="178"/>
      <c r="F93" s="178"/>
      <c r="G93" s="178"/>
      <c r="H93" s="27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74" t="s">
        <v>7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4" t="s">
        <v>8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5" t="s">
        <v>60</v>
      </c>
      <c r="B97" s="175"/>
      <c r="C97" s="175"/>
      <c r="D97" s="175"/>
      <c r="E97" s="175"/>
      <c r="F97" s="175"/>
      <c r="G97" s="175"/>
      <c r="H97" s="175"/>
      <c r="I97" s="175"/>
    </row>
    <row r="98" spans="1:9" ht="15.75">
      <c r="A98" s="11"/>
    </row>
    <row r="99" spans="1:9" ht="15.75">
      <c r="A99" s="176" t="s">
        <v>9</v>
      </c>
      <c r="B99" s="176"/>
      <c r="C99" s="176"/>
      <c r="D99" s="176"/>
      <c r="E99" s="176"/>
      <c r="F99" s="176"/>
      <c r="G99" s="176"/>
      <c r="H99" s="176"/>
      <c r="I99" s="176"/>
    </row>
    <row r="100" spans="1:9" ht="15.75">
      <c r="A100" s="4"/>
    </row>
    <row r="101" spans="1:9" ht="15.75">
      <c r="B101" s="52" t="s">
        <v>10</v>
      </c>
      <c r="C101" s="177" t="s">
        <v>124</v>
      </c>
      <c r="D101" s="177"/>
      <c r="E101" s="177"/>
      <c r="F101" s="60"/>
      <c r="I101" s="54"/>
    </row>
    <row r="102" spans="1:9">
      <c r="A102" s="55"/>
      <c r="C102" s="178" t="s">
        <v>11</v>
      </c>
      <c r="D102" s="178"/>
      <c r="E102" s="178"/>
      <c r="F102" s="27"/>
      <c r="I102" s="53" t="s">
        <v>12</v>
      </c>
    </row>
    <row r="103" spans="1:9" ht="15.75">
      <c r="A103" s="28"/>
      <c r="C103" s="12"/>
      <c r="D103" s="12"/>
      <c r="G103" s="12"/>
      <c r="H103" s="12"/>
    </row>
    <row r="104" spans="1:9" ht="15.75">
      <c r="B104" s="52" t="s">
        <v>13</v>
      </c>
      <c r="C104" s="179"/>
      <c r="D104" s="179"/>
      <c r="E104" s="179"/>
      <c r="F104" s="61"/>
      <c r="I104" s="54"/>
    </row>
    <row r="105" spans="1:9">
      <c r="A105" s="55"/>
      <c r="C105" s="168" t="s">
        <v>11</v>
      </c>
      <c r="D105" s="168"/>
      <c r="E105" s="168"/>
      <c r="F105" s="55"/>
      <c r="I105" s="53" t="s">
        <v>12</v>
      </c>
    </row>
    <row r="106" spans="1:9" ht="15.75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7.25" customHeight="1">
      <c r="A108" s="173" t="s">
        <v>16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1.5" customHeight="1">
      <c r="A109" s="173" t="s">
        <v>17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1.5" customHeight="1">
      <c r="A110" s="173" t="s">
        <v>21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15.75">
      <c r="A111" s="173" t="s">
        <v>20</v>
      </c>
      <c r="B111" s="173"/>
      <c r="C111" s="173"/>
      <c r="D111" s="173"/>
      <c r="E111" s="173"/>
      <c r="F111" s="173"/>
      <c r="G111" s="173"/>
      <c r="H111" s="173"/>
      <c r="I111" s="173"/>
    </row>
  </sheetData>
  <autoFilter ref="I12:I62"/>
  <mergeCells count="29">
    <mergeCell ref="R67:U67"/>
    <mergeCell ref="A82:I82"/>
    <mergeCell ref="A3:I3"/>
    <mergeCell ref="A4:I4"/>
    <mergeCell ref="A5:I5"/>
    <mergeCell ref="A8:I8"/>
    <mergeCell ref="A10:I10"/>
    <mergeCell ref="A14:I14"/>
    <mergeCell ref="A97:I97"/>
    <mergeCell ref="A15:I15"/>
    <mergeCell ref="A28:I28"/>
    <mergeCell ref="A44:I44"/>
    <mergeCell ref="A55:I55"/>
    <mergeCell ref="A91:I91"/>
    <mergeCell ref="B92:G92"/>
    <mergeCell ref="B93:G93"/>
    <mergeCell ref="A95:I95"/>
    <mergeCell ref="A96:I96"/>
    <mergeCell ref="A87:I87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topLeftCell="A62" workbookViewId="0">
      <selection activeCell="B85" sqref="B85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144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201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43921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172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94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94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94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100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53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94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hidden="1" customHeight="1">
      <c r="A28" s="32">
        <v>7</v>
      </c>
      <c r="B28" s="71" t="s">
        <v>23</v>
      </c>
      <c r="C28" s="64" t="s">
        <v>24</v>
      </c>
      <c r="D28" s="63"/>
      <c r="E28" s="65">
        <v>1042.5999999999999</v>
      </c>
      <c r="F28" s="66">
        <f>SUM(E28*12)</f>
        <v>12511.199999999999</v>
      </c>
      <c r="G28" s="66">
        <v>6.15</v>
      </c>
      <c r="H28" s="67">
        <f>SUM(F28*G28/1000)</f>
        <v>76.943880000000007</v>
      </c>
      <c r="I28" s="13">
        <f>F28/12*G28</f>
        <v>6411.99</v>
      </c>
      <c r="J28" s="26"/>
    </row>
    <row r="29" spans="1:13" ht="15.75" customHeight="1">
      <c r="A29" s="165" t="s">
        <v>81</v>
      </c>
      <c r="B29" s="166"/>
      <c r="C29" s="166"/>
      <c r="D29" s="166"/>
      <c r="E29" s="166"/>
      <c r="F29" s="166"/>
      <c r="G29" s="166"/>
      <c r="H29" s="166"/>
      <c r="I29" s="167"/>
      <c r="J29" s="25"/>
      <c r="K29" s="8"/>
      <c r="L29" s="8"/>
      <c r="M29" s="8"/>
    </row>
    <row r="30" spans="1:13" ht="15.75" hidden="1" customHeight="1">
      <c r="A30" s="32"/>
      <c r="B30" s="84" t="s">
        <v>27</v>
      </c>
      <c r="C30" s="64"/>
      <c r="D30" s="63"/>
      <c r="E30" s="65"/>
      <c r="F30" s="66"/>
      <c r="G30" s="66"/>
      <c r="H30" s="67"/>
      <c r="I30" s="13"/>
      <c r="J30" s="25"/>
      <c r="K30" s="8"/>
      <c r="L30" s="8"/>
      <c r="M30" s="8"/>
    </row>
    <row r="31" spans="1:13" ht="31.5" hidden="1" customHeight="1">
      <c r="A31" s="32">
        <v>8</v>
      </c>
      <c r="B31" s="63" t="s">
        <v>107</v>
      </c>
      <c r="C31" s="64" t="s">
        <v>86</v>
      </c>
      <c r="D31" s="63" t="s">
        <v>103</v>
      </c>
      <c r="E31" s="66">
        <v>266.57</v>
      </c>
      <c r="F31" s="66">
        <f>SUM(E31*52/1000)</f>
        <v>13.86164</v>
      </c>
      <c r="G31" s="66">
        <v>146.79</v>
      </c>
      <c r="H31" s="67">
        <f t="shared" ref="H31:H36" si="1">SUM(F31*G31/1000)</f>
        <v>2.0347501356</v>
      </c>
      <c r="I31" s="13">
        <f t="shared" ref="I31:I34" si="2">F31/6*G31</f>
        <v>339.12502259999997</v>
      </c>
      <c r="J31" s="25"/>
      <c r="K31" s="8"/>
      <c r="L31" s="8"/>
      <c r="M31" s="8"/>
    </row>
    <row r="32" spans="1:13" ht="31.5" hidden="1" customHeight="1">
      <c r="A32" s="32">
        <v>9</v>
      </c>
      <c r="B32" s="63" t="s">
        <v>106</v>
      </c>
      <c r="C32" s="64" t="s">
        <v>86</v>
      </c>
      <c r="D32" s="63" t="s">
        <v>104</v>
      </c>
      <c r="E32" s="66">
        <v>48.03</v>
      </c>
      <c r="F32" s="66">
        <f>SUM(E32*78/1000)</f>
        <v>3.74634</v>
      </c>
      <c r="G32" s="66">
        <v>243.54</v>
      </c>
      <c r="H32" s="67">
        <f t="shared" si="1"/>
        <v>0.91238364360000002</v>
      </c>
      <c r="I32" s="13">
        <f t="shared" si="2"/>
        <v>152.0639406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26</v>
      </c>
      <c r="C33" s="64" t="s">
        <v>86</v>
      </c>
      <c r="D33" s="63" t="s">
        <v>53</v>
      </c>
      <c r="E33" s="66">
        <v>266.57</v>
      </c>
      <c r="F33" s="66">
        <f>SUM(E33/1000)</f>
        <v>0.26656999999999997</v>
      </c>
      <c r="G33" s="66">
        <v>2844</v>
      </c>
      <c r="H33" s="67">
        <f t="shared" si="1"/>
        <v>0.7581250799999999</v>
      </c>
      <c r="I33" s="13">
        <f>F33*G33</f>
        <v>758.12507999999991</v>
      </c>
      <c r="J33" s="25"/>
      <c r="K33" s="8"/>
      <c r="L33" s="8"/>
      <c r="M33" s="8"/>
    </row>
    <row r="34" spans="1:14" ht="15.75" hidden="1" customHeight="1">
      <c r="A34" s="32">
        <v>10</v>
      </c>
      <c r="B34" s="63" t="s">
        <v>105</v>
      </c>
      <c r="C34" s="64" t="s">
        <v>29</v>
      </c>
      <c r="D34" s="63" t="s">
        <v>62</v>
      </c>
      <c r="E34" s="70">
        <v>0.33333333333333331</v>
      </c>
      <c r="F34" s="66">
        <f>155/3</f>
        <v>51.666666666666664</v>
      </c>
      <c r="G34" s="66">
        <v>53.38</v>
      </c>
      <c r="H34" s="67">
        <f>SUM(G34*155/3/1000)</f>
        <v>2.7579666666666669</v>
      </c>
      <c r="I34" s="13">
        <f t="shared" si="2"/>
        <v>459.6611111111111</v>
      </c>
      <c r="J34" s="25"/>
      <c r="K34" s="8"/>
    </row>
    <row r="35" spans="1:14" ht="15.75" hidden="1" customHeight="1">
      <c r="A35" s="32"/>
      <c r="B35" s="63" t="s">
        <v>63</v>
      </c>
      <c r="C35" s="64" t="s">
        <v>31</v>
      </c>
      <c r="D35" s="63" t="s">
        <v>65</v>
      </c>
      <c r="E35" s="65"/>
      <c r="F35" s="66">
        <v>1</v>
      </c>
      <c r="G35" s="66">
        <v>180.15</v>
      </c>
      <c r="H35" s="67">
        <f t="shared" si="1"/>
        <v>0.18015</v>
      </c>
      <c r="I35" s="13">
        <v>0</v>
      </c>
      <c r="J35" s="26"/>
    </row>
    <row r="36" spans="1:14" ht="15.75" hidden="1" customHeight="1">
      <c r="A36" s="32"/>
      <c r="B36" s="63" t="s">
        <v>64</v>
      </c>
      <c r="C36" s="64" t="s">
        <v>30</v>
      </c>
      <c r="D36" s="63" t="s">
        <v>65</v>
      </c>
      <c r="E36" s="65"/>
      <c r="F36" s="66">
        <v>1</v>
      </c>
      <c r="G36" s="66">
        <v>1214.74</v>
      </c>
      <c r="H36" s="67">
        <f t="shared" si="1"/>
        <v>1.2147399999999999</v>
      </c>
      <c r="I36" s="13">
        <v>0</v>
      </c>
      <c r="J36" s="26"/>
    </row>
    <row r="37" spans="1:14" ht="15.75" customHeight="1">
      <c r="A37" s="32"/>
      <c r="B37" s="84" t="s">
        <v>5</v>
      </c>
      <c r="C37" s="64"/>
      <c r="D37" s="63"/>
      <c r="E37" s="65"/>
      <c r="F37" s="66"/>
      <c r="G37" s="66"/>
      <c r="H37" s="67" t="s">
        <v>132</v>
      </c>
      <c r="I37" s="13"/>
      <c r="J37" s="26"/>
    </row>
    <row r="38" spans="1:14" ht="15.75" customHeight="1">
      <c r="A38" s="32">
        <v>7</v>
      </c>
      <c r="B38" s="123" t="s">
        <v>25</v>
      </c>
      <c r="C38" s="105" t="s">
        <v>30</v>
      </c>
      <c r="D38" s="104" t="s">
        <v>202</v>
      </c>
      <c r="E38" s="121"/>
      <c r="F38" s="107">
        <v>3</v>
      </c>
      <c r="G38" s="107">
        <v>1930</v>
      </c>
      <c r="H38" s="67">
        <f t="shared" ref="H38:H43" si="3">SUM(F38*G38/1000)</f>
        <v>5.79</v>
      </c>
      <c r="I38" s="13">
        <f>G38*0.9</f>
        <v>1737</v>
      </c>
      <c r="J38" s="26"/>
    </row>
    <row r="39" spans="1:14" ht="15.75" customHeight="1">
      <c r="A39" s="32">
        <v>8</v>
      </c>
      <c r="B39" s="123" t="s">
        <v>108</v>
      </c>
      <c r="C39" s="124" t="s">
        <v>28</v>
      </c>
      <c r="D39" s="104" t="s">
        <v>170</v>
      </c>
      <c r="E39" s="121">
        <v>38.5</v>
      </c>
      <c r="F39" s="125">
        <f>E39*48/1000</f>
        <v>1.8480000000000001</v>
      </c>
      <c r="G39" s="107">
        <v>3134.93</v>
      </c>
      <c r="H39" s="67">
        <f>G39*F39/1000</f>
        <v>5.7933506399999999</v>
      </c>
      <c r="I39" s="13">
        <f t="shared" ref="I39:I41" si="4">F39/6*G39</f>
        <v>965.55843999999991</v>
      </c>
      <c r="J39" s="26"/>
      <c r="L39" s="19"/>
      <c r="M39" s="20"/>
      <c r="N39" s="21"/>
    </row>
    <row r="40" spans="1:14" ht="15.75" customHeight="1">
      <c r="A40" s="32">
        <v>9</v>
      </c>
      <c r="B40" s="104" t="s">
        <v>187</v>
      </c>
      <c r="C40" s="105" t="s">
        <v>28</v>
      </c>
      <c r="D40" s="104" t="s">
        <v>189</v>
      </c>
      <c r="E40" s="107">
        <v>38.5</v>
      </c>
      <c r="F40" s="125">
        <f>E40*72/1000</f>
        <v>2.7719999999999998</v>
      </c>
      <c r="G40" s="107">
        <v>522.92999999999995</v>
      </c>
      <c r="H40" s="67">
        <f t="shared" si="3"/>
        <v>1.4495619599999998</v>
      </c>
      <c r="I40" s="13">
        <f t="shared" si="4"/>
        <v>241.59365999999997</v>
      </c>
      <c r="J40" s="26"/>
      <c r="L40" s="19"/>
      <c r="M40" s="20"/>
      <c r="N40" s="21"/>
    </row>
    <row r="41" spans="1:14" ht="47.25" customHeight="1">
      <c r="A41" s="32">
        <v>10</v>
      </c>
      <c r="B41" s="104" t="s">
        <v>188</v>
      </c>
      <c r="C41" s="105" t="s">
        <v>86</v>
      </c>
      <c r="D41" s="104" t="s">
        <v>170</v>
      </c>
      <c r="E41" s="107">
        <v>38.5</v>
      </c>
      <c r="F41" s="125">
        <f>E41*48/1000</f>
        <v>1.8480000000000001</v>
      </c>
      <c r="G41" s="107">
        <v>8652.07</v>
      </c>
      <c r="H41" s="67">
        <f t="shared" si="3"/>
        <v>15.989025359999999</v>
      </c>
      <c r="I41" s="13">
        <f t="shared" si="4"/>
        <v>2664.8375599999999</v>
      </c>
      <c r="J41" s="26"/>
      <c r="L41" s="19"/>
      <c r="M41" s="20"/>
      <c r="N41" s="21"/>
    </row>
    <row r="42" spans="1:14" ht="15.75" hidden="1" customHeight="1">
      <c r="A42" s="32">
        <v>12</v>
      </c>
      <c r="B42" s="104" t="s">
        <v>87</v>
      </c>
      <c r="C42" s="105" t="s">
        <v>86</v>
      </c>
      <c r="D42" s="104" t="s">
        <v>175</v>
      </c>
      <c r="E42" s="107">
        <v>38.5</v>
      </c>
      <c r="F42" s="125">
        <f>SUM(E42*30/1000)</f>
        <v>1.155</v>
      </c>
      <c r="G42" s="107">
        <v>639.14</v>
      </c>
      <c r="H42" s="67">
        <f t="shared" si="3"/>
        <v>0.73820669999999999</v>
      </c>
      <c r="I42" s="13">
        <f>F42/7.5*G42</f>
        <v>98.42756</v>
      </c>
      <c r="J42" s="26"/>
      <c r="L42" s="19"/>
      <c r="M42" s="20"/>
      <c r="N42" s="21"/>
    </row>
    <row r="43" spans="1:14" ht="15.75" hidden="1" customHeight="1">
      <c r="A43" s="32">
        <v>13</v>
      </c>
      <c r="B43" s="123" t="s">
        <v>68</v>
      </c>
      <c r="C43" s="124" t="s">
        <v>31</v>
      </c>
      <c r="D43" s="123"/>
      <c r="E43" s="106"/>
      <c r="F43" s="125">
        <v>0.5</v>
      </c>
      <c r="G43" s="125">
        <v>900</v>
      </c>
      <c r="H43" s="67">
        <f t="shared" si="3"/>
        <v>0.45</v>
      </c>
      <c r="I43" s="13">
        <f>F43/7.5*G43</f>
        <v>60</v>
      </c>
      <c r="J43" s="26"/>
      <c r="L43" s="19"/>
      <c r="M43" s="20"/>
      <c r="N43" s="21"/>
    </row>
    <row r="44" spans="1:14" ht="35.25" customHeight="1">
      <c r="A44" s="32">
        <v>11</v>
      </c>
      <c r="B44" s="135" t="s">
        <v>190</v>
      </c>
      <c r="C44" s="124" t="s">
        <v>28</v>
      </c>
      <c r="D44" s="123" t="s">
        <v>191</v>
      </c>
      <c r="E44" s="106">
        <v>1.2</v>
      </c>
      <c r="F44" s="125">
        <f>E44*12/1000</f>
        <v>1.4399999999999998E-2</v>
      </c>
      <c r="G44" s="125">
        <v>20547.34</v>
      </c>
      <c r="H44" s="59"/>
      <c r="I44" s="13">
        <f>G44*F44/6</f>
        <v>49.313615999999996</v>
      </c>
      <c r="J44" s="26"/>
      <c r="L44" s="19"/>
      <c r="M44" s="20"/>
      <c r="N44" s="21"/>
    </row>
    <row r="45" spans="1:14" ht="15.75" hidden="1" customHeight="1">
      <c r="A45" s="165" t="s">
        <v>125</v>
      </c>
      <c r="B45" s="166"/>
      <c r="C45" s="166"/>
      <c r="D45" s="166"/>
      <c r="E45" s="166"/>
      <c r="F45" s="166"/>
      <c r="G45" s="166"/>
      <c r="H45" s="166"/>
      <c r="I45" s="167"/>
      <c r="J45" s="26"/>
      <c r="L45" s="19"/>
      <c r="M45" s="20"/>
      <c r="N45" s="21"/>
    </row>
    <row r="46" spans="1:14" ht="15.75" hidden="1" customHeight="1">
      <c r="A46" s="32"/>
      <c r="B46" s="63" t="s">
        <v>110</v>
      </c>
      <c r="C46" s="64" t="s">
        <v>86</v>
      </c>
      <c r="D46" s="63" t="s">
        <v>41</v>
      </c>
      <c r="E46" s="65">
        <v>636.25</v>
      </c>
      <c r="F46" s="66">
        <f>SUM(E46*2/1000)</f>
        <v>1.2725</v>
      </c>
      <c r="G46" s="13">
        <v>762.53</v>
      </c>
      <c r="H46" s="67">
        <f t="shared" ref="H46:H55" si="5">SUM(F46*G46/1000)</f>
        <v>0.9703194249999999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34</v>
      </c>
      <c r="C47" s="64" t="s">
        <v>86</v>
      </c>
      <c r="D47" s="63" t="s">
        <v>41</v>
      </c>
      <c r="E47" s="65">
        <v>26</v>
      </c>
      <c r="F47" s="66">
        <f>SUM(E47*2/1000)</f>
        <v>5.1999999999999998E-2</v>
      </c>
      <c r="G47" s="13">
        <v>545.65</v>
      </c>
      <c r="H47" s="67">
        <f t="shared" si="5"/>
        <v>2.8373799999999998E-2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35</v>
      </c>
      <c r="C48" s="64" t="s">
        <v>86</v>
      </c>
      <c r="D48" s="63" t="s">
        <v>41</v>
      </c>
      <c r="E48" s="65">
        <v>579</v>
      </c>
      <c r="F48" s="66">
        <f>SUM(E48*2/1000)</f>
        <v>1.1579999999999999</v>
      </c>
      <c r="G48" s="13">
        <v>545.65</v>
      </c>
      <c r="H48" s="67">
        <f t="shared" si="5"/>
        <v>0.63186269999999989</v>
      </c>
      <c r="I48" s="13">
        <v>0</v>
      </c>
      <c r="J48" s="26"/>
      <c r="L48" s="19"/>
      <c r="M48" s="20"/>
      <c r="N48" s="21"/>
    </row>
    <row r="49" spans="1:14" ht="15.75" hidden="1" customHeight="1">
      <c r="A49" s="32"/>
      <c r="B49" s="63" t="s">
        <v>36</v>
      </c>
      <c r="C49" s="64" t="s">
        <v>86</v>
      </c>
      <c r="D49" s="63" t="s">
        <v>41</v>
      </c>
      <c r="E49" s="65">
        <v>683.33</v>
      </c>
      <c r="F49" s="66">
        <f>SUM(E49*2/1000)</f>
        <v>1.36666</v>
      </c>
      <c r="G49" s="13">
        <v>571.35</v>
      </c>
      <c r="H49" s="67">
        <f t="shared" si="5"/>
        <v>0.78084119099999993</v>
      </c>
      <c r="I49" s="13">
        <v>0</v>
      </c>
      <c r="J49" s="26"/>
      <c r="L49" s="19"/>
      <c r="M49" s="20"/>
      <c r="N49" s="21"/>
    </row>
    <row r="50" spans="1:14" ht="15.75" hidden="1" customHeight="1">
      <c r="A50" s="32"/>
      <c r="B50" s="63" t="s">
        <v>32</v>
      </c>
      <c r="C50" s="64" t="s">
        <v>33</v>
      </c>
      <c r="D50" s="63" t="s">
        <v>41</v>
      </c>
      <c r="E50" s="65">
        <v>44.11</v>
      </c>
      <c r="F50" s="66">
        <f>SUM(E50*2/100)</f>
        <v>0.88219999999999998</v>
      </c>
      <c r="G50" s="13">
        <v>68.56</v>
      </c>
      <c r="H50" s="67">
        <f t="shared" si="5"/>
        <v>6.0483632000000002E-2</v>
      </c>
      <c r="I50" s="13">
        <v>0</v>
      </c>
      <c r="J50" s="26"/>
      <c r="L50" s="19"/>
      <c r="M50" s="20"/>
      <c r="N50" s="21"/>
    </row>
    <row r="51" spans="1:14" ht="15.75" hidden="1" customHeight="1">
      <c r="A51" s="32">
        <v>14</v>
      </c>
      <c r="B51" s="63" t="s">
        <v>55</v>
      </c>
      <c r="C51" s="64" t="s">
        <v>86</v>
      </c>
      <c r="D51" s="63" t="s">
        <v>126</v>
      </c>
      <c r="E51" s="65">
        <v>1140</v>
      </c>
      <c r="F51" s="66">
        <f>SUM(E51*5/1000)</f>
        <v>5.7</v>
      </c>
      <c r="G51" s="13">
        <v>1142.7</v>
      </c>
      <c r="H51" s="67">
        <f t="shared" si="5"/>
        <v>6.5133900000000002</v>
      </c>
      <c r="I51" s="13">
        <f>F51/5*G51</f>
        <v>1302.6780000000001</v>
      </c>
      <c r="J51" s="26"/>
      <c r="L51" s="19"/>
      <c r="M51" s="20"/>
      <c r="N51" s="21"/>
    </row>
    <row r="52" spans="1:14" ht="31.5" hidden="1" customHeight="1">
      <c r="A52" s="32"/>
      <c r="B52" s="63" t="s">
        <v>88</v>
      </c>
      <c r="C52" s="64" t="s">
        <v>86</v>
      </c>
      <c r="D52" s="63" t="s">
        <v>41</v>
      </c>
      <c r="E52" s="65">
        <v>1140</v>
      </c>
      <c r="F52" s="66">
        <f>SUM(E52*2/1000)</f>
        <v>2.2799999999999998</v>
      </c>
      <c r="G52" s="13">
        <v>1142.7</v>
      </c>
      <c r="H52" s="67">
        <f t="shared" si="5"/>
        <v>2.6053559999999996</v>
      </c>
      <c r="I52" s="13">
        <v>0</v>
      </c>
      <c r="J52" s="26"/>
      <c r="L52" s="19"/>
      <c r="M52" s="20"/>
      <c r="N52" s="21"/>
    </row>
    <row r="53" spans="1:14" ht="31.5" hidden="1" customHeight="1">
      <c r="A53" s="32"/>
      <c r="B53" s="63" t="s">
        <v>89</v>
      </c>
      <c r="C53" s="64" t="s">
        <v>37</v>
      </c>
      <c r="D53" s="63" t="s">
        <v>41</v>
      </c>
      <c r="E53" s="65">
        <v>9</v>
      </c>
      <c r="F53" s="66">
        <f>SUM(E53*2/100)</f>
        <v>0.18</v>
      </c>
      <c r="G53" s="13">
        <v>2571.08</v>
      </c>
      <c r="H53" s="67">
        <f t="shared" si="5"/>
        <v>0.46279439999999999</v>
      </c>
      <c r="I53" s="13">
        <v>0</v>
      </c>
      <c r="J53" s="26"/>
      <c r="L53" s="19"/>
      <c r="M53" s="20"/>
      <c r="N53" s="21"/>
    </row>
    <row r="54" spans="1:14" ht="15.75" hidden="1" customHeight="1">
      <c r="A54" s="32"/>
      <c r="B54" s="63" t="s">
        <v>38</v>
      </c>
      <c r="C54" s="64" t="s">
        <v>39</v>
      </c>
      <c r="D54" s="63" t="s">
        <v>41</v>
      </c>
      <c r="E54" s="65">
        <v>1</v>
      </c>
      <c r="F54" s="66">
        <v>0.02</v>
      </c>
      <c r="G54" s="13">
        <v>5322.15</v>
      </c>
      <c r="H54" s="67">
        <f t="shared" si="5"/>
        <v>0.106443</v>
      </c>
      <c r="I54" s="13">
        <v>0</v>
      </c>
      <c r="J54" s="26"/>
      <c r="L54" s="19"/>
      <c r="M54" s="20"/>
      <c r="N54" s="21"/>
    </row>
    <row r="55" spans="1:14" ht="15.75" hidden="1" customHeight="1">
      <c r="A55" s="32">
        <v>15</v>
      </c>
      <c r="B55" s="63" t="s">
        <v>40</v>
      </c>
      <c r="C55" s="64" t="s">
        <v>111</v>
      </c>
      <c r="D55" s="63" t="s">
        <v>69</v>
      </c>
      <c r="E55" s="65">
        <v>36</v>
      </c>
      <c r="F55" s="66">
        <f>SUM(E55)*3</f>
        <v>108</v>
      </c>
      <c r="G55" s="13">
        <v>61.84</v>
      </c>
      <c r="H55" s="67">
        <f t="shared" si="5"/>
        <v>6.6787200000000002</v>
      </c>
      <c r="I55" s="13">
        <f>E55*G55</f>
        <v>2226.2400000000002</v>
      </c>
      <c r="J55" s="26"/>
      <c r="L55" s="19"/>
      <c r="M55" s="20"/>
      <c r="N55" s="21"/>
    </row>
    <row r="56" spans="1:14" ht="18" customHeight="1">
      <c r="A56" s="165" t="s">
        <v>145</v>
      </c>
      <c r="B56" s="166"/>
      <c r="C56" s="166"/>
      <c r="D56" s="166"/>
      <c r="E56" s="166"/>
      <c r="F56" s="166"/>
      <c r="G56" s="166"/>
      <c r="H56" s="166"/>
      <c r="I56" s="167"/>
      <c r="J56" s="26"/>
      <c r="L56" s="19"/>
      <c r="M56" s="20"/>
      <c r="N56" s="21"/>
    </row>
    <row r="57" spans="1:14" ht="19.5" customHeight="1">
      <c r="A57" s="32"/>
      <c r="B57" s="84" t="s">
        <v>42</v>
      </c>
      <c r="C57" s="64"/>
      <c r="D57" s="63"/>
      <c r="E57" s="65"/>
      <c r="F57" s="66"/>
      <c r="G57" s="66"/>
      <c r="H57" s="67"/>
      <c r="I57" s="13"/>
      <c r="J57" s="26"/>
      <c r="L57" s="19"/>
      <c r="M57" s="20"/>
      <c r="N57" s="21"/>
    </row>
    <row r="58" spans="1:14" ht="31.5" customHeight="1">
      <c r="A58" s="32">
        <v>12</v>
      </c>
      <c r="B58" s="63" t="s">
        <v>112</v>
      </c>
      <c r="C58" s="64" t="s">
        <v>83</v>
      </c>
      <c r="D58" s="63"/>
      <c r="E58" s="65">
        <v>72.33</v>
      </c>
      <c r="F58" s="66">
        <f>SUM(E58*6/100)</f>
        <v>4.3398000000000003</v>
      </c>
      <c r="G58" s="136">
        <v>2306.83</v>
      </c>
      <c r="H58" s="67">
        <f>SUM(F58*G58/1000)</f>
        <v>10.011180834000001</v>
      </c>
      <c r="I58" s="13">
        <f>G58*0.1</f>
        <v>230.68299999999999</v>
      </c>
      <c r="J58" s="26"/>
      <c r="L58" s="19"/>
      <c r="M58" s="20"/>
      <c r="N58" s="21"/>
    </row>
    <row r="59" spans="1:14" ht="15.75" customHeight="1">
      <c r="A59" s="32">
        <v>13</v>
      </c>
      <c r="B59" s="104" t="s">
        <v>137</v>
      </c>
      <c r="C59" s="105" t="s">
        <v>138</v>
      </c>
      <c r="D59" s="104" t="s">
        <v>203</v>
      </c>
      <c r="E59" s="121"/>
      <c r="F59" s="137">
        <v>2</v>
      </c>
      <c r="G59" s="36">
        <v>1800</v>
      </c>
      <c r="H59" s="67"/>
      <c r="I59" s="13">
        <f>G59*1</f>
        <v>1800</v>
      </c>
      <c r="J59" s="26"/>
      <c r="L59" s="19"/>
      <c r="M59" s="20"/>
      <c r="N59" s="21"/>
    </row>
    <row r="60" spans="1:14" ht="18" customHeight="1">
      <c r="A60" s="32"/>
      <c r="B60" s="84" t="s">
        <v>43</v>
      </c>
      <c r="C60" s="64"/>
      <c r="D60" s="63"/>
      <c r="E60" s="65"/>
      <c r="F60" s="66"/>
      <c r="G60" s="59"/>
      <c r="H60" s="67"/>
      <c r="I60" s="13"/>
      <c r="J60" s="26"/>
      <c r="L60" s="19"/>
      <c r="M60" s="20"/>
      <c r="N60" s="21"/>
    </row>
    <row r="61" spans="1:14" ht="21.75" hidden="1" customHeight="1">
      <c r="A61" s="32"/>
      <c r="B61" s="63" t="s">
        <v>114</v>
      </c>
      <c r="C61" s="64"/>
      <c r="D61" s="63" t="s">
        <v>53</v>
      </c>
      <c r="E61" s="65">
        <v>952</v>
      </c>
      <c r="F61" s="67">
        <v>9.52</v>
      </c>
      <c r="G61" s="13">
        <v>848.37</v>
      </c>
      <c r="H61" s="72">
        <f>F61*G61/1000</f>
        <v>8.0764823999999997</v>
      </c>
      <c r="I61" s="13">
        <v>0</v>
      </c>
      <c r="J61" s="26"/>
      <c r="L61" s="19"/>
    </row>
    <row r="62" spans="1:14" ht="16.5" customHeight="1">
      <c r="A62" s="32">
        <v>14</v>
      </c>
      <c r="B62" s="109" t="s">
        <v>162</v>
      </c>
      <c r="C62" s="110" t="s">
        <v>163</v>
      </c>
      <c r="D62" s="109" t="s">
        <v>172</v>
      </c>
      <c r="E62" s="126">
        <v>100</v>
      </c>
      <c r="F62" s="36">
        <f>E62*12</f>
        <v>1200</v>
      </c>
      <c r="G62" s="36">
        <v>1.4</v>
      </c>
      <c r="H62" s="119"/>
      <c r="I62" s="13">
        <f>G62*F62/12</f>
        <v>140</v>
      </c>
      <c r="J62" s="26"/>
      <c r="L62" s="19"/>
    </row>
    <row r="63" spans="1:14" ht="21" hidden="1" customHeight="1">
      <c r="A63" s="32"/>
      <c r="B63" s="85" t="s">
        <v>44</v>
      </c>
      <c r="C63" s="73"/>
      <c r="D63" s="74"/>
      <c r="E63" s="75"/>
      <c r="F63" s="76"/>
      <c r="G63" s="76"/>
      <c r="H63" s="77" t="s">
        <v>132</v>
      </c>
      <c r="I63" s="13"/>
    </row>
    <row r="64" spans="1:14" ht="22.5" hidden="1" customHeight="1">
      <c r="A64" s="32">
        <v>17</v>
      </c>
      <c r="B64" s="14" t="s">
        <v>45</v>
      </c>
      <c r="C64" s="16" t="s">
        <v>111</v>
      </c>
      <c r="D64" s="14" t="s">
        <v>65</v>
      </c>
      <c r="E64" s="18">
        <v>5</v>
      </c>
      <c r="F64" s="66">
        <v>5</v>
      </c>
      <c r="G64" s="13">
        <v>237.74</v>
      </c>
      <c r="H64" s="78">
        <f t="shared" ref="H64:H81" si="6">SUM(F64*G64/1000)</f>
        <v>1.1887000000000001</v>
      </c>
      <c r="I64" s="13">
        <f>G64</f>
        <v>237.74</v>
      </c>
    </row>
    <row r="65" spans="1:22" ht="21" hidden="1" customHeight="1">
      <c r="A65" s="32"/>
      <c r="B65" s="14" t="s">
        <v>46</v>
      </c>
      <c r="C65" s="16" t="s">
        <v>111</v>
      </c>
      <c r="D65" s="14" t="s">
        <v>65</v>
      </c>
      <c r="E65" s="18">
        <v>2</v>
      </c>
      <c r="F65" s="66">
        <v>2</v>
      </c>
      <c r="G65" s="13">
        <v>81.510000000000005</v>
      </c>
      <c r="H65" s="78">
        <f t="shared" si="6"/>
        <v>0.16302</v>
      </c>
      <c r="I65" s="13">
        <v>0</v>
      </c>
    </row>
    <row r="66" spans="1:22" ht="21" hidden="1" customHeight="1">
      <c r="A66" s="32"/>
      <c r="B66" s="14" t="s">
        <v>47</v>
      </c>
      <c r="C66" s="16" t="s">
        <v>115</v>
      </c>
      <c r="D66" s="14" t="s">
        <v>53</v>
      </c>
      <c r="E66" s="65">
        <v>4292</v>
      </c>
      <c r="F66" s="13">
        <f>SUM(E66/100)</f>
        <v>42.92</v>
      </c>
      <c r="G66" s="13">
        <v>226.79</v>
      </c>
      <c r="H66" s="78">
        <f t="shared" si="6"/>
        <v>9.733826800000001</v>
      </c>
      <c r="I66" s="13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33" hidden="1" customHeight="1">
      <c r="A67" s="32"/>
      <c r="B67" s="14" t="s">
        <v>48</v>
      </c>
      <c r="C67" s="16" t="s">
        <v>116</v>
      </c>
      <c r="D67" s="14"/>
      <c r="E67" s="65">
        <v>4292</v>
      </c>
      <c r="F67" s="13">
        <f>SUM(E67/1000)</f>
        <v>4.2919999999999998</v>
      </c>
      <c r="G67" s="13">
        <v>176.61</v>
      </c>
      <c r="H67" s="78">
        <f t="shared" si="6"/>
        <v>0.75801012000000001</v>
      </c>
      <c r="I67" s="13">
        <v>0</v>
      </c>
      <c r="J67" s="28"/>
      <c r="K67" s="28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7.75" hidden="1" customHeight="1">
      <c r="A68" s="32"/>
      <c r="B68" s="14" t="s">
        <v>49</v>
      </c>
      <c r="C68" s="16" t="s">
        <v>75</v>
      </c>
      <c r="D68" s="14" t="s">
        <v>53</v>
      </c>
      <c r="E68" s="65">
        <v>510</v>
      </c>
      <c r="F68" s="13">
        <f>SUM(E68/100)</f>
        <v>5.0999999999999996</v>
      </c>
      <c r="G68" s="13">
        <v>2217.7800000000002</v>
      </c>
      <c r="H68" s="78">
        <f t="shared" si="6"/>
        <v>11.310677999999999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6.5" hidden="1" customHeight="1">
      <c r="A69" s="32"/>
      <c r="B69" s="79" t="s">
        <v>117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42.67</v>
      </c>
      <c r="H69" s="78">
        <f t="shared" si="6"/>
        <v>0.19628199999999998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168"/>
      <c r="S69" s="168"/>
      <c r="T69" s="168"/>
      <c r="U69" s="168"/>
    </row>
    <row r="70" spans="1:22" ht="20.25" hidden="1" customHeight="1">
      <c r="A70" s="32"/>
      <c r="B70" s="79" t="s">
        <v>118</v>
      </c>
      <c r="C70" s="16" t="s">
        <v>31</v>
      </c>
      <c r="D70" s="14"/>
      <c r="E70" s="65">
        <v>4.5999999999999996</v>
      </c>
      <c r="F70" s="13">
        <f>SUM(E70)</f>
        <v>4.5999999999999996</v>
      </c>
      <c r="G70" s="13">
        <v>39.81</v>
      </c>
      <c r="H70" s="78">
        <f t="shared" si="6"/>
        <v>0.18312600000000001</v>
      </c>
      <c r="I70" s="13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21.75" hidden="1" customHeight="1">
      <c r="A71" s="32"/>
      <c r="B71" s="14" t="s">
        <v>56</v>
      </c>
      <c r="C71" s="16" t="s">
        <v>57</v>
      </c>
      <c r="D71" s="14" t="s">
        <v>53</v>
      </c>
      <c r="E71" s="18">
        <v>3</v>
      </c>
      <c r="F71" s="66">
        <v>3</v>
      </c>
      <c r="G71" s="13">
        <v>53.32</v>
      </c>
      <c r="H71" s="78">
        <f t="shared" si="6"/>
        <v>0.15996000000000002</v>
      </c>
      <c r="I71" s="13">
        <v>0</v>
      </c>
    </row>
    <row r="72" spans="1:22" ht="21.75" customHeight="1">
      <c r="A72" s="32"/>
      <c r="B72" s="116" t="s">
        <v>194</v>
      </c>
      <c r="C72" s="16"/>
      <c r="D72" s="14"/>
      <c r="E72" s="18"/>
      <c r="F72" s="59"/>
      <c r="G72" s="13"/>
      <c r="H72" s="78"/>
      <c r="I72" s="13"/>
    </row>
    <row r="73" spans="1:22" ht="33.75" customHeight="1">
      <c r="A73" s="32">
        <v>15</v>
      </c>
      <c r="B73" s="127" t="s">
        <v>192</v>
      </c>
      <c r="C73" s="128" t="s">
        <v>193</v>
      </c>
      <c r="D73" s="129"/>
      <c r="E73" s="17">
        <v>1042.5999999999999</v>
      </c>
      <c r="F73" s="130">
        <f>E73*12</f>
        <v>12511.199999999999</v>
      </c>
      <c r="G73" s="130">
        <v>2.6</v>
      </c>
      <c r="H73" s="78"/>
      <c r="I73" s="13">
        <f>G73*F73/12</f>
        <v>2710.7599999999998</v>
      </c>
    </row>
    <row r="74" spans="1:22" ht="21.75" customHeight="1">
      <c r="A74" s="32"/>
      <c r="B74" s="50" t="s">
        <v>70</v>
      </c>
      <c r="C74" s="16"/>
      <c r="D74" s="14"/>
      <c r="E74" s="18"/>
      <c r="F74" s="13"/>
      <c r="G74" s="13"/>
      <c r="H74" s="78" t="s">
        <v>132</v>
      </c>
      <c r="I74" s="13"/>
    </row>
    <row r="75" spans="1:22" ht="20.25" hidden="1" customHeight="1">
      <c r="A75" s="32"/>
      <c r="B75" s="14" t="s">
        <v>71</v>
      </c>
      <c r="C75" s="16" t="s">
        <v>73</v>
      </c>
      <c r="D75" s="14"/>
      <c r="E75" s="18">
        <v>2</v>
      </c>
      <c r="F75" s="13">
        <v>0.2</v>
      </c>
      <c r="G75" s="13">
        <v>536.23</v>
      </c>
      <c r="H75" s="78">
        <f t="shared" si="6"/>
        <v>0.10724600000000001</v>
      </c>
      <c r="I75" s="13">
        <v>0</v>
      </c>
    </row>
    <row r="76" spans="1:22" ht="19.5" hidden="1" customHeight="1">
      <c r="A76" s="32"/>
      <c r="B76" s="14" t="s">
        <v>72</v>
      </c>
      <c r="C76" s="16" t="s">
        <v>29</v>
      </c>
      <c r="D76" s="14"/>
      <c r="E76" s="18">
        <v>1</v>
      </c>
      <c r="F76" s="59">
        <v>1</v>
      </c>
      <c r="G76" s="13">
        <v>911.85</v>
      </c>
      <c r="H76" s="78">
        <f t="shared" si="6"/>
        <v>0.91185000000000005</v>
      </c>
      <c r="I76" s="13">
        <v>0</v>
      </c>
    </row>
    <row r="77" spans="1:22" ht="21" hidden="1" customHeight="1">
      <c r="A77" s="32"/>
      <c r="B77" s="14" t="s">
        <v>133</v>
      </c>
      <c r="C77" s="16" t="s">
        <v>134</v>
      </c>
      <c r="D77" s="14"/>
      <c r="E77" s="18"/>
      <c r="F77" s="13"/>
      <c r="G77" s="13">
        <v>31.54</v>
      </c>
      <c r="H77" s="78">
        <f t="shared" si="6"/>
        <v>0</v>
      </c>
      <c r="I77" s="13"/>
    </row>
    <row r="78" spans="1:22" ht="18.75" hidden="1" customHeight="1">
      <c r="A78" s="32"/>
      <c r="B78" s="14" t="s">
        <v>120</v>
      </c>
      <c r="C78" s="16" t="s">
        <v>29</v>
      </c>
      <c r="D78" s="14"/>
      <c r="E78" s="18">
        <v>1</v>
      </c>
      <c r="F78" s="13">
        <v>1</v>
      </c>
      <c r="G78" s="13">
        <v>383.25</v>
      </c>
      <c r="H78" s="78">
        <f>G78*F78/1000</f>
        <v>0.38324999999999998</v>
      </c>
      <c r="I78" s="13">
        <v>0</v>
      </c>
    </row>
    <row r="79" spans="1:22" ht="18.75" customHeight="1">
      <c r="A79" s="32">
        <v>16</v>
      </c>
      <c r="B79" s="102" t="s">
        <v>195</v>
      </c>
      <c r="C79" s="103" t="s">
        <v>29</v>
      </c>
      <c r="D79" s="102" t="s">
        <v>173</v>
      </c>
      <c r="E79" s="17">
        <v>1</v>
      </c>
      <c r="F79" s="36">
        <f>E79*12</f>
        <v>12</v>
      </c>
      <c r="G79" s="36">
        <v>420</v>
      </c>
      <c r="H79" s="78"/>
      <c r="I79" s="13">
        <f>G79*F79/12</f>
        <v>420</v>
      </c>
    </row>
    <row r="80" spans="1:22" ht="23.25" hidden="1" customHeight="1">
      <c r="A80" s="32"/>
      <c r="B80" s="81" t="s">
        <v>74</v>
      </c>
      <c r="C80" s="16"/>
      <c r="D80" s="14"/>
      <c r="E80" s="18"/>
      <c r="F80" s="13"/>
      <c r="G80" s="13" t="s">
        <v>132</v>
      </c>
      <c r="H80" s="78" t="s">
        <v>132</v>
      </c>
      <c r="I80" s="13"/>
    </row>
    <row r="81" spans="1:9" ht="18" hidden="1" customHeight="1">
      <c r="A81" s="32"/>
      <c r="B81" s="44" t="s">
        <v>142</v>
      </c>
      <c r="C81" s="16" t="s">
        <v>75</v>
      </c>
      <c r="D81" s="14"/>
      <c r="E81" s="18"/>
      <c r="F81" s="13">
        <v>0.1</v>
      </c>
      <c r="G81" s="13">
        <v>2949.85</v>
      </c>
      <c r="H81" s="78">
        <f t="shared" si="6"/>
        <v>0.294985</v>
      </c>
      <c r="I81" s="13">
        <v>0</v>
      </c>
    </row>
    <row r="82" spans="1:9" ht="19.5" hidden="1" customHeight="1">
      <c r="A82" s="32"/>
      <c r="B82" s="88" t="s">
        <v>90</v>
      </c>
      <c r="C82" s="88"/>
      <c r="D82" s="88"/>
      <c r="E82" s="88"/>
      <c r="F82" s="88"/>
      <c r="G82" s="69"/>
      <c r="H82" s="82">
        <f>SUM(H58:H81)</f>
        <v>43.478597153999992</v>
      </c>
      <c r="I82" s="69"/>
    </row>
    <row r="83" spans="1:9" ht="20.25" hidden="1" customHeight="1">
      <c r="A83" s="32"/>
      <c r="B83" s="86" t="s">
        <v>119</v>
      </c>
      <c r="C83" s="23"/>
      <c r="D83" s="22"/>
      <c r="E83" s="83"/>
      <c r="F83" s="87">
        <v>1</v>
      </c>
      <c r="G83" s="13">
        <v>3124.9</v>
      </c>
      <c r="H83" s="78">
        <f>G83*F83/1000</f>
        <v>3.1249000000000002</v>
      </c>
      <c r="I83" s="13">
        <v>0</v>
      </c>
    </row>
    <row r="84" spans="1:9" ht="15.75" customHeight="1">
      <c r="A84" s="165" t="s">
        <v>146</v>
      </c>
      <c r="B84" s="166"/>
      <c r="C84" s="166"/>
      <c r="D84" s="166"/>
      <c r="E84" s="166"/>
      <c r="F84" s="166"/>
      <c r="G84" s="166"/>
      <c r="H84" s="166"/>
      <c r="I84" s="167"/>
    </row>
    <row r="85" spans="1:9" ht="15.75" customHeight="1">
      <c r="A85" s="32">
        <v>17</v>
      </c>
      <c r="B85" s="104" t="s">
        <v>121</v>
      </c>
      <c r="C85" s="103" t="s">
        <v>54</v>
      </c>
      <c r="D85" s="49"/>
      <c r="E85" s="36">
        <v>1042.5999999999999</v>
      </c>
      <c r="F85" s="36">
        <f>SUM(E85*12)</f>
        <v>12511.199999999999</v>
      </c>
      <c r="G85" s="36">
        <v>3.5</v>
      </c>
      <c r="H85" s="78">
        <f>SUM(F85*G85/1000)</f>
        <v>43.789199999999994</v>
      </c>
      <c r="I85" s="13">
        <f>G85*F85/12</f>
        <v>3649.1</v>
      </c>
    </row>
    <row r="86" spans="1:9" ht="31.5" customHeight="1">
      <c r="A86" s="32">
        <v>18</v>
      </c>
      <c r="B86" s="102" t="s">
        <v>196</v>
      </c>
      <c r="C86" s="103" t="s">
        <v>54</v>
      </c>
      <c r="D86" s="96"/>
      <c r="E86" s="121">
        <f>E85</f>
        <v>1042.5999999999999</v>
      </c>
      <c r="F86" s="36">
        <f>E86*12</f>
        <v>12511.199999999999</v>
      </c>
      <c r="G86" s="36">
        <v>3.2</v>
      </c>
      <c r="H86" s="78">
        <f>F86*G86/1000</f>
        <v>40.035839999999993</v>
      </c>
      <c r="I86" s="13">
        <f>G86*F86/12</f>
        <v>3336.3199999999997</v>
      </c>
    </row>
    <row r="87" spans="1:9" ht="15.75" customHeight="1">
      <c r="A87" s="32"/>
      <c r="B87" s="37" t="s">
        <v>78</v>
      </c>
      <c r="C87" s="81"/>
      <c r="D87" s="80"/>
      <c r="E87" s="69"/>
      <c r="F87" s="69"/>
      <c r="G87" s="69"/>
      <c r="H87" s="82">
        <f>H86</f>
        <v>40.035839999999993</v>
      </c>
      <c r="I87" s="69">
        <f>I86+I85+I79+I73+I62+I59+I58+I44+I41+I40+I39+I38+I27+I21+I20+I18+I17+I16</f>
        <v>22179.327008000004</v>
      </c>
    </row>
    <row r="88" spans="1:9" ht="15.75" customHeight="1">
      <c r="A88" s="170" t="s">
        <v>59</v>
      </c>
      <c r="B88" s="171"/>
      <c r="C88" s="171"/>
      <c r="D88" s="171"/>
      <c r="E88" s="171"/>
      <c r="F88" s="171"/>
      <c r="G88" s="171"/>
      <c r="H88" s="171"/>
      <c r="I88" s="172"/>
    </row>
    <row r="89" spans="1:9">
      <c r="A89" s="32"/>
      <c r="B89" s="42" t="s">
        <v>50</v>
      </c>
      <c r="C89" s="38"/>
      <c r="D89" s="45"/>
      <c r="E89" s="38">
        <v>1</v>
      </c>
      <c r="F89" s="38"/>
      <c r="G89" s="38"/>
      <c r="H89" s="38"/>
      <c r="I89" s="34">
        <v>0</v>
      </c>
    </row>
    <row r="90" spans="1:9" ht="16.5" customHeight="1">
      <c r="A90" s="32"/>
      <c r="B90" s="44" t="s">
        <v>77</v>
      </c>
      <c r="C90" s="15"/>
      <c r="D90" s="15"/>
      <c r="E90" s="39"/>
      <c r="F90" s="39"/>
      <c r="G90" s="40"/>
      <c r="H90" s="40"/>
      <c r="I90" s="17">
        <v>0</v>
      </c>
    </row>
    <row r="91" spans="1:9" ht="16.5" customHeight="1">
      <c r="A91" s="46"/>
      <c r="B91" s="43" t="s">
        <v>156</v>
      </c>
      <c r="C91" s="35"/>
      <c r="D91" s="35"/>
      <c r="E91" s="35"/>
      <c r="F91" s="35"/>
      <c r="G91" s="35"/>
      <c r="H91" s="35"/>
      <c r="I91" s="41">
        <f>I87+I89</f>
        <v>22179.327008000004</v>
      </c>
    </row>
    <row r="92" spans="1:9" ht="15.75" customHeight="1">
      <c r="A92" s="180" t="s">
        <v>204</v>
      </c>
      <c r="B92" s="180"/>
      <c r="C92" s="180"/>
      <c r="D92" s="180"/>
      <c r="E92" s="180"/>
      <c r="F92" s="180"/>
      <c r="G92" s="180"/>
      <c r="H92" s="180"/>
      <c r="I92" s="180"/>
    </row>
    <row r="93" spans="1:9" ht="15.75" customHeight="1">
      <c r="A93" s="56"/>
      <c r="B93" s="181" t="s">
        <v>205</v>
      </c>
      <c r="C93" s="181"/>
      <c r="D93" s="181"/>
      <c r="E93" s="181"/>
      <c r="F93" s="181"/>
      <c r="G93" s="181"/>
      <c r="H93" s="62"/>
      <c r="I93" s="3"/>
    </row>
    <row r="94" spans="1:9">
      <c r="A94" s="55"/>
      <c r="B94" s="178" t="s">
        <v>6</v>
      </c>
      <c r="C94" s="178"/>
      <c r="D94" s="178"/>
      <c r="E94" s="178"/>
      <c r="F94" s="178"/>
      <c r="G94" s="178"/>
      <c r="H94" s="27"/>
      <c r="I94" s="5"/>
    </row>
    <row r="95" spans="1:9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4" t="s">
        <v>7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4" t="s">
        <v>8</v>
      </c>
      <c r="B97" s="174"/>
      <c r="C97" s="174"/>
      <c r="D97" s="174"/>
      <c r="E97" s="174"/>
      <c r="F97" s="174"/>
      <c r="G97" s="174"/>
      <c r="H97" s="174"/>
      <c r="I97" s="174"/>
    </row>
    <row r="98" spans="1:9" ht="15.75">
      <c r="A98" s="175" t="s">
        <v>60</v>
      </c>
      <c r="B98" s="175"/>
      <c r="C98" s="175"/>
      <c r="D98" s="175"/>
      <c r="E98" s="175"/>
      <c r="F98" s="175"/>
      <c r="G98" s="175"/>
      <c r="H98" s="175"/>
      <c r="I98" s="175"/>
    </row>
    <row r="99" spans="1:9" ht="15.75">
      <c r="A99" s="11"/>
    </row>
    <row r="100" spans="1:9" ht="15.75">
      <c r="A100" s="176" t="s">
        <v>9</v>
      </c>
      <c r="B100" s="176"/>
      <c r="C100" s="176"/>
      <c r="D100" s="176"/>
      <c r="E100" s="176"/>
      <c r="F100" s="176"/>
      <c r="G100" s="176"/>
      <c r="H100" s="176"/>
      <c r="I100" s="176"/>
    </row>
    <row r="101" spans="1:9" ht="15.75">
      <c r="A101" s="4"/>
    </row>
    <row r="102" spans="1:9" ht="15.75">
      <c r="B102" s="52" t="s">
        <v>10</v>
      </c>
      <c r="C102" s="177" t="s">
        <v>124</v>
      </c>
      <c r="D102" s="177"/>
      <c r="E102" s="177"/>
      <c r="F102" s="60"/>
      <c r="I102" s="54"/>
    </row>
    <row r="103" spans="1:9">
      <c r="A103" s="55"/>
      <c r="C103" s="178" t="s">
        <v>11</v>
      </c>
      <c r="D103" s="178"/>
      <c r="E103" s="178"/>
      <c r="F103" s="27"/>
      <c r="I103" s="53" t="s">
        <v>12</v>
      </c>
    </row>
    <row r="104" spans="1:9" ht="15.75">
      <c r="A104" s="28"/>
      <c r="C104" s="12"/>
      <c r="D104" s="12"/>
      <c r="G104" s="12"/>
      <c r="H104" s="12"/>
    </row>
    <row r="105" spans="1:9" ht="15.75">
      <c r="B105" s="52" t="s">
        <v>13</v>
      </c>
      <c r="C105" s="179"/>
      <c r="D105" s="179"/>
      <c r="E105" s="179"/>
      <c r="F105" s="61"/>
      <c r="I105" s="54"/>
    </row>
    <row r="106" spans="1:9">
      <c r="A106" s="55"/>
      <c r="C106" s="168" t="s">
        <v>11</v>
      </c>
      <c r="D106" s="168"/>
      <c r="E106" s="168"/>
      <c r="F106" s="55"/>
      <c r="I106" s="53" t="s">
        <v>12</v>
      </c>
    </row>
    <row r="107" spans="1:9" ht="15.75">
      <c r="A107" s="4" t="s">
        <v>14</v>
      </c>
    </row>
    <row r="108" spans="1:9">
      <c r="A108" s="169" t="s">
        <v>15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47.25" customHeight="1">
      <c r="A109" s="173" t="s">
        <v>16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1.5" customHeight="1">
      <c r="A110" s="173" t="s">
        <v>17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31.5" customHeight="1">
      <c r="A111" s="173" t="s">
        <v>21</v>
      </c>
      <c r="B111" s="173"/>
      <c r="C111" s="173"/>
      <c r="D111" s="173"/>
      <c r="E111" s="173"/>
      <c r="F111" s="173"/>
      <c r="G111" s="173"/>
      <c r="H111" s="173"/>
      <c r="I111" s="173"/>
    </row>
    <row r="112" spans="1:9" ht="15.75">
      <c r="A112" s="173" t="s">
        <v>20</v>
      </c>
      <c r="B112" s="173"/>
      <c r="C112" s="173"/>
      <c r="D112" s="173"/>
      <c r="E112" s="173"/>
      <c r="F112" s="173"/>
      <c r="G112" s="173"/>
      <c r="H112" s="173"/>
      <c r="I112" s="173"/>
    </row>
  </sheetData>
  <autoFilter ref="I12:I64"/>
  <mergeCells count="29">
    <mergeCell ref="R69:U69"/>
    <mergeCell ref="A84:I84"/>
    <mergeCell ref="A3:I3"/>
    <mergeCell ref="A4:I4"/>
    <mergeCell ref="A5:I5"/>
    <mergeCell ref="A8:I8"/>
    <mergeCell ref="A10:I10"/>
    <mergeCell ref="A14:I14"/>
    <mergeCell ref="A98:I98"/>
    <mergeCell ref="A15:I15"/>
    <mergeCell ref="A29:I29"/>
    <mergeCell ref="A45:I45"/>
    <mergeCell ref="A56:I56"/>
    <mergeCell ref="A92:I92"/>
    <mergeCell ref="B93:G93"/>
    <mergeCell ref="B94:G94"/>
    <mergeCell ref="A96:I96"/>
    <mergeCell ref="A97:I97"/>
    <mergeCell ref="A88:I88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1"/>
  <sheetViews>
    <sheetView topLeftCell="A43" workbookViewId="0">
      <selection activeCell="B84" sqref="B84:I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147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206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43951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172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</f>
        <v>848.43648000000007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94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94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94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100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53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94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hidden="1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31.5" hidden="1" customHeight="1">
      <c r="A30" s="32">
        <v>8</v>
      </c>
      <c r="B30" s="63" t="s">
        <v>107</v>
      </c>
      <c r="C30" s="64" t="s">
        <v>86</v>
      </c>
      <c r="D30" s="63" t="s">
        <v>103</v>
      </c>
      <c r="E30" s="66">
        <v>266.57</v>
      </c>
      <c r="F30" s="66">
        <f>SUM(E30*52/1000)</f>
        <v>13.86164</v>
      </c>
      <c r="G30" s="66">
        <v>146.79</v>
      </c>
      <c r="H30" s="67">
        <f t="shared" ref="H30:H35" si="1">SUM(F30*G30/1000)</f>
        <v>2.0347501356</v>
      </c>
      <c r="I30" s="13">
        <f t="shared" ref="I30:I33" si="2">F30/6*G30</f>
        <v>339.12502259999997</v>
      </c>
      <c r="J30" s="25"/>
      <c r="K30" s="8"/>
      <c r="L30" s="8"/>
      <c r="M30" s="8"/>
    </row>
    <row r="31" spans="1:13" ht="31.5" hidden="1" customHeight="1">
      <c r="A31" s="32">
        <v>9</v>
      </c>
      <c r="B31" s="63" t="s">
        <v>106</v>
      </c>
      <c r="C31" s="64" t="s">
        <v>86</v>
      </c>
      <c r="D31" s="63" t="s">
        <v>104</v>
      </c>
      <c r="E31" s="66">
        <v>48.03</v>
      </c>
      <c r="F31" s="66">
        <f>SUM(E31*78/1000)</f>
        <v>3.74634</v>
      </c>
      <c r="G31" s="66">
        <v>243.54</v>
      </c>
      <c r="H31" s="67">
        <f t="shared" si="1"/>
        <v>0.91238364360000002</v>
      </c>
      <c r="I31" s="13">
        <f t="shared" si="2"/>
        <v>152.0639406</v>
      </c>
      <c r="J31" s="25"/>
      <c r="K31" s="8"/>
      <c r="L31" s="8"/>
      <c r="M31" s="8"/>
    </row>
    <row r="32" spans="1:13" ht="15.75" hidden="1" customHeight="1">
      <c r="A32" s="32">
        <v>10</v>
      </c>
      <c r="B32" s="63" t="s">
        <v>26</v>
      </c>
      <c r="C32" s="64" t="s">
        <v>86</v>
      </c>
      <c r="D32" s="63" t="s">
        <v>53</v>
      </c>
      <c r="E32" s="66">
        <v>266.57</v>
      </c>
      <c r="F32" s="66">
        <f>SUM(E32/1000)</f>
        <v>0.26656999999999997</v>
      </c>
      <c r="G32" s="66">
        <v>2844</v>
      </c>
      <c r="H32" s="67">
        <f t="shared" si="1"/>
        <v>0.7581250799999999</v>
      </c>
      <c r="I32" s="13">
        <f>F32*G32</f>
        <v>758.12507999999991</v>
      </c>
      <c r="J32" s="25"/>
      <c r="K32" s="8"/>
      <c r="L32" s="8"/>
      <c r="M32" s="8"/>
    </row>
    <row r="33" spans="1:14" ht="15.75" hidden="1" customHeight="1">
      <c r="A33" s="32">
        <v>10</v>
      </c>
      <c r="B33" s="63" t="s">
        <v>105</v>
      </c>
      <c r="C33" s="64" t="s">
        <v>29</v>
      </c>
      <c r="D33" s="63" t="s">
        <v>62</v>
      </c>
      <c r="E33" s="70">
        <v>0.33333333333333331</v>
      </c>
      <c r="F33" s="66">
        <f>155/3</f>
        <v>51.666666666666664</v>
      </c>
      <c r="G33" s="66">
        <v>53.38</v>
      </c>
      <c r="H33" s="67">
        <f>SUM(G33*155/3/1000)</f>
        <v>2.7579666666666669</v>
      </c>
      <c r="I33" s="13">
        <f t="shared" si="2"/>
        <v>459.6611111111111</v>
      </c>
      <c r="J33" s="25"/>
      <c r="K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si="1"/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1"/>
        <v>1.2147399999999999</v>
      </c>
      <c r="I35" s="13">
        <v>0</v>
      </c>
      <c r="J35" s="26"/>
    </row>
    <row r="36" spans="1:14" ht="15.75" customHeight="1">
      <c r="A36" s="32"/>
      <c r="B36" s="84" t="s">
        <v>5</v>
      </c>
      <c r="C36" s="64"/>
      <c r="D36" s="63"/>
      <c r="E36" s="65"/>
      <c r="F36" s="66"/>
      <c r="G36" s="66"/>
      <c r="H36" s="67" t="s">
        <v>132</v>
      </c>
      <c r="I36" s="13"/>
      <c r="J36" s="26"/>
    </row>
    <row r="37" spans="1:14" ht="15.75" hidden="1" customHeight="1">
      <c r="A37" s="32">
        <v>6</v>
      </c>
      <c r="B37" s="123" t="s">
        <v>25</v>
      </c>
      <c r="C37" s="105" t="s">
        <v>30</v>
      </c>
      <c r="D37" s="104" t="s">
        <v>202</v>
      </c>
      <c r="E37" s="121"/>
      <c r="F37" s="107">
        <v>3</v>
      </c>
      <c r="G37" s="107">
        <v>1930</v>
      </c>
      <c r="H37" s="67">
        <f t="shared" ref="H37:H42" si="3">SUM(F37*G37/1000)</f>
        <v>5.79</v>
      </c>
      <c r="I37" s="13">
        <f>G37*0.9</f>
        <v>1737</v>
      </c>
      <c r="J37" s="26"/>
    </row>
    <row r="38" spans="1:14" ht="15.75" customHeight="1">
      <c r="A38" s="32">
        <v>7</v>
      </c>
      <c r="B38" s="123" t="s">
        <v>108</v>
      </c>
      <c r="C38" s="124" t="s">
        <v>28</v>
      </c>
      <c r="D38" s="104" t="s">
        <v>170</v>
      </c>
      <c r="E38" s="121">
        <v>38.5</v>
      </c>
      <c r="F38" s="125">
        <f>E38*48/1000</f>
        <v>1.8480000000000001</v>
      </c>
      <c r="G38" s="107">
        <v>3134.93</v>
      </c>
      <c r="H38" s="67">
        <f>G38*F38/1000</f>
        <v>5.7933506399999999</v>
      </c>
      <c r="I38" s="13">
        <f t="shared" ref="I38:I40" si="4">F38/6*G38</f>
        <v>965.55843999999991</v>
      </c>
      <c r="J38" s="26"/>
      <c r="L38" s="19"/>
      <c r="M38" s="20"/>
      <c r="N38" s="21"/>
    </row>
    <row r="39" spans="1:14" ht="15.75" customHeight="1">
      <c r="A39" s="32">
        <v>8</v>
      </c>
      <c r="B39" s="104" t="s">
        <v>187</v>
      </c>
      <c r="C39" s="105" t="s">
        <v>28</v>
      </c>
      <c r="D39" s="104" t="s">
        <v>189</v>
      </c>
      <c r="E39" s="107">
        <v>38.5</v>
      </c>
      <c r="F39" s="125">
        <f>E39*72/1000</f>
        <v>2.7719999999999998</v>
      </c>
      <c r="G39" s="107">
        <v>522.92999999999995</v>
      </c>
      <c r="H39" s="67">
        <f t="shared" si="3"/>
        <v>1.4495619599999998</v>
      </c>
      <c r="I39" s="13">
        <f t="shared" si="4"/>
        <v>241.59365999999997</v>
      </c>
      <c r="J39" s="26"/>
      <c r="L39" s="19"/>
      <c r="M39" s="20"/>
      <c r="N39" s="21"/>
    </row>
    <row r="40" spans="1:14" ht="47.25" customHeight="1">
      <c r="A40" s="32">
        <v>9</v>
      </c>
      <c r="B40" s="104" t="s">
        <v>188</v>
      </c>
      <c r="C40" s="105" t="s">
        <v>86</v>
      </c>
      <c r="D40" s="104" t="s">
        <v>170</v>
      </c>
      <c r="E40" s="107">
        <v>38.5</v>
      </c>
      <c r="F40" s="125">
        <f>E40*48/1000</f>
        <v>1.8480000000000001</v>
      </c>
      <c r="G40" s="107">
        <v>8652.07</v>
      </c>
      <c r="H40" s="67">
        <f t="shared" si="3"/>
        <v>15.989025359999999</v>
      </c>
      <c r="I40" s="13">
        <f t="shared" si="4"/>
        <v>2664.8375599999999</v>
      </c>
      <c r="J40" s="26"/>
      <c r="L40" s="19"/>
      <c r="M40" s="20"/>
      <c r="N40" s="21"/>
    </row>
    <row r="41" spans="1:14" ht="15.75" hidden="1" customHeight="1">
      <c r="A41" s="32">
        <v>10</v>
      </c>
      <c r="B41" s="104" t="s">
        <v>87</v>
      </c>
      <c r="C41" s="105" t="s">
        <v>86</v>
      </c>
      <c r="D41" s="104" t="s">
        <v>175</v>
      </c>
      <c r="E41" s="107">
        <v>38.5</v>
      </c>
      <c r="F41" s="125">
        <f>SUM(E41*30/1000)</f>
        <v>1.155</v>
      </c>
      <c r="G41" s="107">
        <v>639.14</v>
      </c>
      <c r="H41" s="67">
        <f t="shared" si="3"/>
        <v>0.73820669999999999</v>
      </c>
      <c r="I41" s="13">
        <f>F41/7.5*G41</f>
        <v>98.42756</v>
      </c>
      <c r="J41" s="26"/>
      <c r="L41" s="19"/>
      <c r="M41" s="20"/>
      <c r="N41" s="21"/>
    </row>
    <row r="42" spans="1:14" ht="15.75" hidden="1" customHeight="1">
      <c r="A42" s="32">
        <v>11</v>
      </c>
      <c r="B42" s="123" t="s">
        <v>68</v>
      </c>
      <c r="C42" s="124" t="s">
        <v>31</v>
      </c>
      <c r="D42" s="123"/>
      <c r="E42" s="106"/>
      <c r="F42" s="125">
        <v>0.5</v>
      </c>
      <c r="G42" s="125">
        <v>900</v>
      </c>
      <c r="H42" s="67">
        <f t="shared" si="3"/>
        <v>0.45</v>
      </c>
      <c r="I42" s="13">
        <f>F42/7.5*G42</f>
        <v>60</v>
      </c>
      <c r="J42" s="26"/>
      <c r="L42" s="19"/>
      <c r="M42" s="20"/>
      <c r="N42" s="21"/>
    </row>
    <row r="43" spans="1:14" ht="33" customHeight="1">
      <c r="A43" s="32">
        <v>10</v>
      </c>
      <c r="B43" s="135" t="s">
        <v>190</v>
      </c>
      <c r="C43" s="124" t="s">
        <v>28</v>
      </c>
      <c r="D43" s="123" t="s">
        <v>191</v>
      </c>
      <c r="E43" s="106">
        <v>1.2</v>
      </c>
      <c r="F43" s="125">
        <f>E43*12/1000</f>
        <v>1.4399999999999998E-2</v>
      </c>
      <c r="G43" s="125">
        <v>20547.34</v>
      </c>
      <c r="H43" s="59"/>
      <c r="I43" s="13">
        <f>G43*F43/6</f>
        <v>49.313615999999996</v>
      </c>
      <c r="J43" s="26"/>
      <c r="L43" s="19"/>
      <c r="M43" s="20"/>
      <c r="N43" s="21"/>
    </row>
    <row r="44" spans="1:14" ht="17.25" hidden="1" customHeight="1">
      <c r="A44" s="165" t="s">
        <v>125</v>
      </c>
      <c r="B44" s="166"/>
      <c r="C44" s="166"/>
      <c r="D44" s="166"/>
      <c r="E44" s="166"/>
      <c r="F44" s="166"/>
      <c r="G44" s="166"/>
      <c r="H44" s="166"/>
      <c r="I44" s="167"/>
      <c r="J44" s="26"/>
      <c r="L44" s="19"/>
      <c r="M44" s="20"/>
      <c r="N44" s="21"/>
    </row>
    <row r="45" spans="1:14" ht="30" hidden="1" customHeight="1">
      <c r="A45" s="32"/>
      <c r="B45" s="63" t="s">
        <v>110</v>
      </c>
      <c r="C45" s="64" t="s">
        <v>86</v>
      </c>
      <c r="D45" s="63" t="s">
        <v>41</v>
      </c>
      <c r="E45" s="65">
        <v>636.25</v>
      </c>
      <c r="F45" s="66">
        <f>SUM(E45*2/1000)</f>
        <v>1.2725</v>
      </c>
      <c r="G45" s="13">
        <v>762.53</v>
      </c>
      <c r="H45" s="67">
        <f t="shared" ref="H45:H54" si="5">SUM(F45*G45/1000)</f>
        <v>0.9703194249999999</v>
      </c>
      <c r="I45" s="13">
        <v>0</v>
      </c>
      <c r="J45" s="26"/>
      <c r="L45" s="19"/>
      <c r="M45" s="20"/>
      <c r="N45" s="21"/>
    </row>
    <row r="46" spans="1:14" ht="36.75" hidden="1" customHeight="1">
      <c r="A46" s="32"/>
      <c r="B46" s="63" t="s">
        <v>34</v>
      </c>
      <c r="C46" s="64" t="s">
        <v>86</v>
      </c>
      <c r="D46" s="63" t="s">
        <v>41</v>
      </c>
      <c r="E46" s="65">
        <v>26</v>
      </c>
      <c r="F46" s="66">
        <f>SUM(E46*2/1000)</f>
        <v>5.1999999999999998E-2</v>
      </c>
      <c r="G46" s="13">
        <v>545.65</v>
      </c>
      <c r="H46" s="67">
        <f t="shared" si="5"/>
        <v>2.8373799999999998E-2</v>
      </c>
      <c r="I46" s="13">
        <v>0</v>
      </c>
      <c r="J46" s="26"/>
      <c r="L46" s="19"/>
      <c r="M46" s="20"/>
      <c r="N46" s="21"/>
    </row>
    <row r="47" spans="1:14" ht="33" hidden="1" customHeight="1">
      <c r="A47" s="32"/>
      <c r="B47" s="63" t="s">
        <v>35</v>
      </c>
      <c r="C47" s="64" t="s">
        <v>86</v>
      </c>
      <c r="D47" s="63" t="s">
        <v>41</v>
      </c>
      <c r="E47" s="65">
        <v>579</v>
      </c>
      <c r="F47" s="66">
        <f>SUM(E47*2/1000)</f>
        <v>1.1579999999999999</v>
      </c>
      <c r="G47" s="13">
        <v>545.65</v>
      </c>
      <c r="H47" s="67">
        <f t="shared" si="5"/>
        <v>0.63186269999999989</v>
      </c>
      <c r="I47" s="13">
        <v>0</v>
      </c>
      <c r="J47" s="26"/>
      <c r="L47" s="19"/>
      <c r="M47" s="20"/>
      <c r="N47" s="21"/>
    </row>
    <row r="48" spans="1:14" ht="32.25" hidden="1" customHeight="1">
      <c r="A48" s="32"/>
      <c r="B48" s="63" t="s">
        <v>36</v>
      </c>
      <c r="C48" s="64" t="s">
        <v>86</v>
      </c>
      <c r="D48" s="63" t="s">
        <v>41</v>
      </c>
      <c r="E48" s="65">
        <v>683.33</v>
      </c>
      <c r="F48" s="66">
        <f>SUM(E48*2/1000)</f>
        <v>1.36666</v>
      </c>
      <c r="G48" s="13">
        <v>571.35</v>
      </c>
      <c r="H48" s="67">
        <f t="shared" si="5"/>
        <v>0.78084119099999993</v>
      </c>
      <c r="I48" s="13">
        <v>0</v>
      </c>
      <c r="J48" s="26"/>
      <c r="L48" s="19"/>
      <c r="M48" s="20"/>
      <c r="N48" s="21"/>
    </row>
    <row r="49" spans="1:14" ht="28.5" hidden="1" customHeight="1">
      <c r="A49" s="32"/>
      <c r="B49" s="63" t="s">
        <v>32</v>
      </c>
      <c r="C49" s="64" t="s">
        <v>33</v>
      </c>
      <c r="D49" s="63" t="s">
        <v>41</v>
      </c>
      <c r="E49" s="65">
        <v>44.11</v>
      </c>
      <c r="F49" s="66">
        <f>SUM(E49*2/100)</f>
        <v>0.88219999999999998</v>
      </c>
      <c r="G49" s="13">
        <v>68.56</v>
      </c>
      <c r="H49" s="67">
        <f t="shared" si="5"/>
        <v>6.0483632000000002E-2</v>
      </c>
      <c r="I49" s="13">
        <v>0</v>
      </c>
      <c r="J49" s="26"/>
      <c r="L49" s="19"/>
      <c r="M49" s="20"/>
      <c r="N49" s="21"/>
    </row>
    <row r="50" spans="1:14" ht="31.5" hidden="1" customHeight="1">
      <c r="A50" s="32">
        <v>14</v>
      </c>
      <c r="B50" s="63" t="s">
        <v>55</v>
      </c>
      <c r="C50" s="64" t="s">
        <v>86</v>
      </c>
      <c r="D50" s="63" t="s">
        <v>126</v>
      </c>
      <c r="E50" s="65">
        <v>1140</v>
      </c>
      <c r="F50" s="66">
        <f>SUM(E50*5/1000)</f>
        <v>5.7</v>
      </c>
      <c r="G50" s="13">
        <v>1142.7</v>
      </c>
      <c r="H50" s="67">
        <f t="shared" si="5"/>
        <v>6.5133900000000002</v>
      </c>
      <c r="I50" s="13">
        <f>F50/5*G50</f>
        <v>1302.6780000000001</v>
      </c>
      <c r="J50" s="26"/>
      <c r="L50" s="19"/>
      <c r="M50" s="20"/>
      <c r="N50" s="21"/>
    </row>
    <row r="51" spans="1:14" ht="33" hidden="1" customHeight="1">
      <c r="A51" s="32">
        <v>13</v>
      </c>
      <c r="B51" s="63" t="s">
        <v>88</v>
      </c>
      <c r="C51" s="64" t="s">
        <v>86</v>
      </c>
      <c r="D51" s="63" t="s">
        <v>41</v>
      </c>
      <c r="E51" s="65">
        <v>1140</v>
      </c>
      <c r="F51" s="66">
        <f>SUM(E51*2/1000)</f>
        <v>2.2799999999999998</v>
      </c>
      <c r="G51" s="13">
        <v>1142.7</v>
      </c>
      <c r="H51" s="67">
        <f t="shared" si="5"/>
        <v>2.6053559999999996</v>
      </c>
      <c r="I51" s="13">
        <f>F51/2*G51</f>
        <v>1302.6779999999999</v>
      </c>
      <c r="J51" s="26"/>
      <c r="L51" s="19"/>
      <c r="M51" s="20"/>
      <c r="N51" s="21"/>
    </row>
    <row r="52" spans="1:14" ht="31.5" hidden="1" customHeight="1">
      <c r="A52" s="32">
        <v>14</v>
      </c>
      <c r="B52" s="63" t="s">
        <v>89</v>
      </c>
      <c r="C52" s="64" t="s">
        <v>37</v>
      </c>
      <c r="D52" s="63" t="s">
        <v>41</v>
      </c>
      <c r="E52" s="65">
        <v>9</v>
      </c>
      <c r="F52" s="66">
        <f>SUM(E52*2/100)</f>
        <v>0.18</v>
      </c>
      <c r="G52" s="13">
        <v>2571.08</v>
      </c>
      <c r="H52" s="67">
        <f t="shared" si="5"/>
        <v>0.46279439999999999</v>
      </c>
      <c r="I52" s="13">
        <f t="shared" ref="I52:I53" si="6">F52/2*G52</f>
        <v>231.3972</v>
      </c>
      <c r="J52" s="26"/>
      <c r="L52" s="19"/>
      <c r="M52" s="20"/>
      <c r="N52" s="21"/>
    </row>
    <row r="53" spans="1:14" ht="25.5" hidden="1" customHeight="1">
      <c r="A53" s="32">
        <v>15</v>
      </c>
      <c r="B53" s="63" t="s">
        <v>38</v>
      </c>
      <c r="C53" s="64" t="s">
        <v>39</v>
      </c>
      <c r="D53" s="63" t="s">
        <v>41</v>
      </c>
      <c r="E53" s="65">
        <v>1</v>
      </c>
      <c r="F53" s="66">
        <v>0.02</v>
      </c>
      <c r="G53" s="13">
        <v>5322.15</v>
      </c>
      <c r="H53" s="67">
        <f t="shared" si="5"/>
        <v>0.106443</v>
      </c>
      <c r="I53" s="13">
        <f t="shared" si="6"/>
        <v>53.221499999999999</v>
      </c>
      <c r="J53" s="26"/>
      <c r="L53" s="19"/>
      <c r="M53" s="20"/>
      <c r="N53" s="21"/>
    </row>
    <row r="54" spans="1:14" ht="26.25" hidden="1" customHeight="1">
      <c r="A54" s="32">
        <v>16</v>
      </c>
      <c r="B54" s="63" t="s">
        <v>40</v>
      </c>
      <c r="C54" s="64" t="s">
        <v>111</v>
      </c>
      <c r="D54" s="63" t="s">
        <v>69</v>
      </c>
      <c r="E54" s="65">
        <v>36</v>
      </c>
      <c r="F54" s="66">
        <f>SUM(E54)*3</f>
        <v>108</v>
      </c>
      <c r="G54" s="13">
        <v>61.84</v>
      </c>
      <c r="H54" s="67">
        <f t="shared" si="5"/>
        <v>6.6787200000000002</v>
      </c>
      <c r="I54" s="13">
        <f>E54*G54</f>
        <v>2226.2400000000002</v>
      </c>
      <c r="J54" s="26"/>
      <c r="L54" s="19"/>
      <c r="M54" s="20"/>
      <c r="N54" s="21"/>
    </row>
    <row r="55" spans="1:14" ht="15.75" customHeight="1">
      <c r="A55" s="165" t="s">
        <v>145</v>
      </c>
      <c r="B55" s="166"/>
      <c r="C55" s="166"/>
      <c r="D55" s="166"/>
      <c r="E55" s="166"/>
      <c r="F55" s="166"/>
      <c r="G55" s="166"/>
      <c r="H55" s="166"/>
      <c r="I55" s="167"/>
      <c r="J55" s="26"/>
      <c r="L55" s="19"/>
      <c r="M55" s="20"/>
      <c r="N55" s="21"/>
    </row>
    <row r="56" spans="1:14" ht="15.75" hidden="1" customHeight="1">
      <c r="A56" s="32"/>
      <c r="B56" s="84" t="s">
        <v>42</v>
      </c>
      <c r="C56" s="64"/>
      <c r="D56" s="63"/>
      <c r="E56" s="65"/>
      <c r="F56" s="66"/>
      <c r="G56" s="66"/>
      <c r="H56" s="67"/>
      <c r="I56" s="13"/>
      <c r="J56" s="26"/>
      <c r="L56" s="19"/>
      <c r="M56" s="20"/>
      <c r="N56" s="21"/>
    </row>
    <row r="57" spans="1:14" ht="31.5" hidden="1" customHeight="1">
      <c r="A57" s="32">
        <v>12</v>
      </c>
      <c r="B57" s="63" t="s">
        <v>112</v>
      </c>
      <c r="C57" s="64" t="s">
        <v>83</v>
      </c>
      <c r="D57" s="63"/>
      <c r="E57" s="65">
        <v>72.33</v>
      </c>
      <c r="F57" s="66">
        <f>SUM(E57*6/100)</f>
        <v>4.3398000000000003</v>
      </c>
      <c r="G57" s="136">
        <v>2306.83</v>
      </c>
      <c r="H57" s="67">
        <f>SUM(F57*G57/1000)</f>
        <v>10.011180834000001</v>
      </c>
      <c r="I57" s="13">
        <f>G57*0.2765</f>
        <v>637.83849500000008</v>
      </c>
      <c r="J57" s="26"/>
      <c r="L57" s="19"/>
      <c r="M57" s="20"/>
      <c r="N57" s="21"/>
    </row>
    <row r="58" spans="1:14" ht="15.75" hidden="1" customHeight="1">
      <c r="A58" s="32"/>
      <c r="B58" s="104" t="s">
        <v>137</v>
      </c>
      <c r="C58" s="105" t="s">
        <v>138</v>
      </c>
      <c r="D58" s="104" t="s">
        <v>203</v>
      </c>
      <c r="E58" s="121"/>
      <c r="F58" s="137">
        <v>2</v>
      </c>
      <c r="G58" s="36">
        <v>1800</v>
      </c>
      <c r="H58" s="67"/>
      <c r="I58" s="13">
        <f>G58*1</f>
        <v>1800</v>
      </c>
      <c r="J58" s="26"/>
      <c r="L58" s="19"/>
      <c r="M58" s="20"/>
      <c r="N58" s="21"/>
    </row>
    <row r="59" spans="1:14" ht="15.75" customHeight="1">
      <c r="A59" s="32"/>
      <c r="B59" s="84" t="s">
        <v>43</v>
      </c>
      <c r="C59" s="105"/>
      <c r="D59" s="104"/>
      <c r="E59" s="121"/>
      <c r="F59" s="137"/>
      <c r="G59" s="36"/>
      <c r="H59" s="72"/>
      <c r="I59" s="13"/>
      <c r="J59" s="26"/>
      <c r="L59" s="19"/>
      <c r="M59" s="20"/>
      <c r="N59" s="21"/>
    </row>
    <row r="60" spans="1:14" ht="15.75" hidden="1" customHeight="1">
      <c r="A60" s="32"/>
      <c r="B60" s="63" t="s">
        <v>114</v>
      </c>
      <c r="C60" s="64"/>
      <c r="D60" s="63" t="s">
        <v>53</v>
      </c>
      <c r="E60" s="65">
        <v>952</v>
      </c>
      <c r="F60" s="67">
        <v>9.52</v>
      </c>
      <c r="G60" s="13">
        <v>848.37</v>
      </c>
      <c r="H60" s="72">
        <f>F60*G60/1000</f>
        <v>8.0764823999999997</v>
      </c>
      <c r="I60" s="13">
        <v>0</v>
      </c>
      <c r="J60" s="26"/>
      <c r="L60" s="19"/>
    </row>
    <row r="61" spans="1:14" ht="15.75" customHeight="1">
      <c r="A61" s="32">
        <v>11</v>
      </c>
      <c r="B61" s="109" t="s">
        <v>162</v>
      </c>
      <c r="C61" s="110" t="s">
        <v>163</v>
      </c>
      <c r="D61" s="109" t="s">
        <v>172</v>
      </c>
      <c r="E61" s="126">
        <v>100</v>
      </c>
      <c r="F61" s="36">
        <f>E61*12</f>
        <v>1200</v>
      </c>
      <c r="G61" s="36">
        <v>1.4</v>
      </c>
      <c r="H61" s="119"/>
      <c r="I61" s="13">
        <f>G61*F61/12</f>
        <v>140</v>
      </c>
      <c r="J61" s="26"/>
      <c r="L61" s="19"/>
    </row>
    <row r="62" spans="1:14" ht="15.75" hidden="1" customHeight="1">
      <c r="A62" s="32"/>
      <c r="B62" s="85" t="s">
        <v>44</v>
      </c>
      <c r="C62" s="73"/>
      <c r="D62" s="74"/>
      <c r="E62" s="75"/>
      <c r="F62" s="76"/>
      <c r="G62" s="76"/>
      <c r="H62" s="77" t="s">
        <v>132</v>
      </c>
      <c r="I62" s="13"/>
    </row>
    <row r="63" spans="1:14" ht="15.75" hidden="1" customHeight="1">
      <c r="A63" s="32">
        <v>17</v>
      </c>
      <c r="B63" s="14" t="s">
        <v>45</v>
      </c>
      <c r="C63" s="16" t="s">
        <v>111</v>
      </c>
      <c r="D63" s="14" t="s">
        <v>65</v>
      </c>
      <c r="E63" s="18">
        <v>5</v>
      </c>
      <c r="F63" s="66">
        <v>5</v>
      </c>
      <c r="G63" s="13">
        <v>237.74</v>
      </c>
      <c r="H63" s="78">
        <f t="shared" ref="H63:H80" si="7">SUM(F63*G63/1000)</f>
        <v>1.1887000000000001</v>
      </c>
      <c r="I63" s="13">
        <f>G63</f>
        <v>237.74</v>
      </c>
    </row>
    <row r="64" spans="1:14" ht="15.75" hidden="1" customHeight="1">
      <c r="A64" s="32"/>
      <c r="B64" s="14" t="s">
        <v>46</v>
      </c>
      <c r="C64" s="16" t="s">
        <v>111</v>
      </c>
      <c r="D64" s="14" t="s">
        <v>65</v>
      </c>
      <c r="E64" s="18">
        <v>2</v>
      </c>
      <c r="F64" s="66">
        <v>2</v>
      </c>
      <c r="G64" s="13">
        <v>81.510000000000005</v>
      </c>
      <c r="H64" s="78">
        <f t="shared" si="7"/>
        <v>0.16302</v>
      </c>
      <c r="I64" s="13">
        <v>0</v>
      </c>
    </row>
    <row r="65" spans="1:22" ht="15.75" hidden="1" customHeight="1">
      <c r="A65" s="32"/>
      <c r="B65" s="14" t="s">
        <v>47</v>
      </c>
      <c r="C65" s="16" t="s">
        <v>115</v>
      </c>
      <c r="D65" s="14" t="s">
        <v>53</v>
      </c>
      <c r="E65" s="65">
        <v>4292</v>
      </c>
      <c r="F65" s="13">
        <f>SUM(E65/100)</f>
        <v>42.92</v>
      </c>
      <c r="G65" s="13">
        <v>226.79</v>
      </c>
      <c r="H65" s="78">
        <f t="shared" si="7"/>
        <v>9.733826800000001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2"/>
      <c r="B66" s="14" t="s">
        <v>48</v>
      </c>
      <c r="C66" s="16" t="s">
        <v>116</v>
      </c>
      <c r="D66" s="14"/>
      <c r="E66" s="65">
        <v>4292</v>
      </c>
      <c r="F66" s="13">
        <f>SUM(E66/1000)</f>
        <v>4.2919999999999998</v>
      </c>
      <c r="G66" s="13">
        <v>176.61</v>
      </c>
      <c r="H66" s="78">
        <f t="shared" si="7"/>
        <v>0.75801012000000001</v>
      </c>
      <c r="I66" s="13">
        <v>0</v>
      </c>
      <c r="J66" s="28"/>
      <c r="K66" s="28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2"/>
      <c r="B67" s="14" t="s">
        <v>49</v>
      </c>
      <c r="C67" s="16" t="s">
        <v>75</v>
      </c>
      <c r="D67" s="14" t="s">
        <v>53</v>
      </c>
      <c r="E67" s="65">
        <v>510</v>
      </c>
      <c r="F67" s="13">
        <f>SUM(E67/100)</f>
        <v>5.0999999999999996</v>
      </c>
      <c r="G67" s="13">
        <v>2217.7800000000002</v>
      </c>
      <c r="H67" s="78">
        <f t="shared" si="7"/>
        <v>11.310677999999999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2"/>
      <c r="B68" s="79" t="s">
        <v>117</v>
      </c>
      <c r="C68" s="16" t="s">
        <v>31</v>
      </c>
      <c r="D68" s="14"/>
      <c r="E68" s="65">
        <v>4.5999999999999996</v>
      </c>
      <c r="F68" s="13">
        <f>SUM(E68)</f>
        <v>4.5999999999999996</v>
      </c>
      <c r="G68" s="13">
        <v>42.67</v>
      </c>
      <c r="H68" s="78">
        <f t="shared" si="7"/>
        <v>0.19628199999999998</v>
      </c>
      <c r="I68" s="13">
        <v>0</v>
      </c>
      <c r="J68" s="5"/>
      <c r="K68" s="5"/>
      <c r="L68" s="5"/>
      <c r="M68" s="5"/>
      <c r="N68" s="5"/>
      <c r="O68" s="5"/>
      <c r="P68" s="5"/>
      <c r="Q68" s="5"/>
      <c r="R68" s="168"/>
      <c r="S68" s="168"/>
      <c r="T68" s="168"/>
      <c r="U68" s="168"/>
    </row>
    <row r="69" spans="1:22" ht="15.75" hidden="1" customHeight="1">
      <c r="A69" s="32"/>
      <c r="B69" s="79" t="s">
        <v>118</v>
      </c>
      <c r="C69" s="16" t="s">
        <v>31</v>
      </c>
      <c r="D69" s="14"/>
      <c r="E69" s="65">
        <v>4.5999999999999996</v>
      </c>
      <c r="F69" s="13">
        <f>SUM(E69)</f>
        <v>4.5999999999999996</v>
      </c>
      <c r="G69" s="13">
        <v>39.81</v>
      </c>
      <c r="H69" s="78">
        <f t="shared" si="7"/>
        <v>0.18312600000000001</v>
      </c>
      <c r="I69" s="13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2"/>
      <c r="B70" s="14" t="s">
        <v>56</v>
      </c>
      <c r="C70" s="16" t="s">
        <v>57</v>
      </c>
      <c r="D70" s="14" t="s">
        <v>53</v>
      </c>
      <c r="E70" s="18">
        <v>3</v>
      </c>
      <c r="F70" s="66">
        <v>3</v>
      </c>
      <c r="G70" s="13">
        <v>53.32</v>
      </c>
      <c r="H70" s="78">
        <f t="shared" si="7"/>
        <v>0.15996000000000002</v>
      </c>
      <c r="I70" s="13">
        <v>0</v>
      </c>
    </row>
    <row r="71" spans="1:22" ht="15.75" customHeight="1">
      <c r="A71" s="32"/>
      <c r="B71" s="134" t="s">
        <v>194</v>
      </c>
      <c r="C71" s="16"/>
      <c r="D71" s="14"/>
      <c r="E71" s="18"/>
      <c r="F71" s="59"/>
      <c r="G71" s="13"/>
      <c r="H71" s="78"/>
      <c r="I71" s="13"/>
    </row>
    <row r="72" spans="1:22" ht="33.75" customHeight="1">
      <c r="A72" s="32">
        <v>12</v>
      </c>
      <c r="B72" s="127" t="s">
        <v>192</v>
      </c>
      <c r="C72" s="128" t="s">
        <v>193</v>
      </c>
      <c r="D72" s="129"/>
      <c r="E72" s="17">
        <v>1042.5999999999999</v>
      </c>
      <c r="F72" s="130">
        <f>E72*12</f>
        <v>12511.199999999999</v>
      </c>
      <c r="G72" s="130">
        <v>2.6</v>
      </c>
      <c r="H72" s="78"/>
      <c r="I72" s="13">
        <f>G72*F72/12</f>
        <v>2710.7599999999998</v>
      </c>
    </row>
    <row r="73" spans="1:22" ht="16.5" customHeight="1">
      <c r="A73" s="32"/>
      <c r="B73" s="50" t="s">
        <v>70</v>
      </c>
      <c r="C73" s="16"/>
      <c r="D73" s="14"/>
      <c r="E73" s="18"/>
      <c r="F73" s="13"/>
      <c r="G73" s="13"/>
      <c r="H73" s="78" t="s">
        <v>132</v>
      </c>
      <c r="I73" s="13"/>
    </row>
    <row r="74" spans="1:22" ht="18" hidden="1" customHeight="1">
      <c r="A74" s="32"/>
      <c r="B74" s="14" t="s">
        <v>71</v>
      </c>
      <c r="C74" s="16" t="s">
        <v>73</v>
      </c>
      <c r="D74" s="14"/>
      <c r="E74" s="18">
        <v>2</v>
      </c>
      <c r="F74" s="13">
        <v>0.2</v>
      </c>
      <c r="G74" s="13">
        <v>536.23</v>
      </c>
      <c r="H74" s="78">
        <f t="shared" si="7"/>
        <v>0.10724600000000001</v>
      </c>
      <c r="I74" s="13">
        <v>0</v>
      </c>
    </row>
    <row r="75" spans="1:22" ht="18" hidden="1" customHeight="1">
      <c r="A75" s="32"/>
      <c r="B75" s="14" t="s">
        <v>72</v>
      </c>
      <c r="C75" s="16" t="s">
        <v>29</v>
      </c>
      <c r="D75" s="14"/>
      <c r="E75" s="18">
        <v>1</v>
      </c>
      <c r="F75" s="59">
        <v>1</v>
      </c>
      <c r="G75" s="13">
        <v>911.85</v>
      </c>
      <c r="H75" s="78">
        <f t="shared" si="7"/>
        <v>0.91185000000000005</v>
      </c>
      <c r="I75" s="13">
        <v>0</v>
      </c>
    </row>
    <row r="76" spans="1:22" ht="20.25" hidden="1" customHeight="1">
      <c r="A76" s="32"/>
      <c r="B76" s="14" t="s">
        <v>133</v>
      </c>
      <c r="C76" s="16" t="s">
        <v>134</v>
      </c>
      <c r="D76" s="14"/>
      <c r="E76" s="18"/>
      <c r="F76" s="13"/>
      <c r="G76" s="13">
        <v>31.54</v>
      </c>
      <c r="H76" s="78">
        <f t="shared" si="7"/>
        <v>0</v>
      </c>
      <c r="I76" s="13"/>
    </row>
    <row r="77" spans="1:22" ht="17.25" hidden="1" customHeight="1">
      <c r="A77" s="32">
        <v>13</v>
      </c>
      <c r="B77" s="14" t="s">
        <v>120</v>
      </c>
      <c r="C77" s="16" t="s">
        <v>29</v>
      </c>
      <c r="D77" s="14"/>
      <c r="E77" s="18">
        <v>1</v>
      </c>
      <c r="F77" s="13">
        <v>1</v>
      </c>
      <c r="G77" s="13">
        <v>383.25</v>
      </c>
      <c r="H77" s="78">
        <f>G77*F77/1000</f>
        <v>0.38324999999999998</v>
      </c>
      <c r="I77" s="13">
        <f>G77*1</f>
        <v>383.25</v>
      </c>
    </row>
    <row r="78" spans="1:22" ht="17.25" customHeight="1">
      <c r="A78" s="32">
        <v>13</v>
      </c>
      <c r="B78" s="102" t="s">
        <v>195</v>
      </c>
      <c r="C78" s="103" t="s">
        <v>29</v>
      </c>
      <c r="D78" s="102" t="s">
        <v>173</v>
      </c>
      <c r="E78" s="17">
        <v>1</v>
      </c>
      <c r="F78" s="36">
        <f>E78*12</f>
        <v>12</v>
      </c>
      <c r="G78" s="36">
        <v>420</v>
      </c>
      <c r="H78" s="78"/>
      <c r="I78" s="13">
        <f>G78*F78/12</f>
        <v>420</v>
      </c>
    </row>
    <row r="79" spans="1:22" ht="18" hidden="1" customHeight="1">
      <c r="A79" s="32"/>
      <c r="B79" s="81" t="s">
        <v>74</v>
      </c>
      <c r="C79" s="16"/>
      <c r="D79" s="14"/>
      <c r="E79" s="18"/>
      <c r="F79" s="13"/>
      <c r="G79" s="13" t="s">
        <v>132</v>
      </c>
      <c r="H79" s="78" t="s">
        <v>132</v>
      </c>
      <c r="I79" s="13"/>
    </row>
    <row r="80" spans="1:22" ht="18.75" hidden="1" customHeight="1">
      <c r="A80" s="32"/>
      <c r="B80" s="44" t="s">
        <v>142</v>
      </c>
      <c r="C80" s="16" t="s">
        <v>75</v>
      </c>
      <c r="D80" s="14"/>
      <c r="E80" s="18"/>
      <c r="F80" s="13">
        <v>0.1</v>
      </c>
      <c r="G80" s="13">
        <v>2949.85</v>
      </c>
      <c r="H80" s="78">
        <f t="shared" si="7"/>
        <v>0.294985</v>
      </c>
      <c r="I80" s="13">
        <v>0</v>
      </c>
    </row>
    <row r="81" spans="1:9" ht="18" hidden="1" customHeight="1">
      <c r="A81" s="32"/>
      <c r="B81" s="88" t="s">
        <v>90</v>
      </c>
      <c r="C81" s="88"/>
      <c r="D81" s="88"/>
      <c r="E81" s="88"/>
      <c r="F81" s="88"/>
      <c r="G81" s="69"/>
      <c r="H81" s="82">
        <f>SUM(H57:H80)</f>
        <v>43.478597153999992</v>
      </c>
      <c r="I81" s="69"/>
    </row>
    <row r="82" spans="1:9" ht="17.25" hidden="1" customHeight="1">
      <c r="A82" s="32"/>
      <c r="B82" s="86" t="s">
        <v>119</v>
      </c>
      <c r="C82" s="23"/>
      <c r="D82" s="22"/>
      <c r="E82" s="83"/>
      <c r="F82" s="87">
        <v>1</v>
      </c>
      <c r="G82" s="13">
        <v>3124.9</v>
      </c>
      <c r="H82" s="78">
        <f>G82*F82/1000</f>
        <v>3.1249000000000002</v>
      </c>
      <c r="I82" s="13">
        <v>0</v>
      </c>
    </row>
    <row r="83" spans="1:9" ht="15.75" customHeight="1">
      <c r="A83" s="165" t="s">
        <v>146</v>
      </c>
      <c r="B83" s="166"/>
      <c r="C83" s="166"/>
      <c r="D83" s="166"/>
      <c r="E83" s="166"/>
      <c r="F83" s="166"/>
      <c r="G83" s="166"/>
      <c r="H83" s="166"/>
      <c r="I83" s="167"/>
    </row>
    <row r="84" spans="1:9" ht="15.75" customHeight="1">
      <c r="A84" s="32">
        <v>14</v>
      </c>
      <c r="B84" s="104" t="s">
        <v>121</v>
      </c>
      <c r="C84" s="103" t="s">
        <v>54</v>
      </c>
      <c r="D84" s="49"/>
      <c r="E84" s="36">
        <v>1042.5999999999999</v>
      </c>
      <c r="F84" s="36">
        <f>SUM(E84*12)</f>
        <v>12511.199999999999</v>
      </c>
      <c r="G84" s="36">
        <v>3.5</v>
      </c>
      <c r="H84" s="78">
        <f>SUM(F84*G84/1000)</f>
        <v>43.789199999999994</v>
      </c>
      <c r="I84" s="13">
        <f>G84*F84/12</f>
        <v>3649.1</v>
      </c>
    </row>
    <row r="85" spans="1:9" ht="31.5" customHeight="1">
      <c r="A85" s="32">
        <v>15</v>
      </c>
      <c r="B85" s="102" t="s">
        <v>196</v>
      </c>
      <c r="C85" s="103" t="s">
        <v>54</v>
      </c>
      <c r="D85" s="96"/>
      <c r="E85" s="121">
        <f>E84</f>
        <v>1042.5999999999999</v>
      </c>
      <c r="F85" s="36">
        <f>E85*12</f>
        <v>12511.199999999999</v>
      </c>
      <c r="G85" s="36">
        <v>3.2</v>
      </c>
      <c r="H85" s="78">
        <f>F85*G85/1000</f>
        <v>40.035839999999993</v>
      </c>
      <c r="I85" s="13">
        <f>G85*F85/12</f>
        <v>3336.3199999999997</v>
      </c>
    </row>
    <row r="86" spans="1:9" ht="15.75" customHeight="1">
      <c r="A86" s="32"/>
      <c r="B86" s="37" t="s">
        <v>78</v>
      </c>
      <c r="C86" s="81"/>
      <c r="D86" s="80"/>
      <c r="E86" s="69"/>
      <c r="F86" s="69"/>
      <c r="G86" s="69"/>
      <c r="H86" s="82">
        <f>H85</f>
        <v>40.035839999999993</v>
      </c>
      <c r="I86" s="69">
        <f>I85+I84+I78+I72+I61+I43+I40+I39+I38+I27+I21+I20+I18++I16+I17</f>
        <v>18411.644008000003</v>
      </c>
    </row>
    <row r="87" spans="1:9" ht="15.75" customHeight="1">
      <c r="A87" s="170" t="s">
        <v>59</v>
      </c>
      <c r="B87" s="171"/>
      <c r="C87" s="171"/>
      <c r="D87" s="171"/>
      <c r="E87" s="171"/>
      <c r="F87" s="171"/>
      <c r="G87" s="171"/>
      <c r="H87" s="171"/>
      <c r="I87" s="172"/>
    </row>
    <row r="88" spans="1:9">
      <c r="A88" s="32"/>
      <c r="B88" s="42" t="s">
        <v>50</v>
      </c>
      <c r="C88" s="38"/>
      <c r="D88" s="45"/>
      <c r="E88" s="38">
        <v>1</v>
      </c>
      <c r="F88" s="38"/>
      <c r="G88" s="38"/>
      <c r="H88" s="38"/>
      <c r="I88" s="34">
        <v>0</v>
      </c>
    </row>
    <row r="89" spans="1:9" ht="16.5" customHeight="1">
      <c r="A89" s="32"/>
      <c r="B89" s="44" t="s">
        <v>77</v>
      </c>
      <c r="C89" s="15"/>
      <c r="D89" s="15"/>
      <c r="E89" s="39"/>
      <c r="F89" s="39"/>
      <c r="G89" s="40"/>
      <c r="H89" s="40"/>
      <c r="I89" s="17">
        <v>0</v>
      </c>
    </row>
    <row r="90" spans="1:9" ht="16.5" customHeight="1">
      <c r="A90" s="46"/>
      <c r="B90" s="43" t="s">
        <v>156</v>
      </c>
      <c r="C90" s="35"/>
      <c r="D90" s="35"/>
      <c r="E90" s="35"/>
      <c r="F90" s="35"/>
      <c r="G90" s="35"/>
      <c r="H90" s="35"/>
      <c r="I90" s="41">
        <f>I86+I88</f>
        <v>18411.644008000003</v>
      </c>
    </row>
    <row r="91" spans="1:9" ht="15.75" customHeight="1">
      <c r="A91" s="180" t="s">
        <v>207</v>
      </c>
      <c r="B91" s="180"/>
      <c r="C91" s="180"/>
      <c r="D91" s="180"/>
      <c r="E91" s="180"/>
      <c r="F91" s="180"/>
      <c r="G91" s="180"/>
      <c r="H91" s="180"/>
      <c r="I91" s="180"/>
    </row>
    <row r="92" spans="1:9" ht="15.75" customHeight="1">
      <c r="A92" s="56"/>
      <c r="B92" s="181" t="s">
        <v>208</v>
      </c>
      <c r="C92" s="181"/>
      <c r="D92" s="181"/>
      <c r="E92" s="181"/>
      <c r="F92" s="181"/>
      <c r="G92" s="181"/>
      <c r="H92" s="62"/>
      <c r="I92" s="3"/>
    </row>
    <row r="93" spans="1:9">
      <c r="A93" s="55"/>
      <c r="B93" s="178" t="s">
        <v>6</v>
      </c>
      <c r="C93" s="178"/>
      <c r="D93" s="178"/>
      <c r="E93" s="178"/>
      <c r="F93" s="178"/>
      <c r="G93" s="178"/>
      <c r="H93" s="27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74" t="s">
        <v>7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4" t="s">
        <v>8</v>
      </c>
      <c r="B96" s="174"/>
      <c r="C96" s="174"/>
      <c r="D96" s="174"/>
      <c r="E96" s="174"/>
      <c r="F96" s="174"/>
      <c r="G96" s="174"/>
      <c r="H96" s="174"/>
      <c r="I96" s="174"/>
    </row>
    <row r="97" spans="1:9" ht="15.75">
      <c r="A97" s="175" t="s">
        <v>60</v>
      </c>
      <c r="B97" s="175"/>
      <c r="C97" s="175"/>
      <c r="D97" s="175"/>
      <c r="E97" s="175"/>
      <c r="F97" s="175"/>
      <c r="G97" s="175"/>
      <c r="H97" s="175"/>
      <c r="I97" s="175"/>
    </row>
    <row r="98" spans="1:9" ht="7.5" customHeight="1">
      <c r="A98" s="11"/>
    </row>
    <row r="99" spans="1:9" ht="15.75">
      <c r="A99" s="176" t="s">
        <v>9</v>
      </c>
      <c r="B99" s="176"/>
      <c r="C99" s="176"/>
      <c r="D99" s="176"/>
      <c r="E99" s="176"/>
      <c r="F99" s="176"/>
      <c r="G99" s="176"/>
      <c r="H99" s="176"/>
      <c r="I99" s="176"/>
    </row>
    <row r="100" spans="1:9" ht="15.75">
      <c r="A100" s="4"/>
    </row>
    <row r="101" spans="1:9" ht="15.75">
      <c r="B101" s="52" t="s">
        <v>10</v>
      </c>
      <c r="C101" s="177" t="s">
        <v>124</v>
      </c>
      <c r="D101" s="177"/>
      <c r="E101" s="177"/>
      <c r="F101" s="60"/>
      <c r="I101" s="54"/>
    </row>
    <row r="102" spans="1:9">
      <c r="A102" s="55"/>
      <c r="C102" s="178" t="s">
        <v>11</v>
      </c>
      <c r="D102" s="178"/>
      <c r="E102" s="178"/>
      <c r="F102" s="27"/>
      <c r="I102" s="53" t="s">
        <v>12</v>
      </c>
    </row>
    <row r="103" spans="1:9" ht="15.75">
      <c r="A103" s="28"/>
      <c r="C103" s="12"/>
      <c r="D103" s="12"/>
      <c r="G103" s="12"/>
      <c r="H103" s="12"/>
    </row>
    <row r="104" spans="1:9" ht="15.75">
      <c r="B104" s="52" t="s">
        <v>13</v>
      </c>
      <c r="C104" s="179"/>
      <c r="D104" s="179"/>
      <c r="E104" s="179"/>
      <c r="F104" s="61"/>
      <c r="I104" s="54"/>
    </row>
    <row r="105" spans="1:9">
      <c r="A105" s="55"/>
      <c r="C105" s="168" t="s">
        <v>11</v>
      </c>
      <c r="D105" s="168"/>
      <c r="E105" s="168"/>
      <c r="F105" s="55"/>
      <c r="I105" s="53" t="s">
        <v>12</v>
      </c>
    </row>
    <row r="106" spans="1:9" ht="15.75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5" customHeight="1">
      <c r="A108" s="173" t="s">
        <v>16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17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30" customHeight="1">
      <c r="A110" s="173" t="s">
        <v>21</v>
      </c>
      <c r="B110" s="173"/>
      <c r="C110" s="173"/>
      <c r="D110" s="173"/>
      <c r="E110" s="173"/>
      <c r="F110" s="173"/>
      <c r="G110" s="173"/>
      <c r="H110" s="173"/>
      <c r="I110" s="173"/>
    </row>
    <row r="111" spans="1:9" ht="15" customHeight="1">
      <c r="A111" s="173" t="s">
        <v>20</v>
      </c>
      <c r="B111" s="173"/>
      <c r="C111" s="173"/>
      <c r="D111" s="173"/>
      <c r="E111" s="173"/>
      <c r="F111" s="173"/>
      <c r="G111" s="173"/>
      <c r="H111" s="173"/>
      <c r="I111" s="173"/>
    </row>
  </sheetData>
  <autoFilter ref="I12:I63"/>
  <mergeCells count="29">
    <mergeCell ref="R68:U68"/>
    <mergeCell ref="A83:I83"/>
    <mergeCell ref="A3:I3"/>
    <mergeCell ref="A4:I4"/>
    <mergeCell ref="A5:I5"/>
    <mergeCell ref="A8:I8"/>
    <mergeCell ref="A10:I10"/>
    <mergeCell ref="A14:I14"/>
    <mergeCell ref="A97:I97"/>
    <mergeCell ref="A15:I15"/>
    <mergeCell ref="A28:I28"/>
    <mergeCell ref="A44:I44"/>
    <mergeCell ref="A55:I55"/>
    <mergeCell ref="A91:I91"/>
    <mergeCell ref="B92:G92"/>
    <mergeCell ref="B93:G93"/>
    <mergeCell ref="A95:I95"/>
    <mergeCell ref="A96:I96"/>
    <mergeCell ref="A87:I87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9"/>
  <sheetViews>
    <sheetView topLeftCell="A56" workbookViewId="0">
      <selection activeCell="B81" sqref="B81:I8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148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209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43982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210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94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v>0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94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v>0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94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v>0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100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v>0</v>
      </c>
      <c r="J24" s="25"/>
      <c r="K24" s="8"/>
      <c r="L24" s="8"/>
      <c r="M24" s="8"/>
    </row>
    <row r="25" spans="1:13" ht="31.5" hidden="1" customHeight="1">
      <c r="A25" s="32">
        <v>10</v>
      </c>
      <c r="B25" s="104" t="s">
        <v>101</v>
      </c>
      <c r="C25" s="105" t="s">
        <v>52</v>
      </c>
      <c r="D25" s="104" t="s">
        <v>53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v>0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94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v>0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7</v>
      </c>
      <c r="B30" s="104" t="s">
        <v>107</v>
      </c>
      <c r="C30" s="105" t="s">
        <v>86</v>
      </c>
      <c r="D30" s="104" t="s">
        <v>214</v>
      </c>
      <c r="E30" s="107">
        <v>150</v>
      </c>
      <c r="F30" s="107">
        <f>SUM(E30*24/1000)</f>
        <v>3.6</v>
      </c>
      <c r="G30" s="107">
        <v>232.4</v>
      </c>
      <c r="H30" s="67">
        <f t="shared" ref="H30:H34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8</v>
      </c>
      <c r="B31" s="104" t="s">
        <v>211</v>
      </c>
      <c r="C31" s="105" t="s">
        <v>86</v>
      </c>
      <c r="D31" s="104" t="s">
        <v>215</v>
      </c>
      <c r="E31" s="107">
        <v>38.5</v>
      </c>
      <c r="F31" s="107">
        <f>SUM(E31*72/1000)</f>
        <v>2.7719999999999998</v>
      </c>
      <c r="G31" s="107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customHeight="1">
      <c r="A32" s="32">
        <v>9</v>
      </c>
      <c r="B32" s="104" t="s">
        <v>26</v>
      </c>
      <c r="C32" s="105" t="s">
        <v>86</v>
      </c>
      <c r="D32" s="104" t="s">
        <v>173</v>
      </c>
      <c r="E32" s="107">
        <v>150</v>
      </c>
      <c r="F32" s="107">
        <f>SUM(E32/1000)</f>
        <v>0.15</v>
      </c>
      <c r="G32" s="107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10</v>
      </c>
      <c r="B33" s="141" t="s">
        <v>212</v>
      </c>
      <c r="C33" s="99" t="s">
        <v>213</v>
      </c>
      <c r="D33" s="104" t="s">
        <v>176</v>
      </c>
      <c r="E33" s="107">
        <v>2</v>
      </c>
      <c r="F33" s="107">
        <f>E33*155/100</f>
        <v>3.1</v>
      </c>
      <c r="G33" s="107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63" t="s">
        <v>64</v>
      </c>
      <c r="C34" s="64" t="s">
        <v>30</v>
      </c>
      <c r="D34" s="63" t="s">
        <v>65</v>
      </c>
      <c r="E34" s="65"/>
      <c r="F34" s="66">
        <v>1</v>
      </c>
      <c r="G34" s="66">
        <v>1214.74</v>
      </c>
      <c r="H34" s="67">
        <f t="shared" si="1"/>
        <v>1.2147399999999999</v>
      </c>
      <c r="I34" s="13">
        <v>0</v>
      </c>
      <c r="J34" s="26"/>
    </row>
    <row r="35" spans="1:14" ht="15.75" hidden="1" customHeight="1">
      <c r="A35" s="32"/>
      <c r="B35" s="84" t="s">
        <v>5</v>
      </c>
      <c r="C35" s="64"/>
      <c r="D35" s="63"/>
      <c r="E35" s="65"/>
      <c r="F35" s="66"/>
      <c r="G35" s="66"/>
      <c r="H35" s="67" t="s">
        <v>132</v>
      </c>
      <c r="I35" s="13"/>
      <c r="J35" s="26"/>
    </row>
    <row r="36" spans="1:14" ht="15.75" hidden="1" customHeight="1">
      <c r="A36" s="32">
        <v>8</v>
      </c>
      <c r="B36" s="63" t="s">
        <v>25</v>
      </c>
      <c r="C36" s="64" t="s">
        <v>30</v>
      </c>
      <c r="D36" s="63"/>
      <c r="E36" s="65"/>
      <c r="F36" s="66">
        <v>3</v>
      </c>
      <c r="G36" s="66">
        <v>1632.6</v>
      </c>
      <c r="H36" s="67">
        <f t="shared" ref="H36:H41" si="3">SUM(F36*G36/1000)</f>
        <v>4.8977999999999993</v>
      </c>
      <c r="I36" s="13">
        <f t="shared" ref="I36:I41" si="4">F36/6*G36</f>
        <v>816.3</v>
      </c>
      <c r="J36" s="26"/>
    </row>
    <row r="37" spans="1:14" ht="15.75" hidden="1" customHeight="1">
      <c r="A37" s="32">
        <v>9</v>
      </c>
      <c r="B37" s="63" t="s">
        <v>108</v>
      </c>
      <c r="C37" s="64" t="s">
        <v>28</v>
      </c>
      <c r="D37" s="63" t="s">
        <v>84</v>
      </c>
      <c r="E37" s="65">
        <v>48.03</v>
      </c>
      <c r="F37" s="66">
        <v>1.44</v>
      </c>
      <c r="G37" s="66">
        <v>1979.95</v>
      </c>
      <c r="H37" s="67">
        <f>G37*F37/1000</f>
        <v>2.8511280000000001</v>
      </c>
      <c r="I37" s="13">
        <f t="shared" si="4"/>
        <v>475.18799999999999</v>
      </c>
      <c r="J37" s="26"/>
      <c r="L37" s="19"/>
      <c r="M37" s="20"/>
      <c r="N37" s="21"/>
    </row>
    <row r="38" spans="1:14" ht="15.75" hidden="1" customHeight="1">
      <c r="A38" s="32">
        <v>10</v>
      </c>
      <c r="B38" s="63" t="s">
        <v>66</v>
      </c>
      <c r="C38" s="64" t="s">
        <v>28</v>
      </c>
      <c r="D38" s="63" t="s">
        <v>85</v>
      </c>
      <c r="E38" s="66">
        <v>48.03</v>
      </c>
      <c r="F38" s="66">
        <f>SUM(E38*155/1000)</f>
        <v>7.4446500000000002</v>
      </c>
      <c r="G38" s="66">
        <v>330.27</v>
      </c>
      <c r="H38" s="67">
        <f t="shared" si="3"/>
        <v>2.4587445555</v>
      </c>
      <c r="I38" s="13">
        <f t="shared" si="4"/>
        <v>409.79075924999995</v>
      </c>
      <c r="J38" s="26"/>
      <c r="L38" s="19"/>
      <c r="M38" s="20"/>
      <c r="N38" s="21"/>
    </row>
    <row r="39" spans="1:14" ht="47.25" hidden="1" customHeight="1">
      <c r="A39" s="32">
        <v>11</v>
      </c>
      <c r="B39" s="63" t="s">
        <v>79</v>
      </c>
      <c r="C39" s="64" t="s">
        <v>86</v>
      </c>
      <c r="D39" s="63" t="s">
        <v>109</v>
      </c>
      <c r="E39" s="66">
        <v>48.03</v>
      </c>
      <c r="F39" s="66">
        <f>SUM(E39*35/1000)</f>
        <v>1.6810499999999999</v>
      </c>
      <c r="G39" s="66">
        <v>5464.48</v>
      </c>
      <c r="H39" s="67">
        <f t="shared" si="3"/>
        <v>9.1860641039999997</v>
      </c>
      <c r="I39" s="13">
        <f t="shared" si="4"/>
        <v>1531.0106839999999</v>
      </c>
      <c r="J39" s="26"/>
      <c r="L39" s="19"/>
      <c r="M39" s="20"/>
      <c r="N39" s="21"/>
    </row>
    <row r="40" spans="1:14" ht="15.75" hidden="1" customHeight="1">
      <c r="A40" s="32">
        <v>12</v>
      </c>
      <c r="B40" s="63" t="s">
        <v>87</v>
      </c>
      <c r="C40" s="64" t="s">
        <v>86</v>
      </c>
      <c r="D40" s="63" t="s">
        <v>67</v>
      </c>
      <c r="E40" s="66">
        <v>48.03</v>
      </c>
      <c r="F40" s="66">
        <f>SUM(E40*45/1000)</f>
        <v>2.1613500000000001</v>
      </c>
      <c r="G40" s="66">
        <v>403.67</v>
      </c>
      <c r="H40" s="67">
        <f t="shared" si="3"/>
        <v>0.87247215450000015</v>
      </c>
      <c r="I40" s="13">
        <f t="shared" si="4"/>
        <v>145.41202575000003</v>
      </c>
      <c r="J40" s="26"/>
      <c r="L40" s="19"/>
      <c r="M40" s="20"/>
      <c r="N40" s="21"/>
    </row>
    <row r="41" spans="1:14" ht="15.75" hidden="1" customHeight="1">
      <c r="A41" s="32">
        <v>13</v>
      </c>
      <c r="B41" s="63" t="s">
        <v>68</v>
      </c>
      <c r="C41" s="64" t="s">
        <v>31</v>
      </c>
      <c r="D41" s="63"/>
      <c r="E41" s="65"/>
      <c r="F41" s="66">
        <v>0.53</v>
      </c>
      <c r="G41" s="66">
        <v>750.34</v>
      </c>
      <c r="H41" s="67">
        <f t="shared" si="3"/>
        <v>0.39768020000000004</v>
      </c>
      <c r="I41" s="13">
        <f t="shared" si="4"/>
        <v>66.280033333333336</v>
      </c>
      <c r="J41" s="26"/>
      <c r="L41" s="19"/>
      <c r="M41" s="20"/>
      <c r="N41" s="21"/>
    </row>
    <row r="42" spans="1:14" ht="15.75" customHeight="1">
      <c r="A42" s="165" t="s">
        <v>125</v>
      </c>
      <c r="B42" s="166"/>
      <c r="C42" s="166"/>
      <c r="D42" s="166"/>
      <c r="E42" s="166"/>
      <c r="F42" s="166"/>
      <c r="G42" s="166"/>
      <c r="H42" s="166"/>
      <c r="I42" s="167"/>
      <c r="J42" s="26"/>
      <c r="L42" s="19"/>
      <c r="M42" s="20"/>
      <c r="N42" s="21"/>
    </row>
    <row r="43" spans="1:14" ht="15.75" customHeight="1">
      <c r="A43" s="32">
        <v>11</v>
      </c>
      <c r="B43" s="104" t="s">
        <v>110</v>
      </c>
      <c r="C43" s="105" t="s">
        <v>86</v>
      </c>
      <c r="D43" s="104" t="s">
        <v>172</v>
      </c>
      <c r="E43" s="121">
        <v>636.25</v>
      </c>
      <c r="F43" s="107">
        <f>SUM(E43*2/1000)</f>
        <v>1.2725</v>
      </c>
      <c r="G43" s="36">
        <v>1207.24</v>
      </c>
      <c r="H43" s="67">
        <f t="shared" ref="H43:H52" si="5">SUM(F43*G43/1000)</f>
        <v>1.5362129</v>
      </c>
      <c r="I43" s="13">
        <f t="shared" ref="I43:I46" si="6">F43/2*G43</f>
        <v>768.10645</v>
      </c>
      <c r="J43" s="26"/>
      <c r="L43" s="19"/>
      <c r="M43" s="20"/>
      <c r="N43" s="21"/>
    </row>
    <row r="44" spans="1:14" ht="15.75" customHeight="1">
      <c r="A44" s="32">
        <v>12</v>
      </c>
      <c r="B44" s="104" t="s">
        <v>34</v>
      </c>
      <c r="C44" s="105" t="s">
        <v>86</v>
      </c>
      <c r="D44" s="104" t="s">
        <v>172</v>
      </c>
      <c r="E44" s="121">
        <v>26</v>
      </c>
      <c r="F44" s="107">
        <f>SUM(E44*2/1000)</f>
        <v>5.1999999999999998E-2</v>
      </c>
      <c r="G44" s="36">
        <v>863.92</v>
      </c>
      <c r="H44" s="67">
        <f t="shared" si="5"/>
        <v>4.492384E-2</v>
      </c>
      <c r="I44" s="13">
        <f t="shared" si="6"/>
        <v>22.461919999999999</v>
      </c>
      <c r="J44" s="26"/>
      <c r="L44" s="19"/>
      <c r="M44" s="20"/>
      <c r="N44" s="21"/>
    </row>
    <row r="45" spans="1:14" ht="15.75" customHeight="1">
      <c r="A45" s="32">
        <v>13</v>
      </c>
      <c r="B45" s="104" t="s">
        <v>35</v>
      </c>
      <c r="C45" s="105" t="s">
        <v>86</v>
      </c>
      <c r="D45" s="104" t="s">
        <v>172</v>
      </c>
      <c r="E45" s="121">
        <v>579</v>
      </c>
      <c r="F45" s="107">
        <f>SUM(E45*2/1000)</f>
        <v>1.1579999999999999</v>
      </c>
      <c r="G45" s="36">
        <v>863.92</v>
      </c>
      <c r="H45" s="67">
        <f t="shared" si="5"/>
        <v>1.00041936</v>
      </c>
      <c r="I45" s="13">
        <f t="shared" si="6"/>
        <v>500.20967999999993</v>
      </c>
      <c r="J45" s="26"/>
      <c r="L45" s="19"/>
      <c r="M45" s="20"/>
      <c r="N45" s="21"/>
    </row>
    <row r="46" spans="1:14" ht="15.75" customHeight="1">
      <c r="A46" s="32">
        <v>14</v>
      </c>
      <c r="B46" s="104" t="s">
        <v>36</v>
      </c>
      <c r="C46" s="105" t="s">
        <v>86</v>
      </c>
      <c r="D46" s="104" t="s">
        <v>172</v>
      </c>
      <c r="E46" s="121">
        <v>683.33</v>
      </c>
      <c r="F46" s="107">
        <f>SUM(E46*2/1000)</f>
        <v>1.36666</v>
      </c>
      <c r="G46" s="36">
        <v>904.65</v>
      </c>
      <c r="H46" s="67">
        <f t="shared" si="5"/>
        <v>1.2363489689999998</v>
      </c>
      <c r="I46" s="13">
        <f t="shared" si="6"/>
        <v>618.17448449999995</v>
      </c>
      <c r="J46" s="26"/>
      <c r="L46" s="19"/>
      <c r="M46" s="20"/>
      <c r="N46" s="21"/>
    </row>
    <row r="47" spans="1:14" ht="15.75" customHeight="1">
      <c r="A47" s="32">
        <v>15</v>
      </c>
      <c r="B47" s="104" t="s">
        <v>32</v>
      </c>
      <c r="C47" s="105" t="s">
        <v>33</v>
      </c>
      <c r="D47" s="104" t="s">
        <v>172</v>
      </c>
      <c r="E47" s="121">
        <v>44.11</v>
      </c>
      <c r="F47" s="107">
        <f>SUM(E47*2/100)</f>
        <v>0.88219999999999998</v>
      </c>
      <c r="G47" s="36">
        <v>108.55</v>
      </c>
      <c r="H47" s="67">
        <f t="shared" si="5"/>
        <v>9.5762810000000004E-2</v>
      </c>
      <c r="I47" s="13">
        <f>F47/2*G47</f>
        <v>47.881405000000001</v>
      </c>
      <c r="J47" s="26"/>
      <c r="L47" s="19"/>
      <c r="M47" s="20"/>
      <c r="N47" s="21"/>
    </row>
    <row r="48" spans="1:14" ht="15.75" customHeight="1">
      <c r="A48" s="32">
        <v>16</v>
      </c>
      <c r="B48" s="104" t="s">
        <v>55</v>
      </c>
      <c r="C48" s="105" t="s">
        <v>86</v>
      </c>
      <c r="D48" s="104" t="s">
        <v>172</v>
      </c>
      <c r="E48" s="121">
        <v>500.2</v>
      </c>
      <c r="F48" s="107">
        <f>SUM(E48*5/1000)</f>
        <v>2.5009999999999999</v>
      </c>
      <c r="G48" s="36">
        <v>1809.27</v>
      </c>
      <c r="H48" s="67">
        <f t="shared" si="5"/>
        <v>4.52498427</v>
      </c>
      <c r="I48" s="13">
        <f>F48/5*G48</f>
        <v>904.99685399999998</v>
      </c>
      <c r="J48" s="26"/>
      <c r="L48" s="19"/>
      <c r="M48" s="20"/>
      <c r="N48" s="21"/>
    </row>
    <row r="49" spans="1:22" ht="29.25" customHeight="1">
      <c r="A49" s="32">
        <v>17</v>
      </c>
      <c r="B49" s="104" t="s">
        <v>88</v>
      </c>
      <c r="C49" s="105" t="s">
        <v>86</v>
      </c>
      <c r="D49" s="104" t="s">
        <v>172</v>
      </c>
      <c r="E49" s="121">
        <v>500.2</v>
      </c>
      <c r="F49" s="107">
        <f>SUM(E49*2/1000)</f>
        <v>1.0004</v>
      </c>
      <c r="G49" s="36">
        <v>1809.27</v>
      </c>
      <c r="H49" s="67">
        <f t="shared" si="5"/>
        <v>1.8099937079999999</v>
      </c>
      <c r="I49" s="13">
        <f>G49*F49/2</f>
        <v>904.99685399999998</v>
      </c>
      <c r="J49" s="26"/>
      <c r="L49" s="19"/>
      <c r="M49" s="20"/>
      <c r="N49" s="21"/>
    </row>
    <row r="50" spans="1:22" ht="34.5" customHeight="1">
      <c r="A50" s="32">
        <v>18</v>
      </c>
      <c r="B50" s="104" t="s">
        <v>89</v>
      </c>
      <c r="C50" s="105" t="s">
        <v>37</v>
      </c>
      <c r="D50" s="104" t="s">
        <v>172</v>
      </c>
      <c r="E50" s="121">
        <v>9</v>
      </c>
      <c r="F50" s="107">
        <f>SUM(E50*2/100)</f>
        <v>0.18</v>
      </c>
      <c r="G50" s="36">
        <v>4070.89</v>
      </c>
      <c r="H50" s="67">
        <f t="shared" si="5"/>
        <v>0.73276019999999997</v>
      </c>
      <c r="I50" s="13">
        <f>G50*F50/2</f>
        <v>366.38009999999997</v>
      </c>
      <c r="J50" s="26"/>
      <c r="L50" s="19"/>
      <c r="M50" s="20"/>
      <c r="N50" s="21"/>
    </row>
    <row r="51" spans="1:22" ht="18" customHeight="1">
      <c r="A51" s="32">
        <v>19</v>
      </c>
      <c r="B51" s="104" t="s">
        <v>38</v>
      </c>
      <c r="C51" s="105" t="s">
        <v>39</v>
      </c>
      <c r="D51" s="104" t="s">
        <v>172</v>
      </c>
      <c r="E51" s="121">
        <v>1</v>
      </c>
      <c r="F51" s="107">
        <v>0.02</v>
      </c>
      <c r="G51" s="36">
        <v>8426.7199999999993</v>
      </c>
      <c r="H51" s="67">
        <f t="shared" si="5"/>
        <v>0.16853439999999997</v>
      </c>
      <c r="I51" s="13">
        <f>G51*F51/2</f>
        <v>84.267199999999988</v>
      </c>
      <c r="J51" s="26"/>
      <c r="L51" s="19"/>
      <c r="M51" s="20"/>
      <c r="N51" s="21"/>
    </row>
    <row r="52" spans="1:22" ht="15.75" customHeight="1">
      <c r="A52" s="32">
        <v>20</v>
      </c>
      <c r="B52" s="104" t="s">
        <v>40</v>
      </c>
      <c r="C52" s="105" t="s">
        <v>111</v>
      </c>
      <c r="D52" s="143">
        <v>43966</v>
      </c>
      <c r="E52" s="121">
        <v>36</v>
      </c>
      <c r="F52" s="107">
        <f>SUM(E52)*3</f>
        <v>108</v>
      </c>
      <c r="G52" s="142">
        <v>97.93</v>
      </c>
      <c r="H52" s="67">
        <f t="shared" si="5"/>
        <v>10.57644</v>
      </c>
      <c r="I52" s="13">
        <f>E52*G52</f>
        <v>3525.4800000000005</v>
      </c>
      <c r="J52" s="26"/>
      <c r="L52" s="19"/>
      <c r="M52" s="20"/>
      <c r="N52" s="21"/>
    </row>
    <row r="53" spans="1:22" ht="15.75" customHeight="1">
      <c r="A53" s="165" t="s">
        <v>127</v>
      </c>
      <c r="B53" s="166"/>
      <c r="C53" s="166"/>
      <c r="D53" s="166"/>
      <c r="E53" s="166"/>
      <c r="F53" s="166"/>
      <c r="G53" s="166"/>
      <c r="H53" s="166"/>
      <c r="I53" s="167"/>
      <c r="J53" s="26"/>
      <c r="L53" s="19"/>
      <c r="M53" s="20"/>
      <c r="N53" s="21"/>
    </row>
    <row r="54" spans="1:22" ht="15.75" hidden="1" customHeight="1">
      <c r="A54" s="32"/>
      <c r="B54" s="84" t="s">
        <v>42</v>
      </c>
      <c r="C54" s="64"/>
      <c r="D54" s="63"/>
      <c r="E54" s="65"/>
      <c r="F54" s="66"/>
      <c r="G54" s="66"/>
      <c r="H54" s="67"/>
      <c r="I54" s="13"/>
      <c r="J54" s="26"/>
      <c r="L54" s="19"/>
      <c r="M54" s="20"/>
      <c r="N54" s="21"/>
    </row>
    <row r="55" spans="1:22" ht="31.5" hidden="1" customHeight="1">
      <c r="A55" s="32">
        <v>16</v>
      </c>
      <c r="B55" s="63" t="s">
        <v>112</v>
      </c>
      <c r="C55" s="64" t="s">
        <v>83</v>
      </c>
      <c r="D55" s="63" t="s">
        <v>113</v>
      </c>
      <c r="E55" s="65">
        <v>72.33</v>
      </c>
      <c r="F55" s="66">
        <f>SUM(E55*6/100)</f>
        <v>4.3398000000000003</v>
      </c>
      <c r="G55" s="13">
        <v>1456.95</v>
      </c>
      <c r="H55" s="67">
        <f>SUM(F55*G55/1000)</f>
        <v>6.3228716100000009</v>
      </c>
      <c r="I55" s="13">
        <f>F55/6*G55</f>
        <v>1053.8119350000002</v>
      </c>
      <c r="J55" s="26"/>
      <c r="L55" s="19"/>
      <c r="M55" s="20"/>
      <c r="N55" s="21"/>
    </row>
    <row r="56" spans="1:22" ht="15.75" customHeight="1">
      <c r="A56" s="32"/>
      <c r="B56" s="84" t="s">
        <v>43</v>
      </c>
      <c r="C56" s="64"/>
      <c r="D56" s="63"/>
      <c r="E56" s="65"/>
      <c r="F56" s="67"/>
      <c r="G56" s="13"/>
      <c r="H56" s="72"/>
      <c r="I56" s="13"/>
      <c r="J56" s="26"/>
      <c r="L56" s="19"/>
      <c r="M56" s="20"/>
      <c r="N56" s="21"/>
    </row>
    <row r="57" spans="1:22" ht="15.75" hidden="1" customHeight="1">
      <c r="A57" s="32"/>
      <c r="B57" s="63" t="s">
        <v>114</v>
      </c>
      <c r="C57" s="64"/>
      <c r="D57" s="63" t="s">
        <v>53</v>
      </c>
      <c r="E57" s="65">
        <v>952</v>
      </c>
      <c r="F57" s="67">
        <v>9.52</v>
      </c>
      <c r="G57" s="13">
        <v>848.37</v>
      </c>
      <c r="H57" s="72">
        <f>F57*G57/1000</f>
        <v>8.0764823999999997</v>
      </c>
      <c r="I57" s="13">
        <v>0</v>
      </c>
      <c r="J57" s="26"/>
      <c r="L57" s="19"/>
    </row>
    <row r="58" spans="1:22" ht="15.75" customHeight="1">
      <c r="A58" s="32">
        <v>21</v>
      </c>
      <c r="B58" s="109" t="s">
        <v>162</v>
      </c>
      <c r="C58" s="110" t="s">
        <v>163</v>
      </c>
      <c r="D58" s="109" t="s">
        <v>172</v>
      </c>
      <c r="E58" s="126">
        <v>100</v>
      </c>
      <c r="F58" s="36">
        <f>E58*12</f>
        <v>1200</v>
      </c>
      <c r="G58" s="36">
        <v>1.4</v>
      </c>
      <c r="H58" s="119"/>
      <c r="I58" s="13">
        <f>G58*F58/12</f>
        <v>140</v>
      </c>
      <c r="J58" s="26"/>
      <c r="L58" s="19"/>
    </row>
    <row r="59" spans="1:22" ht="15.75" hidden="1" customHeight="1">
      <c r="A59" s="32"/>
      <c r="B59" s="85" t="s">
        <v>44</v>
      </c>
      <c r="C59" s="73"/>
      <c r="D59" s="74"/>
      <c r="E59" s="75"/>
      <c r="F59" s="76"/>
      <c r="G59" s="76"/>
      <c r="H59" s="77" t="s">
        <v>132</v>
      </c>
      <c r="I59" s="13"/>
    </row>
    <row r="60" spans="1:22" ht="15.75" hidden="1" customHeight="1">
      <c r="A60" s="32">
        <v>17</v>
      </c>
      <c r="B60" s="14" t="s">
        <v>45</v>
      </c>
      <c r="C60" s="16" t="s">
        <v>111</v>
      </c>
      <c r="D60" s="14" t="s">
        <v>65</v>
      </c>
      <c r="E60" s="18">
        <v>5</v>
      </c>
      <c r="F60" s="66">
        <v>5</v>
      </c>
      <c r="G60" s="13">
        <v>237.74</v>
      </c>
      <c r="H60" s="78">
        <f t="shared" ref="H60:H77" si="7">SUM(F60*G60/1000)</f>
        <v>1.1887000000000001</v>
      </c>
      <c r="I60" s="13">
        <f>G60</f>
        <v>237.74</v>
      </c>
    </row>
    <row r="61" spans="1:22" ht="15.75" hidden="1" customHeight="1">
      <c r="A61" s="32"/>
      <c r="B61" s="14" t="s">
        <v>46</v>
      </c>
      <c r="C61" s="16" t="s">
        <v>111</v>
      </c>
      <c r="D61" s="14" t="s">
        <v>65</v>
      </c>
      <c r="E61" s="18">
        <v>2</v>
      </c>
      <c r="F61" s="66">
        <v>2</v>
      </c>
      <c r="G61" s="13">
        <v>81.510000000000005</v>
      </c>
      <c r="H61" s="78">
        <f t="shared" si="7"/>
        <v>0.16302</v>
      </c>
      <c r="I61" s="13">
        <v>0</v>
      </c>
    </row>
    <row r="62" spans="1:22" ht="15.75" hidden="1" customHeight="1">
      <c r="A62" s="32">
        <v>27</v>
      </c>
      <c r="B62" s="14" t="s">
        <v>47</v>
      </c>
      <c r="C62" s="16" t="s">
        <v>115</v>
      </c>
      <c r="D62" s="14" t="s">
        <v>53</v>
      </c>
      <c r="E62" s="65">
        <v>4292</v>
      </c>
      <c r="F62" s="13">
        <f>SUM(E62/100)</f>
        <v>42.92</v>
      </c>
      <c r="G62" s="13">
        <v>226.79</v>
      </c>
      <c r="H62" s="78">
        <f t="shared" si="7"/>
        <v>9.733826800000001</v>
      </c>
      <c r="I62" s="13">
        <f>F62*G62</f>
        <v>9733.8268000000007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32">
        <v>28</v>
      </c>
      <c r="B63" s="14" t="s">
        <v>48</v>
      </c>
      <c r="C63" s="16" t="s">
        <v>116</v>
      </c>
      <c r="D63" s="14"/>
      <c r="E63" s="65">
        <v>4292</v>
      </c>
      <c r="F63" s="13">
        <f>SUM(E63/1000)</f>
        <v>4.2919999999999998</v>
      </c>
      <c r="G63" s="13">
        <v>176.61</v>
      </c>
      <c r="H63" s="78">
        <f t="shared" si="7"/>
        <v>0.75801012000000001</v>
      </c>
      <c r="I63" s="13">
        <f t="shared" ref="I63:I79" si="8">F63*G63</f>
        <v>758.01012000000003</v>
      </c>
      <c r="J63" s="28"/>
      <c r="K63" s="28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32">
        <v>29</v>
      </c>
      <c r="B64" s="14" t="s">
        <v>49</v>
      </c>
      <c r="C64" s="16" t="s">
        <v>75</v>
      </c>
      <c r="D64" s="14" t="s">
        <v>53</v>
      </c>
      <c r="E64" s="65">
        <v>510</v>
      </c>
      <c r="F64" s="13">
        <f>SUM(E64/100)</f>
        <v>5.0999999999999996</v>
      </c>
      <c r="G64" s="13">
        <v>2217.7800000000002</v>
      </c>
      <c r="H64" s="78">
        <f t="shared" si="7"/>
        <v>11.310677999999999</v>
      </c>
      <c r="I64" s="13">
        <f t="shared" si="8"/>
        <v>11310.678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32">
        <v>30</v>
      </c>
      <c r="B65" s="79" t="s">
        <v>117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42.67</v>
      </c>
      <c r="H65" s="78">
        <f t="shared" si="7"/>
        <v>0.19628199999999998</v>
      </c>
      <c r="I65" s="13">
        <f t="shared" si="8"/>
        <v>196.28199999999998</v>
      </c>
      <c r="J65" s="5"/>
      <c r="K65" s="5"/>
      <c r="L65" s="5"/>
      <c r="M65" s="5"/>
      <c r="N65" s="5"/>
      <c r="O65" s="5"/>
      <c r="P65" s="5"/>
      <c r="Q65" s="5"/>
      <c r="R65" s="168"/>
      <c r="S65" s="168"/>
      <c r="T65" s="168"/>
      <c r="U65" s="168"/>
    </row>
    <row r="66" spans="1:21" ht="15.75" hidden="1" customHeight="1">
      <c r="A66" s="32">
        <v>31</v>
      </c>
      <c r="B66" s="79" t="s">
        <v>118</v>
      </c>
      <c r="C66" s="16" t="s">
        <v>31</v>
      </c>
      <c r="D66" s="14"/>
      <c r="E66" s="65">
        <v>4.5999999999999996</v>
      </c>
      <c r="F66" s="13">
        <f>SUM(E66)</f>
        <v>4.5999999999999996</v>
      </c>
      <c r="G66" s="13">
        <v>39.81</v>
      </c>
      <c r="H66" s="78">
        <f t="shared" si="7"/>
        <v>0.18312600000000001</v>
      </c>
      <c r="I66" s="13">
        <f t="shared" si="8"/>
        <v>183.126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1:21" ht="15.75" hidden="1" customHeight="1">
      <c r="A67" s="32"/>
      <c r="B67" s="14" t="s">
        <v>56</v>
      </c>
      <c r="C67" s="16" t="s">
        <v>57</v>
      </c>
      <c r="D67" s="14" t="s">
        <v>53</v>
      </c>
      <c r="E67" s="18">
        <v>3</v>
      </c>
      <c r="F67" s="66">
        <v>3</v>
      </c>
      <c r="G67" s="13">
        <v>53.32</v>
      </c>
      <c r="H67" s="78">
        <f t="shared" si="7"/>
        <v>0.15996000000000002</v>
      </c>
      <c r="I67" s="13">
        <f t="shared" si="8"/>
        <v>159.96</v>
      </c>
    </row>
    <row r="68" spans="1:21" ht="15.75" customHeight="1">
      <c r="A68" s="32"/>
      <c r="B68" s="138" t="s">
        <v>194</v>
      </c>
      <c r="C68" s="16"/>
      <c r="D68" s="14"/>
      <c r="E68" s="18"/>
      <c r="F68" s="59"/>
      <c r="G68" s="13"/>
      <c r="H68" s="78"/>
      <c r="I68" s="13"/>
    </row>
    <row r="69" spans="1:21" ht="28.5" customHeight="1">
      <c r="A69" s="32">
        <v>22</v>
      </c>
      <c r="B69" s="127" t="s">
        <v>192</v>
      </c>
      <c r="C69" s="128" t="s">
        <v>193</v>
      </c>
      <c r="D69" s="129"/>
      <c r="E69" s="17">
        <v>1042.5999999999999</v>
      </c>
      <c r="F69" s="130">
        <f>E69*12</f>
        <v>12511.199999999999</v>
      </c>
      <c r="G69" s="130">
        <v>2.6</v>
      </c>
      <c r="H69" s="78"/>
      <c r="I69" s="13">
        <f>G69*F69/12</f>
        <v>2710.7599999999998</v>
      </c>
    </row>
    <row r="70" spans="1:21" ht="15.75" customHeight="1">
      <c r="A70" s="32"/>
      <c r="B70" s="50" t="s">
        <v>70</v>
      </c>
      <c r="C70" s="16"/>
      <c r="D70" s="14"/>
      <c r="E70" s="18"/>
      <c r="F70" s="13"/>
      <c r="G70" s="13"/>
      <c r="H70" s="78" t="s">
        <v>132</v>
      </c>
      <c r="I70" s="13"/>
    </row>
    <row r="71" spans="1:21" ht="15.75" hidden="1" customHeight="1">
      <c r="A71" s="32"/>
      <c r="B71" s="14" t="s">
        <v>71</v>
      </c>
      <c r="C71" s="16" t="s">
        <v>73</v>
      </c>
      <c r="D71" s="14"/>
      <c r="E71" s="18">
        <v>2</v>
      </c>
      <c r="F71" s="13">
        <v>0.2</v>
      </c>
      <c r="G71" s="13">
        <v>536.23</v>
      </c>
      <c r="H71" s="78">
        <f t="shared" si="7"/>
        <v>0.10724600000000001</v>
      </c>
      <c r="I71" s="13">
        <f t="shared" si="8"/>
        <v>107.24600000000001</v>
      </c>
    </row>
    <row r="72" spans="1:21" ht="15.75" hidden="1" customHeight="1">
      <c r="A72" s="32"/>
      <c r="B72" s="14" t="s">
        <v>72</v>
      </c>
      <c r="C72" s="16" t="s">
        <v>29</v>
      </c>
      <c r="D72" s="14"/>
      <c r="E72" s="18">
        <v>1</v>
      </c>
      <c r="F72" s="59">
        <v>1</v>
      </c>
      <c r="G72" s="13">
        <v>911.85</v>
      </c>
      <c r="H72" s="78">
        <f t="shared" si="7"/>
        <v>0.91185000000000005</v>
      </c>
      <c r="I72" s="13">
        <f t="shared" si="8"/>
        <v>911.85</v>
      </c>
    </row>
    <row r="73" spans="1:21" ht="15.75" hidden="1" customHeight="1">
      <c r="A73" s="32"/>
      <c r="B73" s="14" t="s">
        <v>133</v>
      </c>
      <c r="C73" s="16" t="s">
        <v>134</v>
      </c>
      <c r="D73" s="14"/>
      <c r="E73" s="18"/>
      <c r="F73" s="13"/>
      <c r="G73" s="13">
        <v>31.54</v>
      </c>
      <c r="H73" s="78">
        <f t="shared" si="7"/>
        <v>0</v>
      </c>
      <c r="I73" s="13">
        <f t="shared" si="8"/>
        <v>0</v>
      </c>
    </row>
    <row r="74" spans="1:21" ht="15.75" hidden="1" customHeight="1">
      <c r="A74" s="32"/>
      <c r="B74" s="14" t="s">
        <v>120</v>
      </c>
      <c r="C74" s="16" t="s">
        <v>29</v>
      </c>
      <c r="D74" s="14"/>
      <c r="E74" s="18">
        <v>1</v>
      </c>
      <c r="F74" s="13">
        <v>1</v>
      </c>
      <c r="G74" s="13">
        <v>383.25</v>
      </c>
      <c r="H74" s="78">
        <f>G74*F74/1000</f>
        <v>0.38324999999999998</v>
      </c>
      <c r="I74" s="13">
        <f t="shared" si="8"/>
        <v>383.25</v>
      </c>
    </row>
    <row r="75" spans="1:21" ht="15.75" customHeight="1">
      <c r="A75" s="32">
        <v>23</v>
      </c>
      <c r="B75" s="102" t="s">
        <v>195</v>
      </c>
      <c r="C75" s="103" t="s">
        <v>29</v>
      </c>
      <c r="D75" s="102" t="s">
        <v>173</v>
      </c>
      <c r="E75" s="17">
        <v>1</v>
      </c>
      <c r="F75" s="36">
        <f>E75*12</f>
        <v>12</v>
      </c>
      <c r="G75" s="36">
        <v>420</v>
      </c>
      <c r="H75" s="78"/>
      <c r="I75" s="13">
        <f>G75*F75/12</f>
        <v>420</v>
      </c>
    </row>
    <row r="76" spans="1:21" ht="15" hidden="1" customHeight="1">
      <c r="A76" s="32"/>
      <c r="B76" s="81" t="s">
        <v>74</v>
      </c>
      <c r="C76" s="16"/>
      <c r="D76" s="14"/>
      <c r="E76" s="18"/>
      <c r="F76" s="13"/>
      <c r="G76" s="13" t="s">
        <v>132</v>
      </c>
      <c r="H76" s="78" t="s">
        <v>132</v>
      </c>
      <c r="I76" s="13"/>
    </row>
    <row r="77" spans="1:21" ht="15.75" hidden="1" customHeight="1">
      <c r="A77" s="32">
        <v>30</v>
      </c>
      <c r="B77" s="44" t="s">
        <v>142</v>
      </c>
      <c r="C77" s="16" t="s">
        <v>75</v>
      </c>
      <c r="D77" s="14"/>
      <c r="E77" s="18"/>
      <c r="F77" s="13">
        <v>0.1</v>
      </c>
      <c r="G77" s="13">
        <v>2949.85</v>
      </c>
      <c r="H77" s="78">
        <f t="shared" si="7"/>
        <v>0.294985</v>
      </c>
      <c r="I77" s="13">
        <f>G77*0.03</f>
        <v>88.495499999999993</v>
      </c>
    </row>
    <row r="78" spans="1:21" ht="14.25" hidden="1" customHeight="1">
      <c r="A78" s="32"/>
      <c r="B78" s="88" t="s">
        <v>90</v>
      </c>
      <c r="C78" s="88"/>
      <c r="D78" s="88"/>
      <c r="E78" s="88"/>
      <c r="F78" s="88"/>
      <c r="G78" s="69"/>
      <c r="H78" s="82">
        <f>SUM(H55:H77)</f>
        <v>39.790287929999998</v>
      </c>
      <c r="I78" s="13"/>
    </row>
    <row r="79" spans="1:21" ht="15" hidden="1" customHeight="1">
      <c r="A79" s="32">
        <v>31</v>
      </c>
      <c r="B79" s="86" t="s">
        <v>119</v>
      </c>
      <c r="C79" s="23"/>
      <c r="D79" s="22"/>
      <c r="E79" s="83"/>
      <c r="F79" s="87">
        <v>1</v>
      </c>
      <c r="G79" s="13">
        <v>3592.8</v>
      </c>
      <c r="H79" s="78">
        <f>G79*F79/1000</f>
        <v>3.5928</v>
      </c>
      <c r="I79" s="13">
        <f t="shared" si="8"/>
        <v>3592.8</v>
      </c>
    </row>
    <row r="80" spans="1:21" ht="15.75" customHeight="1">
      <c r="A80" s="165" t="s">
        <v>128</v>
      </c>
      <c r="B80" s="166"/>
      <c r="C80" s="166"/>
      <c r="D80" s="166"/>
      <c r="E80" s="166"/>
      <c r="F80" s="166"/>
      <c r="G80" s="166"/>
      <c r="H80" s="166"/>
      <c r="I80" s="167"/>
    </row>
    <row r="81" spans="1:9" ht="15.75" customHeight="1">
      <c r="A81" s="32">
        <v>24</v>
      </c>
      <c r="B81" s="104" t="s">
        <v>121</v>
      </c>
      <c r="C81" s="103" t="s">
        <v>54</v>
      </c>
      <c r="D81" s="49"/>
      <c r="E81" s="36">
        <v>1042.5999999999999</v>
      </c>
      <c r="F81" s="36">
        <f>SUM(E81*12)</f>
        <v>12511.199999999999</v>
      </c>
      <c r="G81" s="36">
        <v>3.5</v>
      </c>
      <c r="H81" s="78">
        <f>SUM(F81*G81/1000)</f>
        <v>43.789199999999994</v>
      </c>
      <c r="I81" s="13">
        <f>G81*F81/12</f>
        <v>3649.1</v>
      </c>
    </row>
    <row r="82" spans="1:9" ht="31.5" customHeight="1">
      <c r="A82" s="32">
        <v>25</v>
      </c>
      <c r="B82" s="102" t="s">
        <v>196</v>
      </c>
      <c r="C82" s="103" t="s">
        <v>54</v>
      </c>
      <c r="D82" s="96"/>
      <c r="E82" s="121">
        <f>E81</f>
        <v>1042.5999999999999</v>
      </c>
      <c r="F82" s="36">
        <f>E82*12</f>
        <v>12511.199999999999</v>
      </c>
      <c r="G82" s="36">
        <v>3.2</v>
      </c>
      <c r="H82" s="78">
        <f>F82*G82/1000</f>
        <v>40.035839999999993</v>
      </c>
      <c r="I82" s="13">
        <f>G82*F82/12</f>
        <v>3336.3199999999997</v>
      </c>
    </row>
    <row r="83" spans="1:9" ht="15.75" customHeight="1">
      <c r="A83" s="32"/>
      <c r="B83" s="37" t="s">
        <v>78</v>
      </c>
      <c r="C83" s="81"/>
      <c r="D83" s="80"/>
      <c r="E83" s="69"/>
      <c r="F83" s="69"/>
      <c r="G83" s="69"/>
      <c r="H83" s="82">
        <f>H82</f>
        <v>40.035839999999993</v>
      </c>
      <c r="I83" s="69">
        <f>I82+I81+I75+I69+I58+I52+I51+I50+I49+I48+I47+I46+I45+I44+I43+I32+I31+I30+I27+I21+I20+I18+I17+I16+I33</f>
        <v>25077.702692833336</v>
      </c>
    </row>
    <row r="84" spans="1:9" ht="15.75" customHeight="1">
      <c r="A84" s="170" t="s">
        <v>59</v>
      </c>
      <c r="B84" s="171"/>
      <c r="C84" s="171"/>
      <c r="D84" s="171"/>
      <c r="E84" s="171"/>
      <c r="F84" s="171"/>
      <c r="G84" s="171"/>
      <c r="H84" s="171"/>
      <c r="I84" s="172"/>
    </row>
    <row r="85" spans="1:9" ht="15.75" customHeight="1">
      <c r="A85" s="146">
        <v>26</v>
      </c>
      <c r="B85" s="98" t="s">
        <v>159</v>
      </c>
      <c r="C85" s="99" t="s">
        <v>111</v>
      </c>
      <c r="D85" s="109"/>
      <c r="E85" s="144"/>
      <c r="F85" s="145">
        <v>1</v>
      </c>
      <c r="G85" s="111">
        <v>215.85</v>
      </c>
      <c r="H85" s="139"/>
      <c r="I85" s="147">
        <f>G85*1</f>
        <v>215.85</v>
      </c>
    </row>
    <row r="86" spans="1:9">
      <c r="A86" s="32"/>
      <c r="B86" s="42" t="s">
        <v>50</v>
      </c>
      <c r="C86" s="38"/>
      <c r="D86" s="45"/>
      <c r="E86" s="38">
        <v>1</v>
      </c>
      <c r="F86" s="38"/>
      <c r="G86" s="38"/>
      <c r="H86" s="38"/>
      <c r="I86" s="34">
        <f>I85</f>
        <v>215.85</v>
      </c>
    </row>
    <row r="87" spans="1:9" ht="16.5" customHeight="1">
      <c r="A87" s="32"/>
      <c r="B87" s="44" t="s">
        <v>77</v>
      </c>
      <c r="C87" s="15"/>
      <c r="D87" s="15"/>
      <c r="E87" s="39"/>
      <c r="F87" s="39"/>
      <c r="G87" s="40"/>
      <c r="H87" s="40"/>
      <c r="I87" s="17">
        <v>0</v>
      </c>
    </row>
    <row r="88" spans="1:9" ht="16.5" customHeight="1">
      <c r="A88" s="46"/>
      <c r="B88" s="43" t="s">
        <v>156</v>
      </c>
      <c r="C88" s="35"/>
      <c r="D88" s="35"/>
      <c r="E88" s="35"/>
      <c r="F88" s="35"/>
      <c r="G88" s="35"/>
      <c r="H88" s="35"/>
      <c r="I88" s="41">
        <f>I83+I86</f>
        <v>25293.552692833335</v>
      </c>
    </row>
    <row r="89" spans="1:9" ht="15.75" customHeight="1">
      <c r="A89" s="180" t="s">
        <v>216</v>
      </c>
      <c r="B89" s="180"/>
      <c r="C89" s="180"/>
      <c r="D89" s="180"/>
      <c r="E89" s="180"/>
      <c r="F89" s="180"/>
      <c r="G89" s="180"/>
      <c r="H89" s="180"/>
      <c r="I89" s="180"/>
    </row>
    <row r="90" spans="1:9" ht="15.75" customHeight="1">
      <c r="A90" s="56"/>
      <c r="B90" s="181" t="s">
        <v>217</v>
      </c>
      <c r="C90" s="181"/>
      <c r="D90" s="181"/>
      <c r="E90" s="181"/>
      <c r="F90" s="181"/>
      <c r="G90" s="181"/>
      <c r="H90" s="62"/>
      <c r="I90" s="3"/>
    </row>
    <row r="91" spans="1:9">
      <c r="A91" s="55"/>
      <c r="B91" s="178" t="s">
        <v>6</v>
      </c>
      <c r="C91" s="178"/>
      <c r="D91" s="178"/>
      <c r="E91" s="178"/>
      <c r="F91" s="178"/>
      <c r="G91" s="178"/>
      <c r="H91" s="27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74" t="s">
        <v>7</v>
      </c>
      <c r="B93" s="174"/>
      <c r="C93" s="174"/>
      <c r="D93" s="174"/>
      <c r="E93" s="174"/>
      <c r="F93" s="174"/>
      <c r="G93" s="174"/>
      <c r="H93" s="174"/>
      <c r="I93" s="174"/>
    </row>
    <row r="94" spans="1:9" ht="15.75">
      <c r="A94" s="174" t="s">
        <v>8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175" t="s">
        <v>60</v>
      </c>
      <c r="B95" s="175"/>
      <c r="C95" s="175"/>
      <c r="D95" s="175"/>
      <c r="E95" s="175"/>
      <c r="F95" s="175"/>
      <c r="G95" s="175"/>
      <c r="H95" s="175"/>
      <c r="I95" s="175"/>
    </row>
    <row r="96" spans="1:9" ht="15.75">
      <c r="A96" s="11"/>
    </row>
    <row r="97" spans="1:9" ht="15.75">
      <c r="A97" s="176" t="s">
        <v>9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>
      <c r="A98" s="4"/>
    </row>
    <row r="99" spans="1:9" ht="15.75">
      <c r="B99" s="52" t="s">
        <v>10</v>
      </c>
      <c r="C99" s="177" t="s">
        <v>124</v>
      </c>
      <c r="D99" s="177"/>
      <c r="E99" s="177"/>
      <c r="F99" s="60"/>
      <c r="I99" s="54"/>
    </row>
    <row r="100" spans="1:9">
      <c r="A100" s="55"/>
      <c r="C100" s="178" t="s">
        <v>11</v>
      </c>
      <c r="D100" s="178"/>
      <c r="E100" s="178"/>
      <c r="F100" s="27"/>
      <c r="I100" s="53" t="s">
        <v>12</v>
      </c>
    </row>
    <row r="101" spans="1:9" ht="15.75">
      <c r="A101" s="28"/>
      <c r="C101" s="12"/>
      <c r="D101" s="12"/>
      <c r="G101" s="12"/>
      <c r="H101" s="12"/>
    </row>
    <row r="102" spans="1:9" ht="15.75">
      <c r="B102" s="52" t="s">
        <v>13</v>
      </c>
      <c r="C102" s="179"/>
      <c r="D102" s="179"/>
      <c r="E102" s="179"/>
      <c r="F102" s="61"/>
      <c r="I102" s="54"/>
    </row>
    <row r="103" spans="1:9">
      <c r="A103" s="55"/>
      <c r="C103" s="168" t="s">
        <v>11</v>
      </c>
      <c r="D103" s="168"/>
      <c r="E103" s="168"/>
      <c r="F103" s="55"/>
      <c r="I103" s="53" t="s">
        <v>12</v>
      </c>
    </row>
    <row r="104" spans="1:9" ht="15.75">
      <c r="A104" s="4" t="s">
        <v>14</v>
      </c>
    </row>
    <row r="105" spans="1:9">
      <c r="A105" s="169" t="s">
        <v>15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45" customHeight="1">
      <c r="A106" s="173" t="s">
        <v>16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30" customHeight="1">
      <c r="A107" s="173" t="s">
        <v>17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30" customHeight="1">
      <c r="A108" s="173" t="s">
        <v>21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14.25" customHeight="1">
      <c r="A109" s="173" t="s">
        <v>20</v>
      </c>
      <c r="B109" s="173"/>
      <c r="C109" s="173"/>
      <c r="D109" s="173"/>
      <c r="E109" s="173"/>
      <c r="F109" s="173"/>
      <c r="G109" s="173"/>
      <c r="H109" s="173"/>
      <c r="I109" s="173"/>
    </row>
  </sheetData>
  <autoFilter ref="I12:I60"/>
  <mergeCells count="29">
    <mergeCell ref="R65:U65"/>
    <mergeCell ref="A80:I80"/>
    <mergeCell ref="A3:I3"/>
    <mergeCell ref="A4:I4"/>
    <mergeCell ref="A5:I5"/>
    <mergeCell ref="A8:I8"/>
    <mergeCell ref="A10:I10"/>
    <mergeCell ref="A14:I14"/>
    <mergeCell ref="A95:I95"/>
    <mergeCell ref="A15:I15"/>
    <mergeCell ref="A28:I28"/>
    <mergeCell ref="A42:I42"/>
    <mergeCell ref="A53:I53"/>
    <mergeCell ref="A89:I89"/>
    <mergeCell ref="B90:G90"/>
    <mergeCell ref="B91:G91"/>
    <mergeCell ref="A93:I93"/>
    <mergeCell ref="A94:I94"/>
    <mergeCell ref="A84:I84"/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0"/>
  <sheetViews>
    <sheetView topLeftCell="A60" workbookViewId="0">
      <selection activeCell="B82" sqref="B82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149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218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44012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210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7.25" customHeight="1">
      <c r="A19" s="32">
        <v>4</v>
      </c>
      <c r="B19" s="104" t="s">
        <v>92</v>
      </c>
      <c r="C19" s="105" t="s">
        <v>93</v>
      </c>
      <c r="D19" s="104" t="s">
        <v>222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5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6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customHeight="1">
      <c r="A22" s="32">
        <v>7</v>
      </c>
      <c r="B22" s="104" t="s">
        <v>97</v>
      </c>
      <c r="C22" s="105" t="s">
        <v>52</v>
      </c>
      <c r="D22" s="104" t="s">
        <v>219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customHeight="1">
      <c r="A23" s="32">
        <v>8</v>
      </c>
      <c r="B23" s="104" t="s">
        <v>98</v>
      </c>
      <c r="C23" s="105" t="s">
        <v>52</v>
      </c>
      <c r="D23" s="104" t="s">
        <v>220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customHeight="1">
      <c r="A24" s="32">
        <v>9</v>
      </c>
      <c r="B24" s="104" t="s">
        <v>99</v>
      </c>
      <c r="C24" s="105" t="s">
        <v>52</v>
      </c>
      <c r="D24" s="104" t="s">
        <v>221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customHeight="1">
      <c r="A25" s="32">
        <v>10</v>
      </c>
      <c r="B25" s="104" t="s">
        <v>101</v>
      </c>
      <c r="C25" s="105" t="s">
        <v>52</v>
      </c>
      <c r="D25" s="104" t="s">
        <v>173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customHeight="1">
      <c r="A26" s="32">
        <v>11</v>
      </c>
      <c r="B26" s="104" t="s">
        <v>102</v>
      </c>
      <c r="C26" s="105" t="s">
        <v>52</v>
      </c>
      <c r="D26" s="104" t="s">
        <v>219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12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13</v>
      </c>
      <c r="B30" s="104" t="s">
        <v>107</v>
      </c>
      <c r="C30" s="105" t="s">
        <v>86</v>
      </c>
      <c r="D30" s="104" t="s">
        <v>214</v>
      </c>
      <c r="E30" s="107">
        <v>150</v>
      </c>
      <c r="F30" s="107">
        <f>SUM(E30*24/1000)</f>
        <v>3.6</v>
      </c>
      <c r="G30" s="107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14</v>
      </c>
      <c r="B31" s="104" t="s">
        <v>211</v>
      </c>
      <c r="C31" s="105" t="s">
        <v>86</v>
      </c>
      <c r="D31" s="104" t="s">
        <v>215</v>
      </c>
      <c r="E31" s="107">
        <v>38.5</v>
      </c>
      <c r="F31" s="107">
        <f>SUM(E31*72/1000)</f>
        <v>2.7719999999999998</v>
      </c>
      <c r="G31" s="107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4" t="s">
        <v>26</v>
      </c>
      <c r="C32" s="105" t="s">
        <v>86</v>
      </c>
      <c r="D32" s="104" t="s">
        <v>173</v>
      </c>
      <c r="E32" s="107">
        <v>150</v>
      </c>
      <c r="F32" s="107">
        <f>SUM(E32/1000)</f>
        <v>0.15</v>
      </c>
      <c r="G32" s="107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15</v>
      </c>
      <c r="B33" s="141" t="s">
        <v>212</v>
      </c>
      <c r="C33" s="99" t="s">
        <v>213</v>
      </c>
      <c r="D33" s="104" t="s">
        <v>176</v>
      </c>
      <c r="E33" s="107">
        <v>2</v>
      </c>
      <c r="F33" s="107">
        <f>E33*155/100</f>
        <v>3.1</v>
      </c>
      <c r="G33" s="107">
        <v>1941.17</v>
      </c>
      <c r="H33" s="67">
        <f t="shared" si="1"/>
        <v>6.0176270000000001</v>
      </c>
      <c r="I33" s="13">
        <f>G33*F33/6</f>
        <v>1002.9378333333334</v>
      </c>
      <c r="J33" s="25"/>
      <c r="K33" s="8"/>
      <c r="L33" s="8"/>
      <c r="M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ref="H34:H35" si="3">SUM(F34*G34/1000)</f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3"/>
        <v>1.2147399999999999</v>
      </c>
      <c r="I35" s="13">
        <v>0</v>
      </c>
      <c r="J35" s="26"/>
    </row>
    <row r="36" spans="1:14" ht="15.75" hidden="1" customHeight="1">
      <c r="A36" s="32"/>
      <c r="B36" s="84" t="s">
        <v>5</v>
      </c>
      <c r="C36" s="64"/>
      <c r="D36" s="63"/>
      <c r="E36" s="65"/>
      <c r="F36" s="66"/>
      <c r="G36" s="66"/>
      <c r="H36" s="67" t="s">
        <v>132</v>
      </c>
      <c r="I36" s="13"/>
      <c r="J36" s="26"/>
    </row>
    <row r="37" spans="1:14" ht="15.75" hidden="1" customHeight="1">
      <c r="A37" s="32">
        <v>8</v>
      </c>
      <c r="B37" s="63" t="s">
        <v>25</v>
      </c>
      <c r="C37" s="64" t="s">
        <v>30</v>
      </c>
      <c r="D37" s="63"/>
      <c r="E37" s="65"/>
      <c r="F37" s="66">
        <v>3</v>
      </c>
      <c r="G37" s="66">
        <v>1632.6</v>
      </c>
      <c r="H37" s="67">
        <f t="shared" ref="H37:H42" si="4">SUM(F37*G37/1000)</f>
        <v>4.8977999999999993</v>
      </c>
      <c r="I37" s="13">
        <f t="shared" ref="I37:I42" si="5">F37/6*G37</f>
        <v>816.3</v>
      </c>
      <c r="J37" s="26"/>
    </row>
    <row r="38" spans="1:14" ht="15.75" hidden="1" customHeight="1">
      <c r="A38" s="32">
        <v>9</v>
      </c>
      <c r="B38" s="63" t="s">
        <v>108</v>
      </c>
      <c r="C38" s="64" t="s">
        <v>28</v>
      </c>
      <c r="D38" s="63" t="s">
        <v>84</v>
      </c>
      <c r="E38" s="65">
        <v>48.03</v>
      </c>
      <c r="F38" s="66">
        <v>1.44</v>
      </c>
      <c r="G38" s="66">
        <v>1979.95</v>
      </c>
      <c r="H38" s="67">
        <f>G38*F38/1000</f>
        <v>2.8511280000000001</v>
      </c>
      <c r="I38" s="13">
        <f t="shared" si="5"/>
        <v>475.18799999999999</v>
      </c>
      <c r="J38" s="26"/>
      <c r="L38" s="19"/>
      <c r="M38" s="20"/>
      <c r="N38" s="21"/>
    </row>
    <row r="39" spans="1:14" ht="15.75" hidden="1" customHeight="1">
      <c r="A39" s="32">
        <v>10</v>
      </c>
      <c r="B39" s="63" t="s">
        <v>66</v>
      </c>
      <c r="C39" s="64" t="s">
        <v>28</v>
      </c>
      <c r="D39" s="63" t="s">
        <v>85</v>
      </c>
      <c r="E39" s="66">
        <v>48.03</v>
      </c>
      <c r="F39" s="66">
        <f>SUM(E39*155/1000)</f>
        <v>7.4446500000000002</v>
      </c>
      <c r="G39" s="66">
        <v>330.27</v>
      </c>
      <c r="H39" s="67">
        <f t="shared" si="4"/>
        <v>2.4587445555</v>
      </c>
      <c r="I39" s="13">
        <f t="shared" si="5"/>
        <v>409.79075924999995</v>
      </c>
      <c r="J39" s="26"/>
      <c r="L39" s="19"/>
      <c r="M39" s="20"/>
      <c r="N39" s="21"/>
    </row>
    <row r="40" spans="1:14" ht="47.25" hidden="1" customHeight="1">
      <c r="A40" s="32">
        <v>11</v>
      </c>
      <c r="B40" s="63" t="s">
        <v>79</v>
      </c>
      <c r="C40" s="64" t="s">
        <v>86</v>
      </c>
      <c r="D40" s="63" t="s">
        <v>109</v>
      </c>
      <c r="E40" s="66">
        <v>48.03</v>
      </c>
      <c r="F40" s="66">
        <f>SUM(E40*35/1000)</f>
        <v>1.6810499999999999</v>
      </c>
      <c r="G40" s="66">
        <v>5464.48</v>
      </c>
      <c r="H40" s="67">
        <f t="shared" si="4"/>
        <v>9.1860641039999997</v>
      </c>
      <c r="I40" s="13">
        <f t="shared" si="5"/>
        <v>1531.0106839999999</v>
      </c>
      <c r="J40" s="26"/>
      <c r="L40" s="19"/>
      <c r="M40" s="20"/>
      <c r="N40" s="21"/>
    </row>
    <row r="41" spans="1:14" ht="15.75" hidden="1" customHeight="1">
      <c r="A41" s="32">
        <v>12</v>
      </c>
      <c r="B41" s="63" t="s">
        <v>87</v>
      </c>
      <c r="C41" s="64" t="s">
        <v>86</v>
      </c>
      <c r="D41" s="63" t="s">
        <v>67</v>
      </c>
      <c r="E41" s="66">
        <v>48.03</v>
      </c>
      <c r="F41" s="66">
        <f>SUM(E41*45/1000)</f>
        <v>2.1613500000000001</v>
      </c>
      <c r="G41" s="66">
        <v>403.67</v>
      </c>
      <c r="H41" s="67">
        <f t="shared" si="4"/>
        <v>0.87247215450000015</v>
      </c>
      <c r="I41" s="13">
        <f t="shared" si="5"/>
        <v>145.41202575000003</v>
      </c>
      <c r="J41" s="26"/>
      <c r="L41" s="19"/>
      <c r="M41" s="20"/>
      <c r="N41" s="21"/>
    </row>
    <row r="42" spans="1:14" ht="15.75" hidden="1" customHeight="1">
      <c r="A42" s="32">
        <v>13</v>
      </c>
      <c r="B42" s="63" t="s">
        <v>68</v>
      </c>
      <c r="C42" s="64" t="s">
        <v>31</v>
      </c>
      <c r="D42" s="63"/>
      <c r="E42" s="65"/>
      <c r="F42" s="66">
        <v>0.53</v>
      </c>
      <c r="G42" s="66">
        <v>750.34</v>
      </c>
      <c r="H42" s="67">
        <f t="shared" si="4"/>
        <v>0.39768020000000004</v>
      </c>
      <c r="I42" s="13">
        <f t="shared" si="5"/>
        <v>66.280033333333336</v>
      </c>
      <c r="J42" s="26"/>
      <c r="L42" s="19"/>
      <c r="M42" s="20"/>
      <c r="N42" s="21"/>
    </row>
    <row r="43" spans="1:14" ht="15.75" hidden="1" customHeight="1">
      <c r="A43" s="165" t="s">
        <v>125</v>
      </c>
      <c r="B43" s="166"/>
      <c r="C43" s="166"/>
      <c r="D43" s="166"/>
      <c r="E43" s="166"/>
      <c r="F43" s="166"/>
      <c r="G43" s="166"/>
      <c r="H43" s="166"/>
      <c r="I43" s="167"/>
      <c r="J43" s="26"/>
      <c r="L43" s="19"/>
      <c r="M43" s="20"/>
      <c r="N43" s="21"/>
    </row>
    <row r="44" spans="1:14" ht="15.75" hidden="1" customHeight="1">
      <c r="A44" s="32"/>
      <c r="B44" s="63" t="s">
        <v>110</v>
      </c>
      <c r="C44" s="64" t="s">
        <v>86</v>
      </c>
      <c r="D44" s="63" t="s">
        <v>41</v>
      </c>
      <c r="E44" s="65">
        <v>636.25</v>
      </c>
      <c r="F44" s="66">
        <f>SUM(E44*2/1000)</f>
        <v>1.2725</v>
      </c>
      <c r="G44" s="13">
        <v>762.53</v>
      </c>
      <c r="H44" s="67">
        <f t="shared" ref="H44:H53" si="6">SUM(F44*G44/1000)</f>
        <v>0.9703194249999999</v>
      </c>
      <c r="I44" s="13">
        <v>0</v>
      </c>
      <c r="J44" s="26"/>
      <c r="L44" s="19"/>
      <c r="M44" s="20"/>
      <c r="N44" s="21"/>
    </row>
    <row r="45" spans="1:14" ht="15.75" hidden="1" customHeight="1">
      <c r="A45" s="32"/>
      <c r="B45" s="63" t="s">
        <v>34</v>
      </c>
      <c r="C45" s="64" t="s">
        <v>86</v>
      </c>
      <c r="D45" s="63" t="s">
        <v>41</v>
      </c>
      <c r="E45" s="65">
        <v>26</v>
      </c>
      <c r="F45" s="66">
        <f>SUM(E45*2/1000)</f>
        <v>5.1999999999999998E-2</v>
      </c>
      <c r="G45" s="13">
        <v>545.65</v>
      </c>
      <c r="H45" s="67">
        <f t="shared" si="6"/>
        <v>2.8373799999999998E-2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35</v>
      </c>
      <c r="C46" s="64" t="s">
        <v>86</v>
      </c>
      <c r="D46" s="63" t="s">
        <v>41</v>
      </c>
      <c r="E46" s="65">
        <v>579</v>
      </c>
      <c r="F46" s="66">
        <f>SUM(E46*2/1000)</f>
        <v>1.1579999999999999</v>
      </c>
      <c r="G46" s="13">
        <v>545.65</v>
      </c>
      <c r="H46" s="67">
        <f t="shared" si="6"/>
        <v>0.63186269999999989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36</v>
      </c>
      <c r="C47" s="64" t="s">
        <v>86</v>
      </c>
      <c r="D47" s="63" t="s">
        <v>41</v>
      </c>
      <c r="E47" s="65">
        <v>683.33</v>
      </c>
      <c r="F47" s="66">
        <f>SUM(E47*2/1000)</f>
        <v>1.36666</v>
      </c>
      <c r="G47" s="13">
        <v>571.35</v>
      </c>
      <c r="H47" s="67">
        <f t="shared" si="6"/>
        <v>0.78084119099999993</v>
      </c>
      <c r="I47" s="13">
        <v>0</v>
      </c>
      <c r="J47" s="26"/>
      <c r="L47" s="19"/>
      <c r="M47" s="20"/>
      <c r="N47" s="21"/>
    </row>
    <row r="48" spans="1:14" ht="15.75" hidden="1" customHeight="1">
      <c r="A48" s="32"/>
      <c r="B48" s="63" t="s">
        <v>32</v>
      </c>
      <c r="C48" s="64" t="s">
        <v>33</v>
      </c>
      <c r="D48" s="63" t="s">
        <v>41</v>
      </c>
      <c r="E48" s="65">
        <v>44.11</v>
      </c>
      <c r="F48" s="66">
        <f>SUM(E48*2/100)</f>
        <v>0.88219999999999998</v>
      </c>
      <c r="G48" s="13">
        <v>68.56</v>
      </c>
      <c r="H48" s="67">
        <f t="shared" si="6"/>
        <v>6.0483632000000002E-2</v>
      </c>
      <c r="I48" s="13">
        <v>0</v>
      </c>
      <c r="J48" s="26"/>
      <c r="L48" s="19"/>
      <c r="M48" s="20"/>
      <c r="N48" s="21"/>
    </row>
    <row r="49" spans="1:22" ht="15.75" hidden="1" customHeight="1">
      <c r="A49" s="32">
        <v>14</v>
      </c>
      <c r="B49" s="63" t="s">
        <v>55</v>
      </c>
      <c r="C49" s="64" t="s">
        <v>86</v>
      </c>
      <c r="D49" s="63" t="s">
        <v>126</v>
      </c>
      <c r="E49" s="65">
        <v>1140</v>
      </c>
      <c r="F49" s="66">
        <f>SUM(E49*5/1000)</f>
        <v>5.7</v>
      </c>
      <c r="G49" s="13">
        <v>1142.7</v>
      </c>
      <c r="H49" s="67">
        <f t="shared" si="6"/>
        <v>6.5133900000000002</v>
      </c>
      <c r="I49" s="13">
        <f>F49/5*G49</f>
        <v>1302.6780000000001</v>
      </c>
      <c r="J49" s="26"/>
      <c r="L49" s="19"/>
      <c r="M49" s="20"/>
      <c r="N49" s="21"/>
    </row>
    <row r="50" spans="1:22" ht="31.5" hidden="1" customHeight="1">
      <c r="A50" s="32"/>
      <c r="B50" s="63" t="s">
        <v>88</v>
      </c>
      <c r="C50" s="64" t="s">
        <v>86</v>
      </c>
      <c r="D50" s="63" t="s">
        <v>41</v>
      </c>
      <c r="E50" s="65">
        <v>1140</v>
      </c>
      <c r="F50" s="66">
        <f>SUM(E50*2/1000)</f>
        <v>2.2799999999999998</v>
      </c>
      <c r="G50" s="13">
        <v>1142.7</v>
      </c>
      <c r="H50" s="67">
        <f t="shared" si="6"/>
        <v>2.6053559999999996</v>
      </c>
      <c r="I50" s="13">
        <v>0</v>
      </c>
      <c r="J50" s="26"/>
      <c r="L50" s="19"/>
      <c r="M50" s="20"/>
      <c r="N50" s="21"/>
    </row>
    <row r="51" spans="1:22" ht="31.5" hidden="1" customHeight="1">
      <c r="A51" s="32"/>
      <c r="B51" s="63" t="s">
        <v>89</v>
      </c>
      <c r="C51" s="64" t="s">
        <v>37</v>
      </c>
      <c r="D51" s="63" t="s">
        <v>41</v>
      </c>
      <c r="E51" s="65">
        <v>9</v>
      </c>
      <c r="F51" s="66">
        <f>SUM(E51*2/100)</f>
        <v>0.18</v>
      </c>
      <c r="G51" s="13">
        <v>2571.08</v>
      </c>
      <c r="H51" s="67">
        <f t="shared" si="6"/>
        <v>0.46279439999999999</v>
      </c>
      <c r="I51" s="13">
        <v>0</v>
      </c>
      <c r="J51" s="26"/>
      <c r="L51" s="19"/>
      <c r="M51" s="20"/>
      <c r="N51" s="21"/>
    </row>
    <row r="52" spans="1:22" ht="15.75" hidden="1" customHeight="1">
      <c r="A52" s="32"/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5322.15</v>
      </c>
      <c r="H52" s="67">
        <f t="shared" si="6"/>
        <v>0.106443</v>
      </c>
      <c r="I52" s="13">
        <v>0</v>
      </c>
      <c r="J52" s="26"/>
      <c r="L52" s="19"/>
      <c r="M52" s="20"/>
      <c r="N52" s="21"/>
    </row>
    <row r="53" spans="1:22" ht="15.75" hidden="1" customHeight="1">
      <c r="A53" s="32">
        <v>15</v>
      </c>
      <c r="B53" s="63" t="s">
        <v>40</v>
      </c>
      <c r="C53" s="64" t="s">
        <v>111</v>
      </c>
      <c r="D53" s="63" t="s">
        <v>69</v>
      </c>
      <c r="E53" s="65">
        <v>36</v>
      </c>
      <c r="F53" s="66">
        <f>SUM(E53)*3</f>
        <v>108</v>
      </c>
      <c r="G53" s="13">
        <v>61.84</v>
      </c>
      <c r="H53" s="67">
        <f t="shared" si="6"/>
        <v>6.6787200000000002</v>
      </c>
      <c r="I53" s="13">
        <f>E53*G53</f>
        <v>2226.2400000000002</v>
      </c>
      <c r="J53" s="26"/>
      <c r="L53" s="19"/>
      <c r="M53" s="20"/>
      <c r="N53" s="21"/>
    </row>
    <row r="54" spans="1:22" ht="18.75" customHeight="1">
      <c r="A54" s="165" t="s">
        <v>145</v>
      </c>
      <c r="B54" s="166"/>
      <c r="C54" s="166"/>
      <c r="D54" s="166"/>
      <c r="E54" s="166"/>
      <c r="F54" s="166"/>
      <c r="G54" s="166"/>
      <c r="H54" s="166"/>
      <c r="I54" s="167"/>
      <c r="J54" s="26"/>
      <c r="L54" s="19"/>
      <c r="M54" s="20"/>
      <c r="N54" s="21"/>
    </row>
    <row r="55" spans="1:22" ht="20.25" hidden="1" customHeight="1">
      <c r="A55" s="32"/>
      <c r="B55" s="84" t="s">
        <v>42</v>
      </c>
      <c r="C55" s="64"/>
      <c r="D55" s="63"/>
      <c r="E55" s="65"/>
      <c r="F55" s="66"/>
      <c r="G55" s="66"/>
      <c r="H55" s="67"/>
      <c r="I55" s="13"/>
      <c r="J55" s="26"/>
      <c r="L55" s="19"/>
      <c r="M55" s="20"/>
      <c r="N55" s="21"/>
    </row>
    <row r="56" spans="1:22" ht="21.75" hidden="1" customHeight="1">
      <c r="A56" s="32">
        <v>16</v>
      </c>
      <c r="B56" s="63" t="s">
        <v>112</v>
      </c>
      <c r="C56" s="64" t="s">
        <v>83</v>
      </c>
      <c r="D56" s="63" t="s">
        <v>113</v>
      </c>
      <c r="E56" s="65">
        <v>72.33</v>
      </c>
      <c r="F56" s="66">
        <f>SUM(E56*6/100)</f>
        <v>4.3398000000000003</v>
      </c>
      <c r="G56" s="13">
        <v>1456.95</v>
      </c>
      <c r="H56" s="67">
        <f>SUM(F56*G56/1000)</f>
        <v>6.3228716100000009</v>
      </c>
      <c r="I56" s="13">
        <f>F56/6*G56</f>
        <v>1053.8119350000002</v>
      </c>
      <c r="J56" s="26"/>
      <c r="L56" s="19"/>
      <c r="M56" s="20"/>
      <c r="N56" s="21"/>
    </row>
    <row r="57" spans="1:22" ht="18" customHeight="1">
      <c r="A57" s="32"/>
      <c r="B57" s="84" t="s">
        <v>43</v>
      </c>
      <c r="C57" s="64"/>
      <c r="D57" s="63"/>
      <c r="E57" s="65"/>
      <c r="F57" s="66"/>
      <c r="G57" s="59"/>
      <c r="H57" s="67"/>
      <c r="I57" s="13"/>
      <c r="J57" s="26"/>
      <c r="L57" s="19"/>
      <c r="M57" s="20"/>
      <c r="N57" s="21"/>
    </row>
    <row r="58" spans="1:22" ht="18" hidden="1" customHeight="1">
      <c r="A58" s="32"/>
      <c r="B58" s="63" t="s">
        <v>114</v>
      </c>
      <c r="C58" s="64"/>
      <c r="D58" s="63" t="s">
        <v>53</v>
      </c>
      <c r="E58" s="65">
        <v>952</v>
      </c>
      <c r="F58" s="67">
        <v>9.52</v>
      </c>
      <c r="G58" s="13">
        <v>848.37</v>
      </c>
      <c r="H58" s="72">
        <f>F58*G58/1000</f>
        <v>8.0764823999999997</v>
      </c>
      <c r="I58" s="13">
        <v>0</v>
      </c>
      <c r="J58" s="26"/>
      <c r="L58" s="19"/>
    </row>
    <row r="59" spans="1:22" ht="18" customHeight="1">
      <c r="A59" s="32">
        <v>16</v>
      </c>
      <c r="B59" s="109" t="s">
        <v>162</v>
      </c>
      <c r="C59" s="110" t="s">
        <v>163</v>
      </c>
      <c r="D59" s="109" t="s">
        <v>172</v>
      </c>
      <c r="E59" s="126">
        <v>100</v>
      </c>
      <c r="F59" s="36">
        <f>E59*12</f>
        <v>1200</v>
      </c>
      <c r="G59" s="36">
        <v>1.4</v>
      </c>
      <c r="H59" s="119"/>
      <c r="I59" s="13">
        <f>G59*F59/12</f>
        <v>140</v>
      </c>
      <c r="J59" s="26"/>
      <c r="L59" s="19"/>
    </row>
    <row r="60" spans="1:22" ht="18.75" customHeight="1">
      <c r="A60" s="32"/>
      <c r="B60" s="85" t="s">
        <v>44</v>
      </c>
      <c r="C60" s="73"/>
      <c r="D60" s="74"/>
      <c r="E60" s="75"/>
      <c r="F60" s="76"/>
      <c r="G60" s="76"/>
      <c r="H60" s="77" t="s">
        <v>132</v>
      </c>
      <c r="I60" s="13"/>
    </row>
    <row r="61" spans="1:22" ht="21" hidden="1" customHeight="1">
      <c r="A61" s="32">
        <v>10</v>
      </c>
      <c r="B61" s="14" t="s">
        <v>45</v>
      </c>
      <c r="C61" s="16" t="s">
        <v>111</v>
      </c>
      <c r="D61" s="14" t="s">
        <v>65</v>
      </c>
      <c r="E61" s="18">
        <v>5</v>
      </c>
      <c r="F61" s="66">
        <v>5</v>
      </c>
      <c r="G61" s="13">
        <v>237.74</v>
      </c>
      <c r="H61" s="78">
        <f t="shared" ref="H61:H78" si="7">SUM(F61*G61/1000)</f>
        <v>1.1887000000000001</v>
      </c>
      <c r="I61" s="13">
        <f>G61*2</f>
        <v>475.48</v>
      </c>
    </row>
    <row r="62" spans="1:22" ht="21.75" hidden="1" customHeight="1">
      <c r="A62" s="32"/>
      <c r="B62" s="14" t="s">
        <v>46</v>
      </c>
      <c r="C62" s="16" t="s">
        <v>111</v>
      </c>
      <c r="D62" s="14" t="s">
        <v>65</v>
      </c>
      <c r="E62" s="18">
        <v>2</v>
      </c>
      <c r="F62" s="66">
        <v>2</v>
      </c>
      <c r="G62" s="13">
        <v>81.510000000000005</v>
      </c>
      <c r="H62" s="78">
        <f t="shared" si="7"/>
        <v>0.16302</v>
      </c>
      <c r="I62" s="13">
        <v>0</v>
      </c>
    </row>
    <row r="63" spans="1:22" ht="16.5" customHeight="1">
      <c r="A63" s="32">
        <v>17</v>
      </c>
      <c r="B63" s="14" t="s">
        <v>47</v>
      </c>
      <c r="C63" s="16" t="s">
        <v>115</v>
      </c>
      <c r="D63" s="14"/>
      <c r="E63" s="65">
        <v>4292</v>
      </c>
      <c r="F63" s="13">
        <f>SUM(E63/100)</f>
        <v>42.92</v>
      </c>
      <c r="G63" s="100">
        <v>316.3</v>
      </c>
      <c r="H63" s="78">
        <f t="shared" si="7"/>
        <v>13.575596000000001</v>
      </c>
      <c r="I63" s="13">
        <f>G63*F63</f>
        <v>13575.596000000001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8.75" customHeight="1">
      <c r="A64" s="32">
        <v>18</v>
      </c>
      <c r="B64" s="14" t="s">
        <v>48</v>
      </c>
      <c r="C64" s="16" t="s">
        <v>116</v>
      </c>
      <c r="D64" s="14"/>
      <c r="E64" s="65">
        <v>4292</v>
      </c>
      <c r="F64" s="13">
        <f>SUM(E64/1000)</f>
        <v>4.2919999999999998</v>
      </c>
      <c r="G64" s="100">
        <v>246.31</v>
      </c>
      <c r="H64" s="78">
        <f t="shared" si="7"/>
        <v>1.0571625199999999</v>
      </c>
      <c r="I64" s="13">
        <f>G64*F64</f>
        <v>1057.1625199999999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2">
        <v>19</v>
      </c>
      <c r="B65" s="14" t="s">
        <v>49</v>
      </c>
      <c r="C65" s="16" t="s">
        <v>75</v>
      </c>
      <c r="D65" s="14"/>
      <c r="E65" s="65">
        <v>510</v>
      </c>
      <c r="F65" s="13">
        <f>SUM(E65/100)</f>
        <v>5.0999999999999996</v>
      </c>
      <c r="G65" s="100">
        <v>3093.06</v>
      </c>
      <c r="H65" s="78">
        <f t="shared" si="7"/>
        <v>15.774605999999999</v>
      </c>
      <c r="I65" s="13">
        <f>G65*F65</f>
        <v>15774.605999999998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8.75" customHeight="1">
      <c r="A66" s="32">
        <v>20</v>
      </c>
      <c r="B66" s="149" t="s">
        <v>117</v>
      </c>
      <c r="C66" s="103" t="s">
        <v>31</v>
      </c>
      <c r="D66" s="102"/>
      <c r="E66" s="121">
        <v>4.9000000000000004</v>
      </c>
      <c r="F66" s="36">
        <f>SUM(E66)</f>
        <v>4.9000000000000004</v>
      </c>
      <c r="G66" s="36">
        <v>49.36</v>
      </c>
      <c r="H66" s="78">
        <f t="shared" si="7"/>
        <v>0.241864</v>
      </c>
      <c r="I66" s="13">
        <f>G66*F66</f>
        <v>241.864</v>
      </c>
      <c r="J66" s="5"/>
      <c r="K66" s="5"/>
      <c r="L66" s="5"/>
      <c r="M66" s="5"/>
      <c r="N66" s="5"/>
      <c r="O66" s="5"/>
      <c r="P66" s="5"/>
      <c r="Q66" s="5"/>
      <c r="R66" s="168"/>
      <c r="S66" s="168"/>
      <c r="T66" s="168"/>
      <c r="U66" s="168"/>
    </row>
    <row r="67" spans="1:21" ht="15" customHeight="1">
      <c r="A67" s="32">
        <v>21</v>
      </c>
      <c r="B67" s="149" t="s">
        <v>118</v>
      </c>
      <c r="C67" s="103" t="s">
        <v>31</v>
      </c>
      <c r="D67" s="102"/>
      <c r="E67" s="121">
        <v>4.9000000000000004</v>
      </c>
      <c r="F67" s="36">
        <f>SUM(E67)</f>
        <v>4.9000000000000004</v>
      </c>
      <c r="G67" s="36">
        <v>56.66</v>
      </c>
      <c r="H67" s="78">
        <f t="shared" si="7"/>
        <v>0.27763399999999999</v>
      </c>
      <c r="I67" s="13">
        <f>G67*F67</f>
        <v>277.63400000000001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21.75" hidden="1" customHeight="1">
      <c r="A68" s="32">
        <v>10</v>
      </c>
      <c r="B68" s="14" t="s">
        <v>56</v>
      </c>
      <c r="C68" s="16" t="s">
        <v>57</v>
      </c>
      <c r="D68" s="14" t="s">
        <v>53</v>
      </c>
      <c r="E68" s="18">
        <v>3</v>
      </c>
      <c r="F68" s="66">
        <v>3</v>
      </c>
      <c r="G68" s="13">
        <v>53.32</v>
      </c>
      <c r="H68" s="78">
        <f t="shared" si="7"/>
        <v>0.15996000000000002</v>
      </c>
      <c r="I68" s="13">
        <f>F68*G68</f>
        <v>159.96</v>
      </c>
    </row>
    <row r="69" spans="1:21" ht="21.75" customHeight="1">
      <c r="A69" s="32"/>
      <c r="B69" s="140" t="s">
        <v>194</v>
      </c>
      <c r="C69" s="16"/>
      <c r="D69" s="14"/>
      <c r="E69" s="18"/>
      <c r="F69" s="59"/>
      <c r="G69" s="13"/>
      <c r="H69" s="78"/>
      <c r="I69" s="13"/>
    </row>
    <row r="70" spans="1:21" ht="36" customHeight="1">
      <c r="A70" s="32">
        <v>22</v>
      </c>
      <c r="B70" s="127" t="s">
        <v>192</v>
      </c>
      <c r="C70" s="128" t="s">
        <v>193</v>
      </c>
      <c r="D70" s="129"/>
      <c r="E70" s="17">
        <v>1042.5999999999999</v>
      </c>
      <c r="F70" s="130">
        <f>E70*12</f>
        <v>12511.199999999999</v>
      </c>
      <c r="G70" s="130">
        <v>2.6</v>
      </c>
      <c r="H70" s="78"/>
      <c r="I70" s="13">
        <f>G70*F70/12</f>
        <v>2710.7599999999998</v>
      </c>
    </row>
    <row r="71" spans="1:21" ht="19.5" customHeight="1">
      <c r="A71" s="32"/>
      <c r="B71" s="50" t="s">
        <v>70</v>
      </c>
      <c r="C71" s="16"/>
      <c r="D71" s="14"/>
      <c r="E71" s="18"/>
      <c r="F71" s="13"/>
      <c r="G71" s="13"/>
      <c r="H71" s="78" t="s">
        <v>132</v>
      </c>
      <c r="I71" s="13"/>
    </row>
    <row r="72" spans="1:21" ht="27.75" hidden="1" customHeight="1">
      <c r="A72" s="32"/>
      <c r="B72" s="14" t="s">
        <v>71</v>
      </c>
      <c r="C72" s="16" t="s">
        <v>73</v>
      </c>
      <c r="D72" s="14"/>
      <c r="E72" s="18">
        <v>2</v>
      </c>
      <c r="F72" s="13">
        <v>0.2</v>
      </c>
      <c r="G72" s="13">
        <v>536.23</v>
      </c>
      <c r="H72" s="78">
        <f t="shared" si="7"/>
        <v>0.10724600000000001</v>
      </c>
      <c r="I72" s="13">
        <v>0</v>
      </c>
    </row>
    <row r="73" spans="1:21" ht="33" hidden="1" customHeight="1">
      <c r="A73" s="32"/>
      <c r="B73" s="14" t="s">
        <v>72</v>
      </c>
      <c r="C73" s="16" t="s">
        <v>29</v>
      </c>
      <c r="D73" s="14"/>
      <c r="E73" s="18">
        <v>1</v>
      </c>
      <c r="F73" s="59">
        <v>1</v>
      </c>
      <c r="G73" s="13">
        <v>911.85</v>
      </c>
      <c r="H73" s="78">
        <f t="shared" si="7"/>
        <v>0.91185000000000005</v>
      </c>
      <c r="I73" s="13">
        <v>0</v>
      </c>
    </row>
    <row r="74" spans="1:21" ht="22.5" hidden="1" customHeight="1">
      <c r="A74" s="32"/>
      <c r="B74" s="14" t="s">
        <v>133</v>
      </c>
      <c r="C74" s="16" t="s">
        <v>134</v>
      </c>
      <c r="D74" s="14"/>
      <c r="E74" s="18"/>
      <c r="F74" s="13"/>
      <c r="G74" s="13">
        <v>31.54</v>
      </c>
      <c r="H74" s="78">
        <f t="shared" si="7"/>
        <v>0</v>
      </c>
      <c r="I74" s="13"/>
    </row>
    <row r="75" spans="1:21" ht="21.75" hidden="1" customHeight="1">
      <c r="A75" s="32"/>
      <c r="B75" s="14" t="s">
        <v>120</v>
      </c>
      <c r="C75" s="16" t="s">
        <v>29</v>
      </c>
      <c r="D75" s="14"/>
      <c r="E75" s="18">
        <v>1</v>
      </c>
      <c r="F75" s="13">
        <v>1</v>
      </c>
      <c r="G75" s="13">
        <v>383.25</v>
      </c>
      <c r="H75" s="78">
        <f>G75*F75/1000</f>
        <v>0.38324999999999998</v>
      </c>
      <c r="I75" s="13">
        <v>0</v>
      </c>
    </row>
    <row r="76" spans="1:21" ht="21.75" customHeight="1">
      <c r="A76" s="32">
        <v>23</v>
      </c>
      <c r="B76" s="102" t="s">
        <v>195</v>
      </c>
      <c r="C76" s="103" t="s">
        <v>29</v>
      </c>
      <c r="D76" s="102" t="s">
        <v>173</v>
      </c>
      <c r="E76" s="17">
        <v>1</v>
      </c>
      <c r="F76" s="36">
        <f>E76*12</f>
        <v>12</v>
      </c>
      <c r="G76" s="36">
        <v>420</v>
      </c>
      <c r="H76" s="78"/>
      <c r="I76" s="13">
        <f>G76*F76/12</f>
        <v>420</v>
      </c>
    </row>
    <row r="77" spans="1:21" ht="18.75" hidden="1" customHeight="1">
      <c r="A77" s="32"/>
      <c r="B77" s="81" t="s">
        <v>74</v>
      </c>
      <c r="C77" s="16"/>
      <c r="D77" s="14"/>
      <c r="E77" s="18"/>
      <c r="F77" s="13"/>
      <c r="G77" s="13" t="s">
        <v>132</v>
      </c>
      <c r="H77" s="78" t="s">
        <v>132</v>
      </c>
      <c r="I77" s="13"/>
    </row>
    <row r="78" spans="1:21" ht="24.75" hidden="1" customHeight="1">
      <c r="A78" s="32"/>
      <c r="B78" s="44" t="s">
        <v>142</v>
      </c>
      <c r="C78" s="16" t="s">
        <v>75</v>
      </c>
      <c r="D78" s="14"/>
      <c r="E78" s="18"/>
      <c r="F78" s="13">
        <v>0.1</v>
      </c>
      <c r="G78" s="13">
        <v>2949.85</v>
      </c>
      <c r="H78" s="78">
        <f t="shared" si="7"/>
        <v>0.294985</v>
      </c>
      <c r="I78" s="13">
        <v>0</v>
      </c>
    </row>
    <row r="79" spans="1:21" ht="21.75" hidden="1" customHeight="1">
      <c r="A79" s="32"/>
      <c r="B79" s="88" t="s">
        <v>90</v>
      </c>
      <c r="C79" s="88"/>
      <c r="D79" s="88"/>
      <c r="E79" s="88"/>
      <c r="F79" s="88"/>
      <c r="G79" s="69"/>
      <c r="H79" s="82">
        <f>SUM(H56:H78)</f>
        <v>48.535227529999993</v>
      </c>
      <c r="I79" s="69"/>
    </row>
    <row r="80" spans="1:21" ht="23.25" hidden="1" customHeight="1">
      <c r="A80" s="32"/>
      <c r="B80" s="86" t="s">
        <v>119</v>
      </c>
      <c r="C80" s="23"/>
      <c r="D80" s="22"/>
      <c r="E80" s="83"/>
      <c r="F80" s="87">
        <v>1</v>
      </c>
      <c r="G80" s="13">
        <v>3124.9</v>
      </c>
      <c r="H80" s="78">
        <f>G80*F80/1000</f>
        <v>3.1249000000000002</v>
      </c>
      <c r="I80" s="13">
        <v>0</v>
      </c>
    </row>
    <row r="81" spans="1:9" ht="15.75" customHeight="1">
      <c r="A81" s="165" t="s">
        <v>146</v>
      </c>
      <c r="B81" s="166"/>
      <c r="C81" s="166"/>
      <c r="D81" s="166"/>
      <c r="E81" s="166"/>
      <c r="F81" s="166"/>
      <c r="G81" s="166"/>
      <c r="H81" s="166"/>
      <c r="I81" s="167"/>
    </row>
    <row r="82" spans="1:9" ht="15.75" customHeight="1">
      <c r="A82" s="32">
        <v>24</v>
      </c>
      <c r="B82" s="104" t="s">
        <v>121</v>
      </c>
      <c r="C82" s="103" t="s">
        <v>54</v>
      </c>
      <c r="D82" s="49"/>
      <c r="E82" s="36">
        <v>1042.5999999999999</v>
      </c>
      <c r="F82" s="36">
        <f>SUM(E82*12)</f>
        <v>12511.199999999999</v>
      </c>
      <c r="G82" s="36">
        <v>3.5</v>
      </c>
      <c r="H82" s="78">
        <f>SUM(F82*G82/1000)</f>
        <v>43.789199999999994</v>
      </c>
      <c r="I82" s="13">
        <f>G82*F82/12</f>
        <v>3649.1</v>
      </c>
    </row>
    <row r="83" spans="1:9" ht="31.5" customHeight="1">
      <c r="A83" s="32">
        <v>25</v>
      </c>
      <c r="B83" s="102" t="s">
        <v>196</v>
      </c>
      <c r="C83" s="103" t="s">
        <v>54</v>
      </c>
      <c r="D83" s="96"/>
      <c r="E83" s="121">
        <f>E82</f>
        <v>1042.5999999999999</v>
      </c>
      <c r="F83" s="36">
        <f>E83*12</f>
        <v>12511.199999999999</v>
      </c>
      <c r="G83" s="36">
        <v>3.2</v>
      </c>
      <c r="H83" s="78">
        <f>F83*G83/1000</f>
        <v>40.035839999999993</v>
      </c>
      <c r="I83" s="13">
        <f>G83*F83/12</f>
        <v>3336.3199999999997</v>
      </c>
    </row>
    <row r="84" spans="1:9" ht="15.75" customHeight="1">
      <c r="A84" s="32"/>
      <c r="B84" s="37" t="s">
        <v>78</v>
      </c>
      <c r="C84" s="81"/>
      <c r="D84" s="80"/>
      <c r="E84" s="69"/>
      <c r="F84" s="69"/>
      <c r="G84" s="69"/>
      <c r="H84" s="82">
        <f>H83</f>
        <v>40.035839999999993</v>
      </c>
      <c r="I84" s="69">
        <f>I83+I82+I76+I70+I67+I66+I65+I64+I63+I59+I33+I31+I30+I27+I26+I25+I24+I23+I22+I21+I20+I18+I17+I16+I19</f>
        <v>48528.644955333344</v>
      </c>
    </row>
    <row r="85" spans="1:9" ht="15.75" customHeight="1">
      <c r="A85" s="170" t="s">
        <v>59</v>
      </c>
      <c r="B85" s="171"/>
      <c r="C85" s="171"/>
      <c r="D85" s="171"/>
      <c r="E85" s="171"/>
      <c r="F85" s="171"/>
      <c r="G85" s="171"/>
      <c r="H85" s="171"/>
      <c r="I85" s="172"/>
    </row>
    <row r="86" spans="1:9" ht="18" hidden="1" customHeight="1">
      <c r="A86" s="32"/>
      <c r="B86" s="14"/>
      <c r="C86" s="16"/>
      <c r="D86" s="14"/>
      <c r="E86" s="18"/>
      <c r="F86" s="13"/>
      <c r="G86" s="13"/>
      <c r="H86" s="59"/>
      <c r="I86" s="97"/>
    </row>
    <row r="87" spans="1:9">
      <c r="A87" s="32"/>
      <c r="B87" s="42" t="s">
        <v>50</v>
      </c>
      <c r="C87" s="38"/>
      <c r="D87" s="45"/>
      <c r="E87" s="38">
        <v>1</v>
      </c>
      <c r="F87" s="38"/>
      <c r="G87" s="38"/>
      <c r="H87" s="38"/>
      <c r="I87" s="34">
        <f>SUM(I86:I86)</f>
        <v>0</v>
      </c>
    </row>
    <row r="88" spans="1:9" ht="16.5" customHeight="1">
      <c r="A88" s="32"/>
      <c r="B88" s="44" t="s">
        <v>77</v>
      </c>
      <c r="C88" s="15"/>
      <c r="D88" s="15"/>
      <c r="E88" s="39"/>
      <c r="F88" s="39"/>
      <c r="G88" s="40"/>
      <c r="H88" s="40"/>
      <c r="I88" s="17">
        <v>0</v>
      </c>
    </row>
    <row r="89" spans="1:9" ht="16.5" customHeight="1">
      <c r="A89" s="46"/>
      <c r="B89" s="43" t="s">
        <v>156</v>
      </c>
      <c r="C89" s="35"/>
      <c r="D89" s="35"/>
      <c r="E89" s="35"/>
      <c r="F89" s="35"/>
      <c r="G89" s="35"/>
      <c r="H89" s="35"/>
      <c r="I89" s="41">
        <f>I84+I87</f>
        <v>48528.644955333344</v>
      </c>
    </row>
    <row r="90" spans="1:9" ht="15.75" customHeight="1">
      <c r="A90" s="180" t="s">
        <v>223</v>
      </c>
      <c r="B90" s="180"/>
      <c r="C90" s="180"/>
      <c r="D90" s="180"/>
      <c r="E90" s="180"/>
      <c r="F90" s="180"/>
      <c r="G90" s="180"/>
      <c r="H90" s="180"/>
      <c r="I90" s="180"/>
    </row>
    <row r="91" spans="1:9" ht="15.75" customHeight="1">
      <c r="A91" s="56"/>
      <c r="B91" s="181" t="s">
        <v>224</v>
      </c>
      <c r="C91" s="181"/>
      <c r="D91" s="181"/>
      <c r="E91" s="181"/>
      <c r="F91" s="181"/>
      <c r="G91" s="181"/>
      <c r="H91" s="62"/>
      <c r="I91" s="3"/>
    </row>
    <row r="92" spans="1:9">
      <c r="A92" s="55"/>
      <c r="B92" s="178" t="s">
        <v>6</v>
      </c>
      <c r="C92" s="178"/>
      <c r="D92" s="178"/>
      <c r="E92" s="178"/>
      <c r="F92" s="178"/>
      <c r="G92" s="178"/>
      <c r="H92" s="27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74" t="s">
        <v>7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174" t="s">
        <v>8</v>
      </c>
      <c r="B95" s="174"/>
      <c r="C95" s="174"/>
      <c r="D95" s="174"/>
      <c r="E95" s="174"/>
      <c r="F95" s="174"/>
      <c r="G95" s="174"/>
      <c r="H95" s="174"/>
      <c r="I95" s="174"/>
    </row>
    <row r="96" spans="1:9" ht="15.75">
      <c r="A96" s="175" t="s">
        <v>60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>
      <c r="A97" s="11"/>
    </row>
    <row r="98" spans="1:9" ht="15.75">
      <c r="A98" s="176" t="s">
        <v>9</v>
      </c>
      <c r="B98" s="176"/>
      <c r="C98" s="176"/>
      <c r="D98" s="176"/>
      <c r="E98" s="176"/>
      <c r="F98" s="176"/>
      <c r="G98" s="176"/>
      <c r="H98" s="176"/>
      <c r="I98" s="176"/>
    </row>
    <row r="99" spans="1:9" ht="15.75">
      <c r="A99" s="4"/>
    </row>
    <row r="100" spans="1:9" ht="15.75">
      <c r="B100" s="52" t="s">
        <v>10</v>
      </c>
      <c r="C100" s="177" t="s">
        <v>124</v>
      </c>
      <c r="D100" s="177"/>
      <c r="E100" s="177"/>
      <c r="F100" s="60"/>
      <c r="I100" s="54"/>
    </row>
    <row r="101" spans="1:9">
      <c r="A101" s="55"/>
      <c r="C101" s="178" t="s">
        <v>11</v>
      </c>
      <c r="D101" s="178"/>
      <c r="E101" s="178"/>
      <c r="F101" s="27"/>
      <c r="I101" s="53" t="s">
        <v>12</v>
      </c>
    </row>
    <row r="102" spans="1:9" ht="15.75">
      <c r="A102" s="28"/>
      <c r="C102" s="12"/>
      <c r="D102" s="12"/>
      <c r="G102" s="12"/>
      <c r="H102" s="12"/>
    </row>
    <row r="103" spans="1:9" ht="15.75">
      <c r="B103" s="52" t="s">
        <v>13</v>
      </c>
      <c r="C103" s="179"/>
      <c r="D103" s="179"/>
      <c r="E103" s="179"/>
      <c r="F103" s="61"/>
      <c r="I103" s="54"/>
    </row>
    <row r="104" spans="1:9">
      <c r="A104" s="55"/>
      <c r="C104" s="168" t="s">
        <v>11</v>
      </c>
      <c r="D104" s="168"/>
      <c r="E104" s="168"/>
      <c r="F104" s="55"/>
      <c r="I104" s="53" t="s">
        <v>12</v>
      </c>
    </row>
    <row r="105" spans="1:9" ht="15.75">
      <c r="A105" s="4" t="s">
        <v>14</v>
      </c>
    </row>
    <row r="106" spans="1:9">
      <c r="A106" s="169" t="s">
        <v>15</v>
      </c>
      <c r="B106" s="169"/>
      <c r="C106" s="169"/>
      <c r="D106" s="169"/>
      <c r="E106" s="169"/>
      <c r="F106" s="169"/>
      <c r="G106" s="169"/>
      <c r="H106" s="169"/>
      <c r="I106" s="169"/>
    </row>
    <row r="107" spans="1:9" ht="45" customHeight="1">
      <c r="A107" s="173" t="s">
        <v>16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30" customHeight="1">
      <c r="A108" s="173" t="s">
        <v>17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30" customHeight="1">
      <c r="A109" s="173" t="s">
        <v>21</v>
      </c>
      <c r="B109" s="173"/>
      <c r="C109" s="173"/>
      <c r="D109" s="173"/>
      <c r="E109" s="173"/>
      <c r="F109" s="173"/>
      <c r="G109" s="173"/>
      <c r="H109" s="173"/>
      <c r="I109" s="173"/>
    </row>
    <row r="110" spans="1:9" ht="14.25" customHeight="1">
      <c r="A110" s="173" t="s">
        <v>20</v>
      </c>
      <c r="B110" s="173"/>
      <c r="C110" s="173"/>
      <c r="D110" s="173"/>
      <c r="E110" s="173"/>
      <c r="F110" s="173"/>
      <c r="G110" s="173"/>
      <c r="H110" s="173"/>
      <c r="I110" s="173"/>
    </row>
  </sheetData>
  <autoFilter ref="I12:I61"/>
  <mergeCells count="29">
    <mergeCell ref="R66:U66"/>
    <mergeCell ref="A81:I81"/>
    <mergeCell ref="A3:I3"/>
    <mergeCell ref="A4:I4"/>
    <mergeCell ref="A5:I5"/>
    <mergeCell ref="A8:I8"/>
    <mergeCell ref="A10:I10"/>
    <mergeCell ref="A14:I14"/>
    <mergeCell ref="A96:I96"/>
    <mergeCell ref="A15:I15"/>
    <mergeCell ref="A28:I28"/>
    <mergeCell ref="A43:I43"/>
    <mergeCell ref="A54:I54"/>
    <mergeCell ref="A90:I90"/>
    <mergeCell ref="B91:G91"/>
    <mergeCell ref="B92:G92"/>
    <mergeCell ref="A94:I94"/>
    <mergeCell ref="A95:I95"/>
    <mergeCell ref="A85:I85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9"/>
  <sheetViews>
    <sheetView topLeftCell="A59" workbookViewId="0">
      <selection activeCell="A93" sqref="A93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151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225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44043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210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222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219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220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221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173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219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7</v>
      </c>
      <c r="B30" s="104" t="s">
        <v>107</v>
      </c>
      <c r="C30" s="105" t="s">
        <v>86</v>
      </c>
      <c r="D30" s="104" t="s">
        <v>214</v>
      </c>
      <c r="E30" s="107">
        <v>150</v>
      </c>
      <c r="F30" s="107">
        <f>SUM(E30*24/1000)</f>
        <v>3.6</v>
      </c>
      <c r="G30" s="107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8</v>
      </c>
      <c r="B31" s="104" t="s">
        <v>211</v>
      </c>
      <c r="C31" s="105" t="s">
        <v>86</v>
      </c>
      <c r="D31" s="104" t="s">
        <v>215</v>
      </c>
      <c r="E31" s="107">
        <v>38.5</v>
      </c>
      <c r="F31" s="107">
        <f>SUM(E31*72/1000)</f>
        <v>2.7719999999999998</v>
      </c>
      <c r="G31" s="107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4" t="s">
        <v>26</v>
      </c>
      <c r="C32" s="105" t="s">
        <v>86</v>
      </c>
      <c r="D32" s="104" t="s">
        <v>173</v>
      </c>
      <c r="E32" s="107">
        <v>150</v>
      </c>
      <c r="F32" s="107">
        <f>SUM(E32/1000)</f>
        <v>0.15</v>
      </c>
      <c r="G32" s="107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9</v>
      </c>
      <c r="B33" s="141" t="s">
        <v>212</v>
      </c>
      <c r="C33" s="99" t="s">
        <v>213</v>
      </c>
      <c r="D33" s="104" t="s">
        <v>176</v>
      </c>
      <c r="E33" s="107">
        <v>2</v>
      </c>
      <c r="F33" s="107">
        <f>E33*155/100</f>
        <v>3.1</v>
      </c>
      <c r="G33" s="107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63" t="s">
        <v>64</v>
      </c>
      <c r="C34" s="64" t="s">
        <v>30</v>
      </c>
      <c r="D34" s="63" t="s">
        <v>65</v>
      </c>
      <c r="E34" s="65"/>
      <c r="F34" s="66">
        <v>1</v>
      </c>
      <c r="G34" s="66">
        <v>1214.74</v>
      </c>
      <c r="H34" s="67">
        <f t="shared" ref="H34" si="3">SUM(F34*G34/1000)</f>
        <v>1.2147399999999999</v>
      </c>
      <c r="I34" s="13">
        <v>0</v>
      </c>
      <c r="J34" s="26"/>
    </row>
    <row r="35" spans="1:14" ht="15.75" hidden="1" customHeight="1">
      <c r="A35" s="32"/>
      <c r="B35" s="84" t="s">
        <v>5</v>
      </c>
      <c r="C35" s="64"/>
      <c r="D35" s="63"/>
      <c r="E35" s="65"/>
      <c r="F35" s="66"/>
      <c r="G35" s="66"/>
      <c r="H35" s="67" t="s">
        <v>132</v>
      </c>
      <c r="I35" s="13"/>
      <c r="J35" s="26"/>
    </row>
    <row r="36" spans="1:14" ht="15.75" hidden="1" customHeight="1">
      <c r="A36" s="32">
        <v>8</v>
      </c>
      <c r="B36" s="63" t="s">
        <v>25</v>
      </c>
      <c r="C36" s="64" t="s">
        <v>30</v>
      </c>
      <c r="D36" s="63"/>
      <c r="E36" s="65"/>
      <c r="F36" s="66">
        <v>3</v>
      </c>
      <c r="G36" s="66">
        <v>1632.6</v>
      </c>
      <c r="H36" s="67">
        <f t="shared" ref="H36:H41" si="4">SUM(F36*G36/1000)</f>
        <v>4.8977999999999993</v>
      </c>
      <c r="I36" s="13">
        <f t="shared" ref="I36:I41" si="5">F36/6*G36</f>
        <v>816.3</v>
      </c>
      <c r="J36" s="26"/>
    </row>
    <row r="37" spans="1:14" ht="15.75" hidden="1" customHeight="1">
      <c r="A37" s="32">
        <v>9</v>
      </c>
      <c r="B37" s="63" t="s">
        <v>108</v>
      </c>
      <c r="C37" s="64" t="s">
        <v>28</v>
      </c>
      <c r="D37" s="63" t="s">
        <v>84</v>
      </c>
      <c r="E37" s="65">
        <v>48.03</v>
      </c>
      <c r="F37" s="66">
        <v>1.44</v>
      </c>
      <c r="G37" s="66">
        <v>1979.95</v>
      </c>
      <c r="H37" s="67">
        <f>G37*F37/1000</f>
        <v>2.8511280000000001</v>
      </c>
      <c r="I37" s="13">
        <f t="shared" si="5"/>
        <v>475.18799999999999</v>
      </c>
      <c r="J37" s="26"/>
      <c r="L37" s="19"/>
      <c r="M37" s="20"/>
      <c r="N37" s="21"/>
    </row>
    <row r="38" spans="1:14" ht="15.75" hidden="1" customHeight="1">
      <c r="A38" s="32">
        <v>10</v>
      </c>
      <c r="B38" s="63" t="s">
        <v>66</v>
      </c>
      <c r="C38" s="64" t="s">
        <v>28</v>
      </c>
      <c r="D38" s="63" t="s">
        <v>85</v>
      </c>
      <c r="E38" s="66">
        <v>48.03</v>
      </c>
      <c r="F38" s="66">
        <f>SUM(E38*155/1000)</f>
        <v>7.4446500000000002</v>
      </c>
      <c r="G38" s="66">
        <v>330.27</v>
      </c>
      <c r="H38" s="67">
        <f t="shared" si="4"/>
        <v>2.4587445555</v>
      </c>
      <c r="I38" s="13">
        <f t="shared" si="5"/>
        <v>409.79075924999995</v>
      </c>
      <c r="J38" s="26"/>
      <c r="L38" s="19"/>
      <c r="M38" s="20"/>
      <c r="N38" s="21"/>
    </row>
    <row r="39" spans="1:14" ht="47.25" hidden="1" customHeight="1">
      <c r="A39" s="32">
        <v>11</v>
      </c>
      <c r="B39" s="63" t="s">
        <v>79</v>
      </c>
      <c r="C39" s="64" t="s">
        <v>86</v>
      </c>
      <c r="D39" s="63" t="s">
        <v>109</v>
      </c>
      <c r="E39" s="66">
        <v>48.03</v>
      </c>
      <c r="F39" s="66">
        <f>SUM(E39*35/1000)</f>
        <v>1.6810499999999999</v>
      </c>
      <c r="G39" s="66">
        <v>5464.48</v>
      </c>
      <c r="H39" s="67">
        <f t="shared" si="4"/>
        <v>9.1860641039999997</v>
      </c>
      <c r="I39" s="13">
        <f t="shared" si="5"/>
        <v>1531.0106839999999</v>
      </c>
      <c r="J39" s="26"/>
      <c r="L39" s="19"/>
      <c r="M39" s="20"/>
      <c r="N39" s="21"/>
    </row>
    <row r="40" spans="1:14" ht="15.75" hidden="1" customHeight="1">
      <c r="A40" s="32">
        <v>12</v>
      </c>
      <c r="B40" s="63" t="s">
        <v>87</v>
      </c>
      <c r="C40" s="64" t="s">
        <v>86</v>
      </c>
      <c r="D40" s="63" t="s">
        <v>67</v>
      </c>
      <c r="E40" s="66">
        <v>48.03</v>
      </c>
      <c r="F40" s="66">
        <f>SUM(E40*45/1000)</f>
        <v>2.1613500000000001</v>
      </c>
      <c r="G40" s="66">
        <v>403.67</v>
      </c>
      <c r="H40" s="67">
        <f t="shared" si="4"/>
        <v>0.87247215450000015</v>
      </c>
      <c r="I40" s="13">
        <f t="shared" si="5"/>
        <v>145.41202575000003</v>
      </c>
      <c r="J40" s="26"/>
      <c r="L40" s="19"/>
      <c r="M40" s="20"/>
      <c r="N40" s="21"/>
    </row>
    <row r="41" spans="1:14" ht="15.75" hidden="1" customHeight="1">
      <c r="A41" s="32">
        <v>13</v>
      </c>
      <c r="B41" s="63" t="s">
        <v>68</v>
      </c>
      <c r="C41" s="64" t="s">
        <v>31</v>
      </c>
      <c r="D41" s="63"/>
      <c r="E41" s="65"/>
      <c r="F41" s="66">
        <v>0.53</v>
      </c>
      <c r="G41" s="66">
        <v>750.34</v>
      </c>
      <c r="H41" s="67">
        <f t="shared" si="4"/>
        <v>0.39768020000000004</v>
      </c>
      <c r="I41" s="13">
        <f t="shared" si="5"/>
        <v>66.280033333333336</v>
      </c>
      <c r="J41" s="26"/>
      <c r="L41" s="19"/>
      <c r="M41" s="20"/>
      <c r="N41" s="21"/>
    </row>
    <row r="42" spans="1:14" ht="15.75" hidden="1" customHeight="1">
      <c r="A42" s="165" t="s">
        <v>125</v>
      </c>
      <c r="B42" s="166"/>
      <c r="C42" s="166"/>
      <c r="D42" s="166"/>
      <c r="E42" s="166"/>
      <c r="F42" s="166"/>
      <c r="G42" s="166"/>
      <c r="H42" s="166"/>
      <c r="I42" s="167"/>
      <c r="J42" s="26"/>
      <c r="L42" s="19"/>
      <c r="M42" s="20"/>
      <c r="N42" s="21"/>
    </row>
    <row r="43" spans="1:14" ht="15.75" hidden="1" customHeight="1">
      <c r="A43" s="32"/>
      <c r="B43" s="63" t="s">
        <v>110</v>
      </c>
      <c r="C43" s="64" t="s">
        <v>86</v>
      </c>
      <c r="D43" s="63" t="s">
        <v>41</v>
      </c>
      <c r="E43" s="65">
        <v>636.25</v>
      </c>
      <c r="F43" s="66">
        <f>SUM(E43*2/1000)</f>
        <v>1.2725</v>
      </c>
      <c r="G43" s="13">
        <v>762.53</v>
      </c>
      <c r="H43" s="67">
        <f t="shared" ref="H43:H52" si="6">SUM(F43*G43/1000)</f>
        <v>0.9703194249999999</v>
      </c>
      <c r="I43" s="13">
        <v>0</v>
      </c>
      <c r="J43" s="26"/>
      <c r="L43" s="19"/>
      <c r="M43" s="20"/>
      <c r="N43" s="21"/>
    </row>
    <row r="44" spans="1:14" ht="15.75" hidden="1" customHeight="1">
      <c r="A44" s="32"/>
      <c r="B44" s="63" t="s">
        <v>34</v>
      </c>
      <c r="C44" s="64" t="s">
        <v>86</v>
      </c>
      <c r="D44" s="63" t="s">
        <v>41</v>
      </c>
      <c r="E44" s="65">
        <v>26</v>
      </c>
      <c r="F44" s="66">
        <f>SUM(E44*2/1000)</f>
        <v>5.1999999999999998E-2</v>
      </c>
      <c r="G44" s="13">
        <v>545.65</v>
      </c>
      <c r="H44" s="67">
        <f t="shared" si="6"/>
        <v>2.8373799999999998E-2</v>
      </c>
      <c r="I44" s="13">
        <v>0</v>
      </c>
      <c r="J44" s="26"/>
      <c r="L44" s="19"/>
      <c r="M44" s="20"/>
      <c r="N44" s="21"/>
    </row>
    <row r="45" spans="1:14" ht="15.75" hidden="1" customHeight="1">
      <c r="A45" s="32"/>
      <c r="B45" s="63" t="s">
        <v>35</v>
      </c>
      <c r="C45" s="64" t="s">
        <v>86</v>
      </c>
      <c r="D45" s="63" t="s">
        <v>41</v>
      </c>
      <c r="E45" s="65">
        <v>579</v>
      </c>
      <c r="F45" s="66">
        <f>SUM(E45*2/1000)</f>
        <v>1.1579999999999999</v>
      </c>
      <c r="G45" s="13">
        <v>545.65</v>
      </c>
      <c r="H45" s="67">
        <f t="shared" si="6"/>
        <v>0.63186269999999989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36</v>
      </c>
      <c r="C46" s="64" t="s">
        <v>86</v>
      </c>
      <c r="D46" s="63" t="s">
        <v>41</v>
      </c>
      <c r="E46" s="65">
        <v>683.33</v>
      </c>
      <c r="F46" s="66">
        <f>SUM(E46*2/1000)</f>
        <v>1.36666</v>
      </c>
      <c r="G46" s="13">
        <v>571.35</v>
      </c>
      <c r="H46" s="67">
        <f t="shared" si="6"/>
        <v>0.78084119099999993</v>
      </c>
      <c r="I46" s="13">
        <v>0</v>
      </c>
      <c r="J46" s="26"/>
      <c r="L46" s="19"/>
      <c r="M46" s="20"/>
      <c r="N46" s="21"/>
    </row>
    <row r="47" spans="1:14" ht="15.75" hidden="1" customHeight="1">
      <c r="A47" s="32"/>
      <c r="B47" s="63" t="s">
        <v>32</v>
      </c>
      <c r="C47" s="64" t="s">
        <v>33</v>
      </c>
      <c r="D47" s="63" t="s">
        <v>41</v>
      </c>
      <c r="E47" s="65">
        <v>44.11</v>
      </c>
      <c r="F47" s="66">
        <f>SUM(E47*2/100)</f>
        <v>0.88219999999999998</v>
      </c>
      <c r="G47" s="13">
        <v>68.56</v>
      </c>
      <c r="H47" s="67">
        <f t="shared" si="6"/>
        <v>6.0483632000000002E-2</v>
      </c>
      <c r="I47" s="13">
        <v>0</v>
      </c>
      <c r="J47" s="26"/>
      <c r="L47" s="19"/>
      <c r="M47" s="20"/>
      <c r="N47" s="21"/>
    </row>
    <row r="48" spans="1:14" ht="15.75" hidden="1" customHeight="1">
      <c r="A48" s="32">
        <v>14</v>
      </c>
      <c r="B48" s="63" t="s">
        <v>55</v>
      </c>
      <c r="C48" s="64" t="s">
        <v>86</v>
      </c>
      <c r="D48" s="63" t="s">
        <v>126</v>
      </c>
      <c r="E48" s="65">
        <v>1140</v>
      </c>
      <c r="F48" s="66">
        <f>SUM(E48*5/1000)</f>
        <v>5.7</v>
      </c>
      <c r="G48" s="13">
        <v>1142.7</v>
      </c>
      <c r="H48" s="67">
        <f t="shared" si="6"/>
        <v>6.5133900000000002</v>
      </c>
      <c r="I48" s="13">
        <f>F48/5*G48</f>
        <v>1302.6780000000001</v>
      </c>
      <c r="J48" s="26"/>
      <c r="L48" s="19"/>
      <c r="M48" s="20"/>
      <c r="N48" s="21"/>
    </row>
    <row r="49" spans="1:22" ht="31.5" hidden="1" customHeight="1">
      <c r="A49" s="32"/>
      <c r="B49" s="63" t="s">
        <v>88</v>
      </c>
      <c r="C49" s="64" t="s">
        <v>86</v>
      </c>
      <c r="D49" s="63" t="s">
        <v>41</v>
      </c>
      <c r="E49" s="65">
        <v>1140</v>
      </c>
      <c r="F49" s="66">
        <f>SUM(E49*2/1000)</f>
        <v>2.2799999999999998</v>
      </c>
      <c r="G49" s="13">
        <v>1142.7</v>
      </c>
      <c r="H49" s="67">
        <f t="shared" si="6"/>
        <v>2.6053559999999996</v>
      </c>
      <c r="I49" s="13">
        <v>0</v>
      </c>
      <c r="J49" s="26"/>
      <c r="L49" s="19"/>
      <c r="M49" s="20"/>
      <c r="N49" s="21"/>
    </row>
    <row r="50" spans="1:22" ht="31.5" hidden="1" customHeight="1">
      <c r="A50" s="32"/>
      <c r="B50" s="63" t="s">
        <v>89</v>
      </c>
      <c r="C50" s="64" t="s">
        <v>37</v>
      </c>
      <c r="D50" s="63" t="s">
        <v>41</v>
      </c>
      <c r="E50" s="65">
        <v>9</v>
      </c>
      <c r="F50" s="66">
        <f>SUM(E50*2/100)</f>
        <v>0.18</v>
      </c>
      <c r="G50" s="13">
        <v>2571.08</v>
      </c>
      <c r="H50" s="67">
        <f t="shared" si="6"/>
        <v>0.46279439999999999</v>
      </c>
      <c r="I50" s="13">
        <v>0</v>
      </c>
      <c r="J50" s="26"/>
      <c r="L50" s="19"/>
      <c r="M50" s="20"/>
      <c r="N50" s="21"/>
    </row>
    <row r="51" spans="1:22" ht="15.75" hidden="1" customHeight="1">
      <c r="A51" s="32">
        <v>11</v>
      </c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5322.15</v>
      </c>
      <c r="H51" s="67">
        <f t="shared" si="6"/>
        <v>0.106443</v>
      </c>
      <c r="I51" s="13">
        <f>F51/2*G51</f>
        <v>53.221499999999999</v>
      </c>
      <c r="J51" s="26"/>
      <c r="L51" s="19"/>
      <c r="M51" s="20"/>
      <c r="N51" s="21"/>
    </row>
    <row r="52" spans="1:22" ht="15.75" hidden="1" customHeight="1">
      <c r="A52" s="32">
        <v>15</v>
      </c>
      <c r="B52" s="63" t="s">
        <v>40</v>
      </c>
      <c r="C52" s="64" t="s">
        <v>111</v>
      </c>
      <c r="D52" s="63" t="s">
        <v>69</v>
      </c>
      <c r="E52" s="65">
        <v>36</v>
      </c>
      <c r="F52" s="66">
        <f>SUM(E52)*3</f>
        <v>108</v>
      </c>
      <c r="G52" s="13">
        <v>61.84</v>
      </c>
      <c r="H52" s="67">
        <f t="shared" si="6"/>
        <v>6.6787200000000002</v>
      </c>
      <c r="I52" s="13">
        <f>E52*G52</f>
        <v>2226.2400000000002</v>
      </c>
      <c r="J52" s="26"/>
      <c r="L52" s="19"/>
      <c r="M52" s="20"/>
      <c r="N52" s="21"/>
    </row>
    <row r="53" spans="1:22" ht="15.75" customHeight="1">
      <c r="A53" s="165" t="s">
        <v>145</v>
      </c>
      <c r="B53" s="166"/>
      <c r="C53" s="166"/>
      <c r="D53" s="166"/>
      <c r="E53" s="166"/>
      <c r="F53" s="166"/>
      <c r="G53" s="166"/>
      <c r="H53" s="166"/>
      <c r="I53" s="167"/>
      <c r="J53" s="26"/>
      <c r="L53" s="19"/>
      <c r="M53" s="20"/>
      <c r="N53" s="21"/>
    </row>
    <row r="54" spans="1:22" ht="15.75" hidden="1" customHeight="1">
      <c r="A54" s="32"/>
      <c r="B54" s="84" t="s">
        <v>42</v>
      </c>
      <c r="C54" s="64"/>
      <c r="D54" s="63"/>
      <c r="E54" s="65"/>
      <c r="F54" s="66"/>
      <c r="G54" s="66"/>
      <c r="H54" s="67"/>
      <c r="I54" s="13"/>
      <c r="J54" s="26"/>
      <c r="L54" s="19"/>
      <c r="M54" s="20"/>
      <c r="N54" s="21"/>
    </row>
    <row r="55" spans="1:22" ht="31.5" hidden="1" customHeight="1">
      <c r="A55" s="32">
        <v>16</v>
      </c>
      <c r="B55" s="63" t="s">
        <v>112</v>
      </c>
      <c r="C55" s="64" t="s">
        <v>83</v>
      </c>
      <c r="D55" s="63" t="s">
        <v>113</v>
      </c>
      <c r="E55" s="65">
        <v>72.33</v>
      </c>
      <c r="F55" s="66">
        <f>SUM(E55*6/100)</f>
        <v>4.3398000000000003</v>
      </c>
      <c r="G55" s="13">
        <v>1456.95</v>
      </c>
      <c r="H55" s="67">
        <f>SUM(F55*G55/1000)</f>
        <v>6.3228716100000009</v>
      </c>
      <c r="I55" s="13">
        <f>F55/6*G55</f>
        <v>1053.8119350000002</v>
      </c>
      <c r="J55" s="26"/>
      <c r="L55" s="19"/>
      <c r="M55" s="20"/>
      <c r="N55" s="21"/>
    </row>
    <row r="56" spans="1:22" ht="15.75" customHeight="1">
      <c r="A56" s="32"/>
      <c r="B56" s="84" t="s">
        <v>43</v>
      </c>
      <c r="C56" s="64"/>
      <c r="D56" s="63"/>
      <c r="E56" s="65"/>
      <c r="F56" s="66"/>
      <c r="G56" s="59"/>
      <c r="H56" s="67"/>
      <c r="I56" s="13"/>
      <c r="J56" s="26"/>
      <c r="L56" s="19"/>
      <c r="M56" s="20"/>
      <c r="N56" s="21"/>
    </row>
    <row r="57" spans="1:22" ht="15.75" customHeight="1">
      <c r="A57" s="32">
        <v>10</v>
      </c>
      <c r="B57" s="109" t="s">
        <v>162</v>
      </c>
      <c r="C57" s="110" t="s">
        <v>163</v>
      </c>
      <c r="D57" s="109" t="s">
        <v>172</v>
      </c>
      <c r="E57" s="126">
        <v>100</v>
      </c>
      <c r="F57" s="36">
        <f>E57*12</f>
        <v>1200</v>
      </c>
      <c r="G57" s="36">
        <v>1.4</v>
      </c>
      <c r="H57" s="119"/>
      <c r="I57" s="13">
        <f>G57*F57/12</f>
        <v>140</v>
      </c>
      <c r="J57" s="26"/>
      <c r="L57" s="19"/>
    </row>
    <row r="58" spans="1:22" ht="15.75" customHeight="1">
      <c r="A58" s="32"/>
      <c r="B58" s="85" t="s">
        <v>44</v>
      </c>
      <c r="C58" s="73"/>
      <c r="D58" s="74"/>
      <c r="E58" s="75"/>
      <c r="F58" s="76"/>
      <c r="G58" s="76"/>
      <c r="H58" s="77" t="s">
        <v>132</v>
      </c>
      <c r="I58" s="13"/>
    </row>
    <row r="59" spans="1:22" ht="15.75" customHeight="1">
      <c r="A59" s="32">
        <v>11</v>
      </c>
      <c r="B59" s="14" t="s">
        <v>45</v>
      </c>
      <c r="C59" s="16" t="s">
        <v>111</v>
      </c>
      <c r="D59" s="14" t="s">
        <v>172</v>
      </c>
      <c r="E59" s="18">
        <v>5</v>
      </c>
      <c r="F59" s="66">
        <v>5</v>
      </c>
      <c r="G59" s="100">
        <v>331.57</v>
      </c>
      <c r="H59" s="78">
        <f t="shared" ref="H59:H76" si="7">SUM(F59*G59/1000)</f>
        <v>1.6578499999999998</v>
      </c>
      <c r="I59" s="13">
        <f>G59</f>
        <v>331.57</v>
      </c>
    </row>
    <row r="60" spans="1:22" ht="15.75" hidden="1" customHeight="1">
      <c r="A60" s="32"/>
      <c r="B60" s="14" t="s">
        <v>46</v>
      </c>
      <c r="C60" s="16" t="s">
        <v>111</v>
      </c>
      <c r="D60" s="14" t="s">
        <v>65</v>
      </c>
      <c r="E60" s="18">
        <v>2</v>
      </c>
      <c r="F60" s="66">
        <v>2</v>
      </c>
      <c r="G60" s="13">
        <v>81.510000000000005</v>
      </c>
      <c r="H60" s="78">
        <f t="shared" si="7"/>
        <v>0.16302</v>
      </c>
      <c r="I60" s="13">
        <v>0</v>
      </c>
    </row>
    <row r="61" spans="1:22" ht="15.75" hidden="1" customHeight="1">
      <c r="A61" s="32"/>
      <c r="B61" s="14" t="s">
        <v>47</v>
      </c>
      <c r="C61" s="16" t="s">
        <v>115</v>
      </c>
      <c r="D61" s="14" t="s">
        <v>53</v>
      </c>
      <c r="E61" s="65">
        <v>4292</v>
      </c>
      <c r="F61" s="13">
        <f>SUM(E61/100)</f>
        <v>42.92</v>
      </c>
      <c r="G61" s="13">
        <v>226.79</v>
      </c>
      <c r="H61" s="78">
        <f t="shared" si="7"/>
        <v>9.733826800000001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hidden="1" customHeight="1">
      <c r="A62" s="32"/>
      <c r="B62" s="14" t="s">
        <v>48</v>
      </c>
      <c r="C62" s="16" t="s">
        <v>116</v>
      </c>
      <c r="D62" s="14"/>
      <c r="E62" s="65">
        <v>4292</v>
      </c>
      <c r="F62" s="13">
        <f>SUM(E62/1000)</f>
        <v>4.2919999999999998</v>
      </c>
      <c r="G62" s="13">
        <v>176.61</v>
      </c>
      <c r="H62" s="78">
        <f t="shared" si="7"/>
        <v>0.75801012000000001</v>
      </c>
      <c r="I62" s="13">
        <v>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hidden="1" customHeight="1">
      <c r="A63" s="32"/>
      <c r="B63" s="14" t="s">
        <v>49</v>
      </c>
      <c r="C63" s="16" t="s">
        <v>75</v>
      </c>
      <c r="D63" s="14" t="s">
        <v>53</v>
      </c>
      <c r="E63" s="65">
        <v>510</v>
      </c>
      <c r="F63" s="13">
        <f>SUM(E63/100)</f>
        <v>5.0999999999999996</v>
      </c>
      <c r="G63" s="13">
        <v>2217.7800000000002</v>
      </c>
      <c r="H63" s="78">
        <f t="shared" si="7"/>
        <v>11.310677999999999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32"/>
      <c r="B64" s="79" t="s">
        <v>117</v>
      </c>
      <c r="C64" s="16" t="s">
        <v>31</v>
      </c>
      <c r="D64" s="14"/>
      <c r="E64" s="65">
        <v>4.5999999999999996</v>
      </c>
      <c r="F64" s="13">
        <f>SUM(E64)</f>
        <v>4.5999999999999996</v>
      </c>
      <c r="G64" s="13">
        <v>42.67</v>
      </c>
      <c r="H64" s="78">
        <f t="shared" si="7"/>
        <v>0.19628199999999998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68"/>
      <c r="S64" s="168"/>
      <c r="T64" s="168"/>
      <c r="U64" s="168"/>
    </row>
    <row r="65" spans="1:21" ht="15.75" hidden="1" customHeight="1">
      <c r="A65" s="32"/>
      <c r="B65" s="79" t="s">
        <v>118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39.81</v>
      </c>
      <c r="H65" s="78">
        <f t="shared" si="7"/>
        <v>0.18312600000000001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15.75" hidden="1" customHeight="1">
      <c r="A66" s="32"/>
      <c r="B66" s="14" t="s">
        <v>56</v>
      </c>
      <c r="C66" s="16" t="s">
        <v>57</v>
      </c>
      <c r="D66" s="14" t="s">
        <v>53</v>
      </c>
      <c r="E66" s="18">
        <v>3</v>
      </c>
      <c r="F66" s="66">
        <v>3</v>
      </c>
      <c r="G66" s="13">
        <v>53.32</v>
      </c>
      <c r="H66" s="78">
        <f t="shared" si="7"/>
        <v>0.15996000000000002</v>
      </c>
      <c r="I66" s="13">
        <v>0</v>
      </c>
    </row>
    <row r="67" spans="1:21" ht="15.75" customHeight="1">
      <c r="A67" s="32"/>
      <c r="B67" s="148" t="s">
        <v>194</v>
      </c>
      <c r="C67" s="16"/>
      <c r="D67" s="14"/>
      <c r="E67" s="18"/>
      <c r="F67" s="59"/>
      <c r="G67" s="13"/>
      <c r="H67" s="78"/>
      <c r="I67" s="13"/>
    </row>
    <row r="68" spans="1:21" ht="28.5" customHeight="1">
      <c r="A68" s="32">
        <v>12</v>
      </c>
      <c r="B68" s="127" t="s">
        <v>192</v>
      </c>
      <c r="C68" s="128" t="s">
        <v>193</v>
      </c>
      <c r="D68" s="129"/>
      <c r="E68" s="17">
        <v>1042.5999999999999</v>
      </c>
      <c r="F68" s="130">
        <f>E68*12</f>
        <v>12511.199999999999</v>
      </c>
      <c r="G68" s="130">
        <v>2.6</v>
      </c>
      <c r="H68" s="78"/>
      <c r="I68" s="13">
        <f>G68*F68/12</f>
        <v>2710.7599999999998</v>
      </c>
    </row>
    <row r="69" spans="1:21" ht="15.75" customHeight="1">
      <c r="A69" s="32"/>
      <c r="B69" s="50" t="s">
        <v>70</v>
      </c>
      <c r="C69" s="16"/>
      <c r="D69" s="14"/>
      <c r="E69" s="18"/>
      <c r="F69" s="13"/>
      <c r="G69" s="13"/>
      <c r="H69" s="78" t="s">
        <v>132</v>
      </c>
      <c r="I69" s="13"/>
    </row>
    <row r="70" spans="1:21" ht="15.75" hidden="1" customHeight="1">
      <c r="A70" s="32"/>
      <c r="B70" s="14" t="s">
        <v>71</v>
      </c>
      <c r="C70" s="16" t="s">
        <v>73</v>
      </c>
      <c r="D70" s="14"/>
      <c r="E70" s="18">
        <v>2</v>
      </c>
      <c r="F70" s="13">
        <v>0.2</v>
      </c>
      <c r="G70" s="13">
        <v>536.23</v>
      </c>
      <c r="H70" s="78">
        <f t="shared" si="7"/>
        <v>0.10724600000000001</v>
      </c>
      <c r="I70" s="13">
        <v>0</v>
      </c>
    </row>
    <row r="71" spans="1:21" ht="15.75" hidden="1" customHeight="1">
      <c r="A71" s="32"/>
      <c r="B71" s="14" t="s">
        <v>72</v>
      </c>
      <c r="C71" s="16" t="s">
        <v>29</v>
      </c>
      <c r="D71" s="14"/>
      <c r="E71" s="18">
        <v>1</v>
      </c>
      <c r="F71" s="59">
        <v>1</v>
      </c>
      <c r="G71" s="13">
        <v>911.85</v>
      </c>
      <c r="H71" s="78">
        <f t="shared" si="7"/>
        <v>0.91185000000000005</v>
      </c>
      <c r="I71" s="13">
        <v>0</v>
      </c>
    </row>
    <row r="72" spans="1:21" ht="15.75" hidden="1" customHeight="1">
      <c r="A72" s="32"/>
      <c r="B72" s="14" t="s">
        <v>133</v>
      </c>
      <c r="C72" s="16" t="s">
        <v>134</v>
      </c>
      <c r="D72" s="14"/>
      <c r="E72" s="18"/>
      <c r="F72" s="13"/>
      <c r="G72" s="13">
        <v>31.54</v>
      </c>
      <c r="H72" s="78">
        <f t="shared" si="7"/>
        <v>0</v>
      </c>
      <c r="I72" s="13"/>
    </row>
    <row r="73" spans="1:21" ht="15.75" hidden="1" customHeight="1">
      <c r="A73" s="32"/>
      <c r="B73" s="14" t="s">
        <v>120</v>
      </c>
      <c r="C73" s="16" t="s">
        <v>29</v>
      </c>
      <c r="D73" s="14"/>
      <c r="E73" s="18">
        <v>1</v>
      </c>
      <c r="F73" s="13">
        <v>1</v>
      </c>
      <c r="G73" s="13">
        <v>383.25</v>
      </c>
      <c r="H73" s="78">
        <f>G73*F73/1000</f>
        <v>0.38324999999999998</v>
      </c>
      <c r="I73" s="13">
        <v>0</v>
      </c>
    </row>
    <row r="74" spans="1:21" ht="15.75" customHeight="1">
      <c r="A74" s="32">
        <v>13</v>
      </c>
      <c r="B74" s="102" t="s">
        <v>195</v>
      </c>
      <c r="C74" s="103" t="s">
        <v>29</v>
      </c>
      <c r="D74" s="102" t="s">
        <v>173</v>
      </c>
      <c r="E74" s="17">
        <v>1</v>
      </c>
      <c r="F74" s="36">
        <f>E74*12</f>
        <v>12</v>
      </c>
      <c r="G74" s="36">
        <v>420</v>
      </c>
      <c r="H74" s="78"/>
      <c r="I74" s="13">
        <f>G74*F74/12</f>
        <v>420</v>
      </c>
    </row>
    <row r="75" spans="1:21" ht="15.75" hidden="1" customHeight="1">
      <c r="A75" s="32"/>
      <c r="B75" s="81" t="s">
        <v>74</v>
      </c>
      <c r="C75" s="16"/>
      <c r="D75" s="14"/>
      <c r="E75" s="18"/>
      <c r="F75" s="13"/>
      <c r="G75" s="13" t="s">
        <v>132</v>
      </c>
      <c r="H75" s="78" t="s">
        <v>132</v>
      </c>
      <c r="I75" s="13"/>
    </row>
    <row r="76" spans="1:21" ht="15.75" hidden="1" customHeight="1">
      <c r="A76" s="32"/>
      <c r="B76" s="44" t="s">
        <v>142</v>
      </c>
      <c r="C76" s="16" t="s">
        <v>75</v>
      </c>
      <c r="D76" s="14"/>
      <c r="E76" s="18"/>
      <c r="F76" s="13">
        <v>0.1</v>
      </c>
      <c r="G76" s="13">
        <v>2949.85</v>
      </c>
      <c r="H76" s="78">
        <f t="shared" si="7"/>
        <v>0.294985</v>
      </c>
      <c r="I76" s="13">
        <v>0</v>
      </c>
    </row>
    <row r="77" spans="1:21" ht="15.75" hidden="1" customHeight="1">
      <c r="A77" s="32"/>
      <c r="B77" s="88" t="s">
        <v>90</v>
      </c>
      <c r="C77" s="88"/>
      <c r="D77" s="88"/>
      <c r="E77" s="88"/>
      <c r="F77" s="88"/>
      <c r="G77" s="69"/>
      <c r="H77" s="82">
        <f>SUM(H55:H76)</f>
        <v>32.182955530000008</v>
      </c>
      <c r="I77" s="69"/>
    </row>
    <row r="78" spans="1:21" ht="15.75" hidden="1" customHeight="1">
      <c r="A78" s="32"/>
      <c r="B78" s="86" t="s">
        <v>119</v>
      </c>
      <c r="C78" s="23"/>
      <c r="D78" s="22"/>
      <c r="E78" s="83"/>
      <c r="F78" s="87">
        <v>1</v>
      </c>
      <c r="G78" s="13">
        <v>3124.9</v>
      </c>
      <c r="H78" s="78">
        <f>G78*F78/1000</f>
        <v>3.1249000000000002</v>
      </c>
      <c r="I78" s="13">
        <v>0</v>
      </c>
    </row>
    <row r="79" spans="1:21" ht="15.75" customHeight="1">
      <c r="A79" s="165" t="s">
        <v>146</v>
      </c>
      <c r="B79" s="166"/>
      <c r="C79" s="166"/>
      <c r="D79" s="166"/>
      <c r="E79" s="166"/>
      <c r="F79" s="166"/>
      <c r="G79" s="166"/>
      <c r="H79" s="166"/>
      <c r="I79" s="167"/>
    </row>
    <row r="80" spans="1:21" ht="15.75" customHeight="1">
      <c r="A80" s="32">
        <v>14</v>
      </c>
      <c r="B80" s="104" t="s">
        <v>121</v>
      </c>
      <c r="C80" s="103" t="s">
        <v>54</v>
      </c>
      <c r="D80" s="49"/>
      <c r="E80" s="36">
        <v>1042.5999999999999</v>
      </c>
      <c r="F80" s="36">
        <f>SUM(E80*12)</f>
        <v>12511.199999999999</v>
      </c>
      <c r="G80" s="36">
        <v>3.5</v>
      </c>
      <c r="H80" s="78">
        <f>SUM(F80*G80/1000)</f>
        <v>43.789199999999994</v>
      </c>
      <c r="I80" s="13">
        <f>G80*F80/12</f>
        <v>3649.1</v>
      </c>
    </row>
    <row r="81" spans="1:9" ht="31.5" customHeight="1">
      <c r="A81" s="32">
        <v>15</v>
      </c>
      <c r="B81" s="102" t="s">
        <v>196</v>
      </c>
      <c r="C81" s="103" t="s">
        <v>54</v>
      </c>
      <c r="D81" s="96"/>
      <c r="E81" s="121">
        <f>E80</f>
        <v>1042.5999999999999</v>
      </c>
      <c r="F81" s="36">
        <f>E81*12</f>
        <v>12511.199999999999</v>
      </c>
      <c r="G81" s="36">
        <v>3.2</v>
      </c>
      <c r="H81" s="78">
        <f>F81*G81/1000</f>
        <v>40.035839999999993</v>
      </c>
      <c r="I81" s="13">
        <f>G81*F81/12</f>
        <v>3336.3199999999997</v>
      </c>
    </row>
    <row r="82" spans="1:9" ht="15.75" customHeight="1">
      <c r="A82" s="32"/>
      <c r="B82" s="37" t="s">
        <v>78</v>
      </c>
      <c r="C82" s="81"/>
      <c r="D82" s="80"/>
      <c r="E82" s="69"/>
      <c r="F82" s="69"/>
      <c r="G82" s="69"/>
      <c r="H82" s="82">
        <f>H81</f>
        <v>40.035839999999993</v>
      </c>
      <c r="I82" s="69">
        <f>I81+I80+I74+I68+I59+I57+I33+I31+I30+I27+I21+I20+I18+I17+I16</f>
        <v>16990.872245333336</v>
      </c>
    </row>
    <row r="83" spans="1:9" ht="15.75" customHeight="1">
      <c r="A83" s="170" t="s">
        <v>59</v>
      </c>
      <c r="B83" s="171"/>
      <c r="C83" s="171"/>
      <c r="D83" s="171"/>
      <c r="E83" s="171"/>
      <c r="F83" s="171"/>
      <c r="G83" s="171"/>
      <c r="H83" s="171"/>
      <c r="I83" s="172"/>
    </row>
    <row r="84" spans="1:9" ht="29.25" customHeight="1">
      <c r="A84" s="95">
        <v>16</v>
      </c>
      <c r="B84" s="98" t="s">
        <v>226</v>
      </c>
      <c r="C84" s="99" t="s">
        <v>164</v>
      </c>
      <c r="D84" s="96" t="s">
        <v>227</v>
      </c>
      <c r="E84" s="36"/>
      <c r="F84" s="36">
        <v>1</v>
      </c>
      <c r="G84" s="36">
        <v>1421.68</v>
      </c>
      <c r="H84" s="77">
        <f>F84*G84/1000</f>
        <v>1.4216800000000001</v>
      </c>
      <c r="I84" s="97">
        <f>G84*1</f>
        <v>1421.68</v>
      </c>
    </row>
    <row r="85" spans="1:9" ht="16.5" customHeight="1">
      <c r="A85" s="95">
        <v>17</v>
      </c>
      <c r="B85" s="98" t="s">
        <v>228</v>
      </c>
      <c r="C85" s="99" t="s">
        <v>29</v>
      </c>
      <c r="D85" s="151" t="s">
        <v>229</v>
      </c>
      <c r="E85" s="111"/>
      <c r="F85" s="152">
        <v>1</v>
      </c>
      <c r="G85" s="152">
        <v>90</v>
      </c>
      <c r="H85" s="59"/>
      <c r="I85" s="97">
        <v>0</v>
      </c>
    </row>
    <row r="86" spans="1:9" ht="15.75" customHeight="1">
      <c r="A86" s="32"/>
      <c r="B86" s="42" t="s">
        <v>50</v>
      </c>
      <c r="C86" s="38"/>
      <c r="D86" s="45"/>
      <c r="E86" s="38">
        <v>1</v>
      </c>
      <c r="F86" s="38"/>
      <c r="G86" s="38"/>
      <c r="H86" s="38"/>
      <c r="I86" s="34">
        <f>SUM(I84:I85)</f>
        <v>1421.68</v>
      </c>
    </row>
    <row r="87" spans="1:9" ht="15.75" customHeight="1">
      <c r="A87" s="32"/>
      <c r="B87" s="44" t="s">
        <v>77</v>
      </c>
      <c r="C87" s="15"/>
      <c r="D87" s="15"/>
      <c r="E87" s="39"/>
      <c r="F87" s="39"/>
      <c r="G87" s="40"/>
      <c r="H87" s="40"/>
      <c r="I87" s="17">
        <v>0</v>
      </c>
    </row>
    <row r="88" spans="1:9" ht="16.5" customHeight="1">
      <c r="A88" s="46"/>
      <c r="B88" s="43" t="s">
        <v>156</v>
      </c>
      <c r="C88" s="35"/>
      <c r="D88" s="35"/>
      <c r="E88" s="35"/>
      <c r="F88" s="35"/>
      <c r="G88" s="35"/>
      <c r="H88" s="35"/>
      <c r="I88" s="41">
        <f>I82+I86</f>
        <v>18412.552245333336</v>
      </c>
    </row>
    <row r="89" spans="1:9" ht="15.75" customHeight="1">
      <c r="A89" s="180" t="s">
        <v>257</v>
      </c>
      <c r="B89" s="180"/>
      <c r="C89" s="180"/>
      <c r="D89" s="180"/>
      <c r="E89" s="180"/>
      <c r="F89" s="180"/>
      <c r="G89" s="180"/>
      <c r="H89" s="180"/>
      <c r="I89" s="180"/>
    </row>
    <row r="90" spans="1:9" ht="15.75" customHeight="1">
      <c r="A90" s="56"/>
      <c r="B90" s="181" t="s">
        <v>258</v>
      </c>
      <c r="C90" s="181"/>
      <c r="D90" s="181"/>
      <c r="E90" s="181"/>
      <c r="F90" s="181"/>
      <c r="G90" s="181"/>
      <c r="H90" s="62"/>
      <c r="I90" s="3"/>
    </row>
    <row r="91" spans="1:9">
      <c r="A91" s="55"/>
      <c r="B91" s="178" t="s">
        <v>6</v>
      </c>
      <c r="C91" s="178"/>
      <c r="D91" s="178"/>
      <c r="E91" s="178"/>
      <c r="F91" s="178"/>
      <c r="G91" s="178"/>
      <c r="H91" s="27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74" t="s">
        <v>7</v>
      </c>
      <c r="B93" s="174"/>
      <c r="C93" s="174"/>
      <c r="D93" s="174"/>
      <c r="E93" s="174"/>
      <c r="F93" s="174"/>
      <c r="G93" s="174"/>
      <c r="H93" s="174"/>
      <c r="I93" s="174"/>
    </row>
    <row r="94" spans="1:9" ht="15.75">
      <c r="A94" s="174" t="s">
        <v>8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175" t="s">
        <v>60</v>
      </c>
      <c r="B95" s="175"/>
      <c r="C95" s="175"/>
      <c r="D95" s="175"/>
      <c r="E95" s="175"/>
      <c r="F95" s="175"/>
      <c r="G95" s="175"/>
      <c r="H95" s="175"/>
      <c r="I95" s="175"/>
    </row>
    <row r="96" spans="1:9" ht="15.75">
      <c r="A96" s="11"/>
    </row>
    <row r="97" spans="1:9" ht="15.75">
      <c r="A97" s="176" t="s">
        <v>9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>
      <c r="A98" s="4"/>
    </row>
    <row r="99" spans="1:9" ht="15.75">
      <c r="B99" s="52" t="s">
        <v>10</v>
      </c>
      <c r="C99" s="177" t="s">
        <v>124</v>
      </c>
      <c r="D99" s="177"/>
      <c r="E99" s="177"/>
      <c r="F99" s="60"/>
      <c r="I99" s="54"/>
    </row>
    <row r="100" spans="1:9">
      <c r="A100" s="55"/>
      <c r="C100" s="178" t="s">
        <v>11</v>
      </c>
      <c r="D100" s="178"/>
      <c r="E100" s="178"/>
      <c r="F100" s="27"/>
      <c r="I100" s="53" t="s">
        <v>12</v>
      </c>
    </row>
    <row r="101" spans="1:9" ht="15.75">
      <c r="A101" s="28"/>
      <c r="C101" s="12"/>
      <c r="D101" s="12"/>
      <c r="G101" s="12"/>
      <c r="H101" s="12"/>
    </row>
    <row r="102" spans="1:9" ht="15.75">
      <c r="B102" s="52" t="s">
        <v>13</v>
      </c>
      <c r="C102" s="179"/>
      <c r="D102" s="179"/>
      <c r="E102" s="179"/>
      <c r="F102" s="61"/>
      <c r="I102" s="54"/>
    </row>
    <row r="103" spans="1:9">
      <c r="A103" s="55"/>
      <c r="C103" s="168" t="s">
        <v>11</v>
      </c>
      <c r="D103" s="168"/>
      <c r="E103" s="168"/>
      <c r="F103" s="55"/>
      <c r="I103" s="53" t="s">
        <v>12</v>
      </c>
    </row>
    <row r="104" spans="1:9" ht="15.75">
      <c r="A104" s="4" t="s">
        <v>14</v>
      </c>
    </row>
    <row r="105" spans="1:9">
      <c r="A105" s="169" t="s">
        <v>15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45" customHeight="1">
      <c r="A106" s="173" t="s">
        <v>16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30" customHeight="1">
      <c r="A107" s="173" t="s">
        <v>17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30" customHeight="1">
      <c r="A108" s="173" t="s">
        <v>21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14.25" customHeight="1">
      <c r="A109" s="173" t="s">
        <v>20</v>
      </c>
      <c r="B109" s="173"/>
      <c r="C109" s="173"/>
      <c r="D109" s="173"/>
      <c r="E109" s="173"/>
      <c r="F109" s="173"/>
      <c r="G109" s="173"/>
      <c r="H109" s="173"/>
      <c r="I109" s="173"/>
    </row>
  </sheetData>
  <autoFilter ref="I12:I59"/>
  <mergeCells count="29">
    <mergeCell ref="R64:U64"/>
    <mergeCell ref="A79:I79"/>
    <mergeCell ref="A3:I3"/>
    <mergeCell ref="A4:I4"/>
    <mergeCell ref="A5:I5"/>
    <mergeCell ref="A8:I8"/>
    <mergeCell ref="A10:I10"/>
    <mergeCell ref="A14:I14"/>
    <mergeCell ref="A95:I95"/>
    <mergeCell ref="A15:I15"/>
    <mergeCell ref="A28:I28"/>
    <mergeCell ref="A42:I42"/>
    <mergeCell ref="A53:I53"/>
    <mergeCell ref="A89:I89"/>
    <mergeCell ref="B90:G90"/>
    <mergeCell ref="B91:G91"/>
    <mergeCell ref="A93:I93"/>
    <mergeCell ref="A94:I94"/>
    <mergeCell ref="A83:I83"/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9"/>
  <sheetViews>
    <sheetView topLeftCell="A67" workbookViewId="0">
      <selection activeCell="A94" sqref="A94:I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152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230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44074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210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222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219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220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221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173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219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7</v>
      </c>
      <c r="B30" s="104" t="s">
        <v>107</v>
      </c>
      <c r="C30" s="105" t="s">
        <v>86</v>
      </c>
      <c r="D30" s="104" t="s">
        <v>214</v>
      </c>
      <c r="E30" s="107">
        <v>150</v>
      </c>
      <c r="F30" s="107">
        <f>SUM(E30*24/1000)</f>
        <v>3.6</v>
      </c>
      <c r="G30" s="107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8</v>
      </c>
      <c r="B31" s="104" t="s">
        <v>211</v>
      </c>
      <c r="C31" s="105" t="s">
        <v>86</v>
      </c>
      <c r="D31" s="104" t="s">
        <v>215</v>
      </c>
      <c r="E31" s="107">
        <v>38.5</v>
      </c>
      <c r="F31" s="107">
        <f>SUM(E31*72/1000)</f>
        <v>2.7719999999999998</v>
      </c>
      <c r="G31" s="107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4" t="s">
        <v>26</v>
      </c>
      <c r="C32" s="105" t="s">
        <v>86</v>
      </c>
      <c r="D32" s="104" t="s">
        <v>173</v>
      </c>
      <c r="E32" s="107">
        <v>150</v>
      </c>
      <c r="F32" s="107">
        <f>SUM(E32/1000)</f>
        <v>0.15</v>
      </c>
      <c r="G32" s="107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/>
      <c r="B33" s="141" t="s">
        <v>212</v>
      </c>
      <c r="C33" s="99" t="s">
        <v>213</v>
      </c>
      <c r="D33" s="104" t="s">
        <v>176</v>
      </c>
      <c r="E33" s="107">
        <v>2</v>
      </c>
      <c r="F33" s="107">
        <f>E33*155/100</f>
        <v>3.1</v>
      </c>
      <c r="G33" s="107">
        <v>1941.17</v>
      </c>
      <c r="H33" s="67">
        <f t="shared" si="1"/>
        <v>6.0176270000000001</v>
      </c>
      <c r="I33" s="13">
        <f>G33*F33/6</f>
        <v>1002.9378333333334</v>
      </c>
      <c r="J33" s="26"/>
    </row>
    <row r="34" spans="1:14" ht="15.75" hidden="1" customHeight="1">
      <c r="A34" s="32"/>
      <c r="B34" s="84" t="s">
        <v>5</v>
      </c>
      <c r="C34" s="64"/>
      <c r="D34" s="63"/>
      <c r="E34" s="65"/>
      <c r="F34" s="66"/>
      <c r="G34" s="66"/>
      <c r="H34" s="67" t="s">
        <v>132</v>
      </c>
      <c r="I34" s="13"/>
      <c r="J34" s="26"/>
    </row>
    <row r="35" spans="1:14" ht="15.75" hidden="1" customHeight="1">
      <c r="A35" s="32">
        <v>8</v>
      </c>
      <c r="B35" s="63" t="s">
        <v>25</v>
      </c>
      <c r="C35" s="64" t="s">
        <v>30</v>
      </c>
      <c r="D35" s="63"/>
      <c r="E35" s="65"/>
      <c r="F35" s="66">
        <v>3</v>
      </c>
      <c r="G35" s="66">
        <v>1632.6</v>
      </c>
      <c r="H35" s="67">
        <f t="shared" ref="H35:H40" si="3">SUM(F35*G35/1000)</f>
        <v>4.8977999999999993</v>
      </c>
      <c r="I35" s="13">
        <f t="shared" ref="I35:I40" si="4">F35/6*G35</f>
        <v>816.3</v>
      </c>
      <c r="J35" s="26"/>
    </row>
    <row r="36" spans="1:14" ht="15.75" hidden="1" customHeight="1">
      <c r="A36" s="32">
        <v>9</v>
      </c>
      <c r="B36" s="63" t="s">
        <v>108</v>
      </c>
      <c r="C36" s="64" t="s">
        <v>28</v>
      </c>
      <c r="D36" s="63" t="s">
        <v>84</v>
      </c>
      <c r="E36" s="65">
        <v>48.03</v>
      </c>
      <c r="F36" s="66">
        <v>1.44</v>
      </c>
      <c r="G36" s="66">
        <v>1979.95</v>
      </c>
      <c r="H36" s="67">
        <f>G36*F36/1000</f>
        <v>2.8511280000000001</v>
      </c>
      <c r="I36" s="13">
        <f t="shared" si="4"/>
        <v>475.18799999999999</v>
      </c>
      <c r="J36" s="26"/>
      <c r="L36" s="19"/>
      <c r="M36" s="20"/>
      <c r="N36" s="21"/>
    </row>
    <row r="37" spans="1:14" ht="15.75" hidden="1" customHeight="1">
      <c r="A37" s="32">
        <v>10</v>
      </c>
      <c r="B37" s="63" t="s">
        <v>66</v>
      </c>
      <c r="C37" s="64" t="s">
        <v>28</v>
      </c>
      <c r="D37" s="63" t="s">
        <v>85</v>
      </c>
      <c r="E37" s="66">
        <v>48.03</v>
      </c>
      <c r="F37" s="66">
        <f>SUM(E37*155/1000)</f>
        <v>7.4446500000000002</v>
      </c>
      <c r="G37" s="66">
        <v>330.27</v>
      </c>
      <c r="H37" s="67">
        <f t="shared" si="3"/>
        <v>2.4587445555</v>
      </c>
      <c r="I37" s="13">
        <f t="shared" si="4"/>
        <v>409.79075924999995</v>
      </c>
      <c r="J37" s="26"/>
      <c r="L37" s="19"/>
      <c r="M37" s="20"/>
      <c r="N37" s="21"/>
    </row>
    <row r="38" spans="1:14" ht="47.25" hidden="1" customHeight="1">
      <c r="A38" s="32">
        <v>11</v>
      </c>
      <c r="B38" s="63" t="s">
        <v>79</v>
      </c>
      <c r="C38" s="64" t="s">
        <v>86</v>
      </c>
      <c r="D38" s="63" t="s">
        <v>109</v>
      </c>
      <c r="E38" s="66">
        <v>48.03</v>
      </c>
      <c r="F38" s="66">
        <f>SUM(E38*35/1000)</f>
        <v>1.6810499999999999</v>
      </c>
      <c r="G38" s="66">
        <v>5464.48</v>
      </c>
      <c r="H38" s="67">
        <f t="shared" si="3"/>
        <v>9.1860641039999997</v>
      </c>
      <c r="I38" s="13">
        <f t="shared" si="4"/>
        <v>1531.0106839999999</v>
      </c>
      <c r="J38" s="26"/>
      <c r="L38" s="19"/>
      <c r="M38" s="20"/>
      <c r="N38" s="21"/>
    </row>
    <row r="39" spans="1:14" ht="15.75" hidden="1" customHeight="1">
      <c r="A39" s="32">
        <v>12</v>
      </c>
      <c r="B39" s="63" t="s">
        <v>87</v>
      </c>
      <c r="C39" s="64" t="s">
        <v>86</v>
      </c>
      <c r="D39" s="63" t="s">
        <v>67</v>
      </c>
      <c r="E39" s="66">
        <v>48.03</v>
      </c>
      <c r="F39" s="66">
        <f>SUM(E39*45/1000)</f>
        <v>2.1613500000000001</v>
      </c>
      <c r="G39" s="66">
        <v>403.67</v>
      </c>
      <c r="H39" s="67">
        <f t="shared" si="3"/>
        <v>0.87247215450000015</v>
      </c>
      <c r="I39" s="13">
        <f t="shared" si="4"/>
        <v>145.41202575000003</v>
      </c>
      <c r="J39" s="26"/>
      <c r="L39" s="19"/>
      <c r="M39" s="20"/>
      <c r="N39" s="21"/>
    </row>
    <row r="40" spans="1:14" ht="15.75" hidden="1" customHeight="1">
      <c r="A40" s="32">
        <v>13</v>
      </c>
      <c r="B40" s="63" t="s">
        <v>68</v>
      </c>
      <c r="C40" s="64" t="s">
        <v>31</v>
      </c>
      <c r="D40" s="63"/>
      <c r="E40" s="65"/>
      <c r="F40" s="66">
        <v>0.53</v>
      </c>
      <c r="G40" s="66">
        <v>750.34</v>
      </c>
      <c r="H40" s="67">
        <f t="shared" si="3"/>
        <v>0.39768020000000004</v>
      </c>
      <c r="I40" s="13">
        <f t="shared" si="4"/>
        <v>66.280033333333336</v>
      </c>
      <c r="J40" s="26"/>
      <c r="L40" s="19"/>
      <c r="M40" s="20"/>
      <c r="N40" s="21"/>
    </row>
    <row r="41" spans="1:14" ht="15.75" customHeight="1">
      <c r="A41" s="165" t="s">
        <v>125</v>
      </c>
      <c r="B41" s="166"/>
      <c r="C41" s="166"/>
      <c r="D41" s="166"/>
      <c r="E41" s="166"/>
      <c r="F41" s="166"/>
      <c r="G41" s="166"/>
      <c r="H41" s="166"/>
      <c r="I41" s="167"/>
      <c r="J41" s="26"/>
      <c r="L41" s="19"/>
      <c r="M41" s="20"/>
      <c r="N41" s="21"/>
    </row>
    <row r="42" spans="1:14" ht="15.75" hidden="1" customHeight="1">
      <c r="A42" s="32"/>
      <c r="B42" s="63" t="s">
        <v>110</v>
      </c>
      <c r="C42" s="64" t="s">
        <v>86</v>
      </c>
      <c r="D42" s="63" t="s">
        <v>41</v>
      </c>
      <c r="E42" s="65">
        <v>636.25</v>
      </c>
      <c r="F42" s="66">
        <f>SUM(E42*2/1000)</f>
        <v>1.2725</v>
      </c>
      <c r="G42" s="13">
        <v>762.53</v>
      </c>
      <c r="H42" s="67">
        <f t="shared" ref="H42:H51" si="5">SUM(F42*G42/1000)</f>
        <v>0.9703194249999999</v>
      </c>
      <c r="I42" s="13">
        <v>0</v>
      </c>
      <c r="J42" s="26"/>
      <c r="L42" s="19"/>
      <c r="M42" s="20"/>
      <c r="N42" s="21"/>
    </row>
    <row r="43" spans="1:14" ht="15.75" hidden="1" customHeight="1">
      <c r="A43" s="32"/>
      <c r="B43" s="63" t="s">
        <v>34</v>
      </c>
      <c r="C43" s="64" t="s">
        <v>86</v>
      </c>
      <c r="D43" s="63" t="s">
        <v>41</v>
      </c>
      <c r="E43" s="65">
        <v>26</v>
      </c>
      <c r="F43" s="66">
        <f>SUM(E43*2/1000)</f>
        <v>5.1999999999999998E-2</v>
      </c>
      <c r="G43" s="13">
        <v>545.65</v>
      </c>
      <c r="H43" s="67">
        <f t="shared" si="5"/>
        <v>2.8373799999999998E-2</v>
      </c>
      <c r="I43" s="13">
        <v>0</v>
      </c>
      <c r="J43" s="26"/>
      <c r="L43" s="19"/>
      <c r="M43" s="20"/>
      <c r="N43" s="21"/>
    </row>
    <row r="44" spans="1:14" ht="15.75" hidden="1" customHeight="1">
      <c r="A44" s="32"/>
      <c r="B44" s="63" t="s">
        <v>35</v>
      </c>
      <c r="C44" s="64" t="s">
        <v>86</v>
      </c>
      <c r="D44" s="63" t="s">
        <v>41</v>
      </c>
      <c r="E44" s="65">
        <v>579</v>
      </c>
      <c r="F44" s="66">
        <f>SUM(E44*2/1000)</f>
        <v>1.1579999999999999</v>
      </c>
      <c r="G44" s="13">
        <v>545.65</v>
      </c>
      <c r="H44" s="67">
        <f t="shared" si="5"/>
        <v>0.63186269999999989</v>
      </c>
      <c r="I44" s="13">
        <v>0</v>
      </c>
      <c r="J44" s="26"/>
      <c r="L44" s="19"/>
      <c r="M44" s="20"/>
      <c r="N44" s="21"/>
    </row>
    <row r="45" spans="1:14" ht="15.75" hidden="1" customHeight="1">
      <c r="A45" s="32"/>
      <c r="B45" s="63" t="s">
        <v>36</v>
      </c>
      <c r="C45" s="64" t="s">
        <v>86</v>
      </c>
      <c r="D45" s="63" t="s">
        <v>41</v>
      </c>
      <c r="E45" s="65">
        <v>683.33</v>
      </c>
      <c r="F45" s="66">
        <f>SUM(E45*2/1000)</f>
        <v>1.36666</v>
      </c>
      <c r="G45" s="13">
        <v>571.35</v>
      </c>
      <c r="H45" s="67">
        <f t="shared" si="5"/>
        <v>0.78084119099999993</v>
      </c>
      <c r="I45" s="13">
        <v>0</v>
      </c>
      <c r="J45" s="26"/>
      <c r="L45" s="19"/>
      <c r="M45" s="20"/>
      <c r="N45" s="21"/>
    </row>
    <row r="46" spans="1:14" ht="15.75" hidden="1" customHeight="1">
      <c r="A46" s="32"/>
      <c r="B46" s="63" t="s">
        <v>32</v>
      </c>
      <c r="C46" s="64" t="s">
        <v>33</v>
      </c>
      <c r="D46" s="63" t="s">
        <v>41</v>
      </c>
      <c r="E46" s="65">
        <v>44.11</v>
      </c>
      <c r="F46" s="66">
        <f>SUM(E46*2/100)</f>
        <v>0.88219999999999998</v>
      </c>
      <c r="G46" s="13">
        <v>68.56</v>
      </c>
      <c r="H46" s="67">
        <f t="shared" si="5"/>
        <v>6.0483632000000002E-2</v>
      </c>
      <c r="I46" s="13">
        <v>0</v>
      </c>
      <c r="J46" s="26"/>
      <c r="L46" s="19"/>
      <c r="M46" s="20"/>
      <c r="N46" s="21"/>
    </row>
    <row r="47" spans="1:14" ht="15.75" hidden="1" customHeight="1">
      <c r="A47" s="32">
        <v>14</v>
      </c>
      <c r="B47" s="63" t="s">
        <v>55</v>
      </c>
      <c r="C47" s="64" t="s">
        <v>86</v>
      </c>
      <c r="D47" s="63" t="s">
        <v>126</v>
      </c>
      <c r="E47" s="65">
        <v>1140</v>
      </c>
      <c r="F47" s="66">
        <f>SUM(E47*5/1000)</f>
        <v>5.7</v>
      </c>
      <c r="G47" s="13">
        <v>1142.7</v>
      </c>
      <c r="H47" s="67">
        <f t="shared" si="5"/>
        <v>6.5133900000000002</v>
      </c>
      <c r="I47" s="13">
        <f>F47/5*G47</f>
        <v>1302.6780000000001</v>
      </c>
      <c r="J47" s="26"/>
      <c r="L47" s="19"/>
      <c r="M47" s="20"/>
      <c r="N47" s="21"/>
    </row>
    <row r="48" spans="1:14" ht="31.5" hidden="1" customHeight="1">
      <c r="A48" s="32"/>
      <c r="B48" s="63" t="s">
        <v>88</v>
      </c>
      <c r="C48" s="64" t="s">
        <v>86</v>
      </c>
      <c r="D48" s="63" t="s">
        <v>41</v>
      </c>
      <c r="E48" s="65">
        <v>1140</v>
      </c>
      <c r="F48" s="66">
        <f>SUM(E48*2/1000)</f>
        <v>2.2799999999999998</v>
      </c>
      <c r="G48" s="13">
        <v>1142.7</v>
      </c>
      <c r="H48" s="67">
        <f t="shared" si="5"/>
        <v>2.6053559999999996</v>
      </c>
      <c r="I48" s="13">
        <v>0</v>
      </c>
      <c r="J48" s="26"/>
      <c r="L48" s="19"/>
      <c r="M48" s="20"/>
      <c r="N48" s="21"/>
    </row>
    <row r="49" spans="1:22" ht="31.5" hidden="1" customHeight="1">
      <c r="A49" s="32"/>
      <c r="B49" s="63" t="s">
        <v>89</v>
      </c>
      <c r="C49" s="64" t="s">
        <v>37</v>
      </c>
      <c r="D49" s="63" t="s">
        <v>41</v>
      </c>
      <c r="E49" s="65">
        <v>9</v>
      </c>
      <c r="F49" s="66">
        <f>SUM(E49*2/100)</f>
        <v>0.18</v>
      </c>
      <c r="G49" s="13">
        <v>2571.08</v>
      </c>
      <c r="H49" s="67">
        <f t="shared" si="5"/>
        <v>0.46279439999999999</v>
      </c>
      <c r="I49" s="13">
        <v>0</v>
      </c>
      <c r="J49" s="26"/>
      <c r="L49" s="19"/>
      <c r="M49" s="20"/>
      <c r="N49" s="21"/>
    </row>
    <row r="50" spans="1:22" ht="15.75" hidden="1" customHeight="1">
      <c r="A50" s="32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5322.15</v>
      </c>
      <c r="H50" s="67">
        <f t="shared" si="5"/>
        <v>0.106443</v>
      </c>
      <c r="I50" s="13">
        <v>0</v>
      </c>
      <c r="J50" s="26"/>
      <c r="L50" s="19"/>
      <c r="M50" s="20"/>
      <c r="N50" s="21"/>
    </row>
    <row r="51" spans="1:22" ht="15.75" customHeight="1">
      <c r="A51" s="32">
        <v>9</v>
      </c>
      <c r="B51" s="63" t="s">
        <v>40</v>
      </c>
      <c r="C51" s="64" t="s">
        <v>111</v>
      </c>
      <c r="D51" s="108">
        <v>44069</v>
      </c>
      <c r="E51" s="65">
        <v>36</v>
      </c>
      <c r="F51" s="66">
        <f>SUM(E51)*3</f>
        <v>108</v>
      </c>
      <c r="G51" s="154">
        <v>97.93</v>
      </c>
      <c r="H51" s="67">
        <f t="shared" si="5"/>
        <v>10.57644</v>
      </c>
      <c r="I51" s="13">
        <f>G51*F51/3</f>
        <v>3525.48</v>
      </c>
      <c r="J51" s="26"/>
      <c r="L51" s="19"/>
      <c r="M51" s="20"/>
      <c r="N51" s="21"/>
    </row>
    <row r="52" spans="1:22" ht="15.75" customHeight="1">
      <c r="A52" s="165" t="s">
        <v>127</v>
      </c>
      <c r="B52" s="166"/>
      <c r="C52" s="166"/>
      <c r="D52" s="166"/>
      <c r="E52" s="166"/>
      <c r="F52" s="166"/>
      <c r="G52" s="166"/>
      <c r="H52" s="166"/>
      <c r="I52" s="167"/>
      <c r="J52" s="26"/>
      <c r="L52" s="19"/>
      <c r="M52" s="20"/>
      <c r="N52" s="21"/>
    </row>
    <row r="53" spans="1:22" ht="15.75" hidden="1" customHeight="1">
      <c r="A53" s="32"/>
      <c r="B53" s="84" t="s">
        <v>42</v>
      </c>
      <c r="C53" s="64"/>
      <c r="D53" s="63"/>
      <c r="E53" s="65"/>
      <c r="F53" s="66"/>
      <c r="G53" s="66"/>
      <c r="H53" s="67"/>
      <c r="I53" s="13"/>
      <c r="J53" s="26"/>
      <c r="L53" s="19"/>
      <c r="M53" s="20"/>
      <c r="N53" s="21"/>
    </row>
    <row r="54" spans="1:22" ht="31.5" hidden="1" customHeight="1">
      <c r="A54" s="32">
        <v>16</v>
      </c>
      <c r="B54" s="63" t="s">
        <v>112</v>
      </c>
      <c r="C54" s="64" t="s">
        <v>83</v>
      </c>
      <c r="D54" s="63" t="s">
        <v>113</v>
      </c>
      <c r="E54" s="65">
        <v>72.33</v>
      </c>
      <c r="F54" s="66">
        <f>SUM(E54*6/100)</f>
        <v>4.3398000000000003</v>
      </c>
      <c r="G54" s="13">
        <v>1456.95</v>
      </c>
      <c r="H54" s="67">
        <f>SUM(F54*G54/1000)</f>
        <v>6.3228716100000009</v>
      </c>
      <c r="I54" s="13">
        <f>F54/6*G54</f>
        <v>1053.8119350000002</v>
      </c>
      <c r="J54" s="26"/>
      <c r="L54" s="19"/>
      <c r="M54" s="20"/>
      <c r="N54" s="21"/>
    </row>
    <row r="55" spans="1:22" ht="15.75" customHeight="1">
      <c r="A55" s="32"/>
      <c r="B55" s="84" t="s">
        <v>43</v>
      </c>
      <c r="C55" s="64"/>
      <c r="D55" s="63"/>
      <c r="E55" s="65"/>
      <c r="F55" s="67"/>
      <c r="G55" s="13"/>
      <c r="H55" s="72"/>
      <c r="I55" s="13"/>
      <c r="J55" s="26"/>
      <c r="L55" s="19"/>
      <c r="M55" s="20"/>
      <c r="N55" s="21"/>
    </row>
    <row r="56" spans="1:22" ht="15.75" hidden="1" customHeight="1">
      <c r="A56" s="32">
        <v>9</v>
      </c>
      <c r="B56" s="63" t="s">
        <v>114</v>
      </c>
      <c r="C56" s="64"/>
      <c r="D56" s="63" t="s">
        <v>173</v>
      </c>
      <c r="E56" s="65">
        <v>952</v>
      </c>
      <c r="F56" s="67">
        <v>9.52</v>
      </c>
      <c r="G56" s="13">
        <v>848.37</v>
      </c>
      <c r="H56" s="72">
        <f>F56*G56/1000</f>
        <v>8.0764823999999997</v>
      </c>
      <c r="I56" s="13">
        <f>G56*1</f>
        <v>848.37</v>
      </c>
      <c r="J56" s="26"/>
      <c r="L56" s="19"/>
    </row>
    <row r="57" spans="1:22" ht="15.75" customHeight="1">
      <c r="A57" s="32">
        <v>10</v>
      </c>
      <c r="B57" s="109" t="s">
        <v>162</v>
      </c>
      <c r="C57" s="110" t="s">
        <v>163</v>
      </c>
      <c r="D57" s="109" t="s">
        <v>172</v>
      </c>
      <c r="E57" s="126">
        <v>100</v>
      </c>
      <c r="F57" s="36">
        <f>E57*12</f>
        <v>1200</v>
      </c>
      <c r="G57" s="36">
        <v>1.4</v>
      </c>
      <c r="H57" s="119"/>
      <c r="I57" s="13">
        <f>G57*F57/12</f>
        <v>140</v>
      </c>
      <c r="J57" s="26"/>
      <c r="L57" s="19"/>
    </row>
    <row r="58" spans="1:22" ht="16.5" customHeight="1">
      <c r="A58" s="32"/>
      <c r="B58" s="85" t="s">
        <v>44</v>
      </c>
      <c r="C58" s="73"/>
      <c r="D58" s="74"/>
      <c r="E58" s="75"/>
      <c r="F58" s="76"/>
      <c r="G58" s="76"/>
      <c r="H58" s="77" t="s">
        <v>132</v>
      </c>
      <c r="I58" s="13"/>
    </row>
    <row r="59" spans="1:22" ht="15.75" customHeight="1">
      <c r="A59" s="32">
        <v>11</v>
      </c>
      <c r="B59" s="14" t="s">
        <v>45</v>
      </c>
      <c r="C59" s="16" t="s">
        <v>111</v>
      </c>
      <c r="D59" s="14" t="s">
        <v>210</v>
      </c>
      <c r="E59" s="18">
        <v>5</v>
      </c>
      <c r="F59" s="66">
        <v>5</v>
      </c>
      <c r="G59" s="100">
        <v>331.57</v>
      </c>
      <c r="H59" s="78">
        <f t="shared" ref="H59" si="6">SUM(F59*G59/1000)</f>
        <v>1.6578499999999998</v>
      </c>
      <c r="I59" s="13">
        <f>G59*2</f>
        <v>663.14</v>
      </c>
    </row>
    <row r="60" spans="1:22" ht="14.25" hidden="1" customHeight="1">
      <c r="A60" s="32"/>
      <c r="B60" s="14" t="s">
        <v>46</v>
      </c>
      <c r="C60" s="16" t="s">
        <v>111</v>
      </c>
      <c r="D60" s="14" t="s">
        <v>65</v>
      </c>
      <c r="E60" s="18">
        <v>2</v>
      </c>
      <c r="F60" s="66">
        <v>2</v>
      </c>
      <c r="G60" s="13">
        <v>81.510000000000005</v>
      </c>
      <c r="H60" s="78">
        <f t="shared" ref="H60:H76" si="7">SUM(F60*G60/1000)</f>
        <v>0.16302</v>
      </c>
      <c r="I60" s="13">
        <v>0</v>
      </c>
    </row>
    <row r="61" spans="1:22" ht="16.5" hidden="1" customHeight="1">
      <c r="A61" s="32"/>
      <c r="B61" s="14" t="s">
        <v>47</v>
      </c>
      <c r="C61" s="16" t="s">
        <v>115</v>
      </c>
      <c r="D61" s="14" t="s">
        <v>53</v>
      </c>
      <c r="E61" s="65">
        <v>4292</v>
      </c>
      <c r="F61" s="13">
        <f>SUM(E61/100)</f>
        <v>42.92</v>
      </c>
      <c r="G61" s="13">
        <v>226.79</v>
      </c>
      <c r="H61" s="78">
        <f t="shared" si="7"/>
        <v>9.733826800000001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8" hidden="1" customHeight="1">
      <c r="A62" s="32"/>
      <c r="B62" s="14" t="s">
        <v>48</v>
      </c>
      <c r="C62" s="16" t="s">
        <v>116</v>
      </c>
      <c r="D62" s="14"/>
      <c r="E62" s="65">
        <v>4292</v>
      </c>
      <c r="F62" s="13">
        <f>SUM(E62/1000)</f>
        <v>4.2919999999999998</v>
      </c>
      <c r="G62" s="13">
        <v>176.61</v>
      </c>
      <c r="H62" s="78">
        <f t="shared" si="7"/>
        <v>0.75801012000000001</v>
      </c>
      <c r="I62" s="13">
        <v>0</v>
      </c>
      <c r="J62" s="28"/>
      <c r="K62" s="28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21" hidden="1" customHeight="1">
      <c r="A63" s="32"/>
      <c r="B63" s="14" t="s">
        <v>49</v>
      </c>
      <c r="C63" s="16" t="s">
        <v>75</v>
      </c>
      <c r="D63" s="14" t="s">
        <v>53</v>
      </c>
      <c r="E63" s="65">
        <v>510</v>
      </c>
      <c r="F63" s="13">
        <f>SUM(E63/100)</f>
        <v>5.0999999999999996</v>
      </c>
      <c r="G63" s="13">
        <v>2217.7800000000002</v>
      </c>
      <c r="H63" s="78">
        <f t="shared" si="7"/>
        <v>11.310677999999999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22.5" hidden="1" customHeight="1">
      <c r="A64" s="32"/>
      <c r="B64" s="79" t="s">
        <v>117</v>
      </c>
      <c r="C64" s="16" t="s">
        <v>31</v>
      </c>
      <c r="D64" s="14"/>
      <c r="E64" s="65">
        <v>4.5999999999999996</v>
      </c>
      <c r="F64" s="13">
        <f>SUM(E64)</f>
        <v>4.5999999999999996</v>
      </c>
      <c r="G64" s="13">
        <v>42.67</v>
      </c>
      <c r="H64" s="78">
        <f t="shared" si="7"/>
        <v>0.19628199999999998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168"/>
      <c r="S64" s="168"/>
      <c r="T64" s="168"/>
      <c r="U64" s="168"/>
    </row>
    <row r="65" spans="1:21" ht="19.5" hidden="1" customHeight="1">
      <c r="A65" s="32"/>
      <c r="B65" s="79" t="s">
        <v>118</v>
      </c>
      <c r="C65" s="16" t="s">
        <v>31</v>
      </c>
      <c r="D65" s="14"/>
      <c r="E65" s="65">
        <v>4.5999999999999996</v>
      </c>
      <c r="F65" s="13">
        <f>SUM(E65)</f>
        <v>4.5999999999999996</v>
      </c>
      <c r="G65" s="13">
        <v>39.81</v>
      </c>
      <c r="H65" s="78">
        <f t="shared" si="7"/>
        <v>0.18312600000000001</v>
      </c>
      <c r="I65" s="13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1:21" ht="22.5" hidden="1" customHeight="1">
      <c r="A66" s="32"/>
      <c r="B66" s="14" t="s">
        <v>56</v>
      </c>
      <c r="C66" s="16" t="s">
        <v>57</v>
      </c>
      <c r="D66" s="14" t="s">
        <v>53</v>
      </c>
      <c r="E66" s="18">
        <v>3</v>
      </c>
      <c r="F66" s="66">
        <v>3</v>
      </c>
      <c r="G66" s="13">
        <v>53.32</v>
      </c>
      <c r="H66" s="78">
        <f t="shared" si="7"/>
        <v>0.15996000000000002</v>
      </c>
      <c r="I66" s="13">
        <v>0</v>
      </c>
    </row>
    <row r="67" spans="1:21" ht="22.5" customHeight="1">
      <c r="A67" s="32"/>
      <c r="B67" s="150" t="s">
        <v>194</v>
      </c>
      <c r="C67" s="16"/>
      <c r="D67" s="14"/>
      <c r="E67" s="18"/>
      <c r="F67" s="59"/>
      <c r="G67" s="13"/>
      <c r="H67" s="78"/>
      <c r="I67" s="13"/>
    </row>
    <row r="68" spans="1:21" ht="32.25" customHeight="1">
      <c r="A68" s="32">
        <v>12</v>
      </c>
      <c r="B68" s="127" t="s">
        <v>192</v>
      </c>
      <c r="C68" s="128" t="s">
        <v>193</v>
      </c>
      <c r="D68" s="129"/>
      <c r="E68" s="17">
        <v>1042.5999999999999</v>
      </c>
      <c r="F68" s="130">
        <f>E68*12</f>
        <v>12511.199999999999</v>
      </c>
      <c r="G68" s="130">
        <v>2.6</v>
      </c>
      <c r="H68" s="78"/>
      <c r="I68" s="13">
        <f>G68*F68/12</f>
        <v>2710.7599999999998</v>
      </c>
    </row>
    <row r="69" spans="1:21" ht="22.5" customHeight="1">
      <c r="A69" s="32"/>
      <c r="B69" s="50" t="s">
        <v>70</v>
      </c>
      <c r="C69" s="16"/>
      <c r="D69" s="14"/>
      <c r="E69" s="18"/>
      <c r="F69" s="13"/>
      <c r="G69" s="13"/>
      <c r="H69" s="78" t="s">
        <v>132</v>
      </c>
      <c r="I69" s="13"/>
    </row>
    <row r="70" spans="1:21" ht="23.25" hidden="1" customHeight="1">
      <c r="A70" s="32"/>
      <c r="B70" s="14" t="s">
        <v>71</v>
      </c>
      <c r="C70" s="16" t="s">
        <v>73</v>
      </c>
      <c r="D70" s="14"/>
      <c r="E70" s="18">
        <v>2</v>
      </c>
      <c r="F70" s="13">
        <v>0.2</v>
      </c>
      <c r="G70" s="13">
        <v>536.23</v>
      </c>
      <c r="H70" s="78">
        <f t="shared" si="7"/>
        <v>0.10724600000000001</v>
      </c>
      <c r="I70" s="13">
        <v>0</v>
      </c>
    </row>
    <row r="71" spans="1:21" ht="19.5" hidden="1" customHeight="1">
      <c r="A71" s="32"/>
      <c r="B71" s="14" t="s">
        <v>72</v>
      </c>
      <c r="C71" s="16" t="s">
        <v>29</v>
      </c>
      <c r="D71" s="14"/>
      <c r="E71" s="18">
        <v>1</v>
      </c>
      <c r="F71" s="59">
        <v>1</v>
      </c>
      <c r="G71" s="13">
        <v>911.85</v>
      </c>
      <c r="H71" s="78">
        <f t="shared" si="7"/>
        <v>0.91185000000000005</v>
      </c>
      <c r="I71" s="13">
        <v>0</v>
      </c>
    </row>
    <row r="72" spans="1:21" ht="21" hidden="1" customHeight="1">
      <c r="A72" s="32"/>
      <c r="B72" s="14" t="s">
        <v>133</v>
      </c>
      <c r="C72" s="16" t="s">
        <v>134</v>
      </c>
      <c r="D72" s="14"/>
      <c r="E72" s="18"/>
      <c r="F72" s="13"/>
      <c r="G72" s="13">
        <v>31.54</v>
      </c>
      <c r="H72" s="78">
        <f t="shared" si="7"/>
        <v>0</v>
      </c>
      <c r="I72" s="13"/>
    </row>
    <row r="73" spans="1:21" ht="21" hidden="1" customHeight="1">
      <c r="A73" s="32"/>
      <c r="B73" s="14" t="s">
        <v>120</v>
      </c>
      <c r="C73" s="16" t="s">
        <v>29</v>
      </c>
      <c r="D73" s="14"/>
      <c r="E73" s="18">
        <v>1</v>
      </c>
      <c r="F73" s="13">
        <v>1</v>
      </c>
      <c r="G73" s="13">
        <v>383.25</v>
      </c>
      <c r="H73" s="78">
        <f>G73*F73/1000</f>
        <v>0.38324999999999998</v>
      </c>
      <c r="I73" s="13">
        <v>0</v>
      </c>
    </row>
    <row r="74" spans="1:21" ht="17.25" customHeight="1">
      <c r="A74" s="32">
        <v>13</v>
      </c>
      <c r="B74" s="102" t="s">
        <v>195</v>
      </c>
      <c r="C74" s="103" t="s">
        <v>29</v>
      </c>
      <c r="D74" s="102" t="s">
        <v>173</v>
      </c>
      <c r="E74" s="17">
        <v>1</v>
      </c>
      <c r="F74" s="36">
        <f>E74*12</f>
        <v>12</v>
      </c>
      <c r="G74" s="36">
        <v>420</v>
      </c>
      <c r="H74" s="78"/>
      <c r="I74" s="13">
        <f>G74*F74/12</f>
        <v>420</v>
      </c>
    </row>
    <row r="75" spans="1:21" ht="24.75" hidden="1" customHeight="1">
      <c r="A75" s="32"/>
      <c r="B75" s="81" t="s">
        <v>74</v>
      </c>
      <c r="C75" s="16"/>
      <c r="D75" s="14"/>
      <c r="E75" s="18"/>
      <c r="F75" s="13"/>
      <c r="G75" s="13" t="s">
        <v>132</v>
      </c>
      <c r="H75" s="78" t="s">
        <v>132</v>
      </c>
      <c r="I75" s="13"/>
    </row>
    <row r="76" spans="1:21" ht="24.75" hidden="1" customHeight="1">
      <c r="A76" s="32"/>
      <c r="B76" s="44" t="s">
        <v>142</v>
      </c>
      <c r="C76" s="16" t="s">
        <v>75</v>
      </c>
      <c r="D76" s="14"/>
      <c r="E76" s="18"/>
      <c r="F76" s="13">
        <v>0.1</v>
      </c>
      <c r="G76" s="13">
        <v>2949.85</v>
      </c>
      <c r="H76" s="78">
        <f t="shared" si="7"/>
        <v>0.294985</v>
      </c>
      <c r="I76" s="13">
        <v>0</v>
      </c>
    </row>
    <row r="77" spans="1:21" ht="25.5" hidden="1" customHeight="1">
      <c r="A77" s="32"/>
      <c r="B77" s="88" t="s">
        <v>90</v>
      </c>
      <c r="C77" s="88"/>
      <c r="D77" s="88"/>
      <c r="E77" s="88"/>
      <c r="F77" s="88"/>
      <c r="G77" s="69"/>
      <c r="H77" s="82">
        <f>SUM(H54:H76)</f>
        <v>40.259437929999997</v>
      </c>
      <c r="I77" s="69"/>
    </row>
    <row r="78" spans="1:21" ht="19.5" hidden="1" customHeight="1">
      <c r="A78" s="32"/>
      <c r="B78" s="86" t="s">
        <v>119</v>
      </c>
      <c r="C78" s="23"/>
      <c r="D78" s="22"/>
      <c r="E78" s="83"/>
      <c r="F78" s="87">
        <v>1</v>
      </c>
      <c r="G78" s="13">
        <v>3124.9</v>
      </c>
      <c r="H78" s="78">
        <f>G78*F78/1000</f>
        <v>3.1249000000000002</v>
      </c>
      <c r="I78" s="13">
        <v>0</v>
      </c>
    </row>
    <row r="79" spans="1:21" ht="15.75" customHeight="1">
      <c r="A79" s="165" t="s">
        <v>128</v>
      </c>
      <c r="B79" s="166"/>
      <c r="C79" s="166"/>
      <c r="D79" s="166"/>
      <c r="E79" s="166"/>
      <c r="F79" s="166"/>
      <c r="G79" s="166"/>
      <c r="H79" s="166"/>
      <c r="I79" s="167"/>
    </row>
    <row r="80" spans="1:21" ht="15.75" customHeight="1">
      <c r="A80" s="32">
        <v>14</v>
      </c>
      <c r="B80" s="104" t="s">
        <v>121</v>
      </c>
      <c r="C80" s="103" t="s">
        <v>54</v>
      </c>
      <c r="D80" s="49"/>
      <c r="E80" s="36">
        <v>1042.5999999999999</v>
      </c>
      <c r="F80" s="36">
        <f>SUM(E80*12)</f>
        <v>12511.199999999999</v>
      </c>
      <c r="G80" s="36">
        <v>3.5</v>
      </c>
      <c r="H80" s="78">
        <f>SUM(F80*G80/1000)</f>
        <v>43.789199999999994</v>
      </c>
      <c r="I80" s="13">
        <f>G80*F80/12</f>
        <v>3649.1</v>
      </c>
    </row>
    <row r="81" spans="1:9" ht="31.5" customHeight="1">
      <c r="A81" s="32">
        <v>15</v>
      </c>
      <c r="B81" s="102" t="s">
        <v>196</v>
      </c>
      <c r="C81" s="103" t="s">
        <v>54</v>
      </c>
      <c r="D81" s="96"/>
      <c r="E81" s="121">
        <f>E80</f>
        <v>1042.5999999999999</v>
      </c>
      <c r="F81" s="36">
        <f>E81*12</f>
        <v>12511.199999999999</v>
      </c>
      <c r="G81" s="36">
        <v>3.2</v>
      </c>
      <c r="H81" s="78">
        <f>F81*G81/1000</f>
        <v>40.035839999999993</v>
      </c>
      <c r="I81" s="13">
        <f>G81*F81/12</f>
        <v>3336.3199999999997</v>
      </c>
    </row>
    <row r="82" spans="1:9" ht="15.75" customHeight="1">
      <c r="A82" s="32"/>
      <c r="B82" s="37" t="s">
        <v>78</v>
      </c>
      <c r="C82" s="81"/>
      <c r="D82" s="80"/>
      <c r="E82" s="69"/>
      <c r="F82" s="69"/>
      <c r="G82" s="69"/>
      <c r="H82" s="82">
        <f>H81</f>
        <v>40.035839999999993</v>
      </c>
      <c r="I82" s="69">
        <f>I81+I80+I74+I68+I59+I57+I51+I33+I31+I30+I27+I21+I20+I18+I17+I16</f>
        <v>20847.922245333331</v>
      </c>
    </row>
    <row r="83" spans="1:9" ht="15.75" customHeight="1">
      <c r="A83" s="170" t="s">
        <v>59</v>
      </c>
      <c r="B83" s="171"/>
      <c r="C83" s="171"/>
      <c r="D83" s="171"/>
      <c r="E83" s="171"/>
      <c r="F83" s="171"/>
      <c r="G83" s="171"/>
      <c r="H83" s="171"/>
      <c r="I83" s="172"/>
    </row>
    <row r="84" spans="1:9" ht="34.5" customHeight="1">
      <c r="A84" s="32">
        <v>16</v>
      </c>
      <c r="B84" s="98" t="s">
        <v>231</v>
      </c>
      <c r="C84" s="99" t="s">
        <v>163</v>
      </c>
      <c r="D84" s="96" t="s">
        <v>232</v>
      </c>
      <c r="E84" s="36"/>
      <c r="F84" s="36">
        <v>26.6</v>
      </c>
      <c r="G84" s="36">
        <v>945.27499999999998</v>
      </c>
      <c r="H84" s="77">
        <f>F84*G84/1000</f>
        <v>25.144315000000002</v>
      </c>
      <c r="I84" s="97">
        <f>G84*26.6</f>
        <v>25144.315000000002</v>
      </c>
    </row>
    <row r="85" spans="1:9" ht="34.5" customHeight="1">
      <c r="A85" s="32">
        <v>17</v>
      </c>
      <c r="B85" s="98" t="s">
        <v>135</v>
      </c>
      <c r="C85" s="99" t="s">
        <v>136</v>
      </c>
      <c r="D85" s="96" t="s">
        <v>238</v>
      </c>
      <c r="E85" s="36"/>
      <c r="F85" s="36">
        <v>1</v>
      </c>
      <c r="G85" s="36">
        <v>61.58</v>
      </c>
      <c r="H85" s="59"/>
      <c r="I85" s="97">
        <f>G85*1</f>
        <v>61.58</v>
      </c>
    </row>
    <row r="86" spans="1:9">
      <c r="A86" s="32"/>
      <c r="B86" s="42" t="s">
        <v>50</v>
      </c>
      <c r="C86" s="38"/>
      <c r="D86" s="45"/>
      <c r="E86" s="38">
        <v>1</v>
      </c>
      <c r="F86" s="38"/>
      <c r="G86" s="38"/>
      <c r="H86" s="38"/>
      <c r="I86" s="34">
        <f>SUM(I84:I85)</f>
        <v>25205.895000000004</v>
      </c>
    </row>
    <row r="87" spans="1:9" ht="16.5" customHeight="1">
      <c r="A87" s="32"/>
      <c r="B87" s="44" t="s">
        <v>77</v>
      </c>
      <c r="C87" s="15"/>
      <c r="D87" s="15"/>
      <c r="E87" s="39"/>
      <c r="F87" s="39"/>
      <c r="G87" s="40"/>
      <c r="H87" s="40"/>
      <c r="I87" s="17">
        <v>0</v>
      </c>
    </row>
    <row r="88" spans="1:9" ht="16.5" customHeight="1">
      <c r="A88" s="46"/>
      <c r="B88" s="43" t="s">
        <v>156</v>
      </c>
      <c r="C88" s="35"/>
      <c r="D88" s="35"/>
      <c r="E88" s="35"/>
      <c r="F88" s="35"/>
      <c r="G88" s="35"/>
      <c r="H88" s="35"/>
      <c r="I88" s="41">
        <f>I82+I86</f>
        <v>46053.817245333339</v>
      </c>
    </row>
    <row r="89" spans="1:9" ht="15.75" customHeight="1">
      <c r="A89" s="180" t="s">
        <v>239</v>
      </c>
      <c r="B89" s="180"/>
      <c r="C89" s="180"/>
      <c r="D89" s="180"/>
      <c r="E89" s="180"/>
      <c r="F89" s="180"/>
      <c r="G89" s="180"/>
      <c r="H89" s="180"/>
      <c r="I89" s="180"/>
    </row>
    <row r="90" spans="1:9" ht="15.75" customHeight="1">
      <c r="A90" s="56"/>
      <c r="B90" s="181" t="s">
        <v>240</v>
      </c>
      <c r="C90" s="181"/>
      <c r="D90" s="181"/>
      <c r="E90" s="181"/>
      <c r="F90" s="181"/>
      <c r="G90" s="181"/>
      <c r="H90" s="62"/>
      <c r="I90" s="3"/>
    </row>
    <row r="91" spans="1:9">
      <c r="A91" s="55"/>
      <c r="B91" s="178" t="s">
        <v>6</v>
      </c>
      <c r="C91" s="178"/>
      <c r="D91" s="178"/>
      <c r="E91" s="178"/>
      <c r="F91" s="178"/>
      <c r="G91" s="178"/>
      <c r="H91" s="27"/>
      <c r="I91" s="5"/>
    </row>
    <row r="92" spans="1:9" ht="15.75" customHeight="1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74" t="s">
        <v>7</v>
      </c>
      <c r="B93" s="174"/>
      <c r="C93" s="174"/>
      <c r="D93" s="174"/>
      <c r="E93" s="174"/>
      <c r="F93" s="174"/>
      <c r="G93" s="174"/>
      <c r="H93" s="174"/>
      <c r="I93" s="174"/>
    </row>
    <row r="94" spans="1:9" ht="15.75">
      <c r="A94" s="174" t="s">
        <v>8</v>
      </c>
      <c r="B94" s="174"/>
      <c r="C94" s="174"/>
      <c r="D94" s="174"/>
      <c r="E94" s="174"/>
      <c r="F94" s="174"/>
      <c r="G94" s="174"/>
      <c r="H94" s="174"/>
      <c r="I94" s="174"/>
    </row>
    <row r="95" spans="1:9" ht="15.75">
      <c r="A95" s="175" t="s">
        <v>60</v>
      </c>
      <c r="B95" s="175"/>
      <c r="C95" s="175"/>
      <c r="D95" s="175"/>
      <c r="E95" s="175"/>
      <c r="F95" s="175"/>
      <c r="G95" s="175"/>
      <c r="H95" s="175"/>
      <c r="I95" s="175"/>
    </row>
    <row r="96" spans="1:9" ht="15.75">
      <c r="A96" s="11"/>
    </row>
    <row r="97" spans="1:9" ht="15.75">
      <c r="A97" s="176" t="s">
        <v>9</v>
      </c>
      <c r="B97" s="176"/>
      <c r="C97" s="176"/>
      <c r="D97" s="176"/>
      <c r="E97" s="176"/>
      <c r="F97" s="176"/>
      <c r="G97" s="176"/>
      <c r="H97" s="176"/>
      <c r="I97" s="176"/>
    </row>
    <row r="98" spans="1:9" ht="15.75">
      <c r="A98" s="4"/>
    </row>
    <row r="99" spans="1:9" ht="15.75">
      <c r="B99" s="52" t="s">
        <v>10</v>
      </c>
      <c r="C99" s="177" t="s">
        <v>124</v>
      </c>
      <c r="D99" s="177"/>
      <c r="E99" s="177"/>
      <c r="F99" s="60"/>
      <c r="I99" s="54"/>
    </row>
    <row r="100" spans="1:9">
      <c r="A100" s="55"/>
      <c r="C100" s="178" t="s">
        <v>11</v>
      </c>
      <c r="D100" s="178"/>
      <c r="E100" s="178"/>
      <c r="F100" s="27"/>
      <c r="I100" s="53" t="s">
        <v>12</v>
      </c>
    </row>
    <row r="101" spans="1:9" ht="15.75">
      <c r="A101" s="28"/>
      <c r="C101" s="12"/>
      <c r="D101" s="12"/>
      <c r="G101" s="12"/>
      <c r="H101" s="12"/>
    </row>
    <row r="102" spans="1:9" ht="15.75">
      <c r="B102" s="52" t="s">
        <v>13</v>
      </c>
      <c r="C102" s="179"/>
      <c r="D102" s="179"/>
      <c r="E102" s="179"/>
      <c r="F102" s="61"/>
      <c r="I102" s="54"/>
    </row>
    <row r="103" spans="1:9">
      <c r="A103" s="55"/>
      <c r="C103" s="168" t="s">
        <v>11</v>
      </c>
      <c r="D103" s="168"/>
      <c r="E103" s="168"/>
      <c r="F103" s="55"/>
      <c r="I103" s="53" t="s">
        <v>12</v>
      </c>
    </row>
    <row r="104" spans="1:9" ht="15.75">
      <c r="A104" s="4" t="s">
        <v>14</v>
      </c>
    </row>
    <row r="105" spans="1:9">
      <c r="A105" s="169" t="s">
        <v>15</v>
      </c>
      <c r="B105" s="169"/>
      <c r="C105" s="169"/>
      <c r="D105" s="169"/>
      <c r="E105" s="169"/>
      <c r="F105" s="169"/>
      <c r="G105" s="169"/>
      <c r="H105" s="169"/>
      <c r="I105" s="169"/>
    </row>
    <row r="106" spans="1:9" ht="45" customHeight="1">
      <c r="A106" s="173" t="s">
        <v>16</v>
      </c>
      <c r="B106" s="173"/>
      <c r="C106" s="173"/>
      <c r="D106" s="173"/>
      <c r="E106" s="173"/>
      <c r="F106" s="173"/>
      <c r="G106" s="173"/>
      <c r="H106" s="173"/>
      <c r="I106" s="173"/>
    </row>
    <row r="107" spans="1:9" ht="30" customHeight="1">
      <c r="A107" s="173" t="s">
        <v>17</v>
      </c>
      <c r="B107" s="173"/>
      <c r="C107" s="173"/>
      <c r="D107" s="173"/>
      <c r="E107" s="173"/>
      <c r="F107" s="173"/>
      <c r="G107" s="173"/>
      <c r="H107" s="173"/>
      <c r="I107" s="173"/>
    </row>
    <row r="108" spans="1:9" ht="30" customHeight="1">
      <c r="A108" s="173" t="s">
        <v>21</v>
      </c>
      <c r="B108" s="173"/>
      <c r="C108" s="173"/>
      <c r="D108" s="173"/>
      <c r="E108" s="173"/>
      <c r="F108" s="173"/>
      <c r="G108" s="173"/>
      <c r="H108" s="173"/>
      <c r="I108" s="173"/>
    </row>
    <row r="109" spans="1:9" ht="14.25" customHeight="1">
      <c r="A109" s="173" t="s">
        <v>20</v>
      </c>
      <c r="B109" s="173"/>
      <c r="C109" s="173"/>
      <c r="D109" s="173"/>
      <c r="E109" s="173"/>
      <c r="F109" s="173"/>
      <c r="G109" s="173"/>
      <c r="H109" s="173"/>
      <c r="I109" s="173"/>
    </row>
  </sheetData>
  <autoFilter ref="I12:I59"/>
  <mergeCells count="29">
    <mergeCell ref="R64:U64"/>
    <mergeCell ref="A79:I79"/>
    <mergeCell ref="A3:I3"/>
    <mergeCell ref="A4:I4"/>
    <mergeCell ref="A5:I5"/>
    <mergeCell ref="A8:I8"/>
    <mergeCell ref="A10:I10"/>
    <mergeCell ref="A14:I14"/>
    <mergeCell ref="A95:I95"/>
    <mergeCell ref="A15:I15"/>
    <mergeCell ref="A28:I28"/>
    <mergeCell ref="A41:I41"/>
    <mergeCell ref="A52:I52"/>
    <mergeCell ref="A89:I89"/>
    <mergeCell ref="B90:G90"/>
    <mergeCell ref="B91:G91"/>
    <mergeCell ref="A93:I93"/>
    <mergeCell ref="A94:I94"/>
    <mergeCell ref="A83:I83"/>
    <mergeCell ref="A106:I106"/>
    <mergeCell ref="A107:I107"/>
    <mergeCell ref="A108:I108"/>
    <mergeCell ref="A109:I109"/>
    <mergeCell ref="A97:I97"/>
    <mergeCell ref="C99:E99"/>
    <mergeCell ref="C100:E100"/>
    <mergeCell ref="C102:E102"/>
    <mergeCell ref="C103:E103"/>
    <mergeCell ref="A105:I10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8"/>
  <sheetViews>
    <sheetView tabSelected="1" topLeftCell="A60" workbookViewId="0">
      <selection activeCell="A102" sqref="A102:I10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0" t="s">
        <v>165</v>
      </c>
      <c r="I1" s="29"/>
      <c r="J1" s="1"/>
      <c r="K1" s="1"/>
      <c r="L1" s="1"/>
      <c r="M1" s="1"/>
    </row>
    <row r="2" spans="1:13" ht="15.75">
      <c r="A2" s="31" t="s">
        <v>61</v>
      </c>
      <c r="J2" s="2"/>
      <c r="K2" s="2"/>
      <c r="L2" s="2"/>
      <c r="M2" s="2"/>
    </row>
    <row r="3" spans="1:13" ht="15.75" customHeight="1">
      <c r="A3" s="183" t="s">
        <v>153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123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233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51"/>
      <c r="C6" s="51"/>
      <c r="D6" s="51"/>
      <c r="E6" s="51"/>
      <c r="F6" s="51"/>
      <c r="G6" s="51"/>
      <c r="H6" s="51"/>
      <c r="I6" s="33">
        <v>44104</v>
      </c>
      <c r="J6" s="2"/>
      <c r="K6" s="2"/>
      <c r="L6" s="2"/>
      <c r="M6" s="2"/>
    </row>
    <row r="7" spans="1:13" ht="15.75">
      <c r="B7" s="52"/>
      <c r="C7" s="52"/>
      <c r="D7" s="52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186</v>
      </c>
      <c r="B8" s="186"/>
      <c r="C8" s="186"/>
      <c r="D8" s="186"/>
      <c r="E8" s="186"/>
      <c r="F8" s="186"/>
      <c r="G8" s="186"/>
      <c r="H8" s="186"/>
      <c r="I8" s="186"/>
      <c r="J8" s="57"/>
      <c r="K8" s="57"/>
      <c r="L8" s="5"/>
      <c r="M8" s="5"/>
    </row>
    <row r="9" spans="1:13" ht="15.75">
      <c r="A9" s="4"/>
      <c r="L9" s="2"/>
      <c r="M9" s="2"/>
    </row>
    <row r="10" spans="1:13" ht="55.5" customHeight="1">
      <c r="A10" s="187" t="s">
        <v>155</v>
      </c>
      <c r="B10" s="187"/>
      <c r="C10" s="187"/>
      <c r="D10" s="187"/>
      <c r="E10" s="187"/>
      <c r="F10" s="187"/>
      <c r="G10" s="187"/>
      <c r="H10" s="187"/>
      <c r="I10" s="187"/>
      <c r="J10" s="58"/>
      <c r="K10" s="58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>
      <c r="A15" s="182" t="s">
        <v>4</v>
      </c>
      <c r="B15" s="182"/>
      <c r="C15" s="182"/>
      <c r="D15" s="182"/>
      <c r="E15" s="182"/>
      <c r="F15" s="182"/>
      <c r="G15" s="182"/>
      <c r="H15" s="182"/>
      <c r="I15" s="182"/>
      <c r="J15" s="8"/>
      <c r="K15" s="8"/>
      <c r="L15" s="8"/>
      <c r="M15" s="8"/>
    </row>
    <row r="16" spans="1:13" ht="15.75" customHeight="1">
      <c r="A16" s="32">
        <v>1</v>
      </c>
      <c r="B16" s="104" t="s">
        <v>82</v>
      </c>
      <c r="C16" s="105" t="s">
        <v>83</v>
      </c>
      <c r="D16" s="104" t="s">
        <v>169</v>
      </c>
      <c r="E16" s="121">
        <v>37.6</v>
      </c>
      <c r="F16" s="107">
        <f>SUM(E16*156/100)</f>
        <v>58.656000000000006</v>
      </c>
      <c r="G16" s="107">
        <v>261.45</v>
      </c>
      <c r="H16" s="67">
        <f t="shared" ref="H16:H26" si="0">SUM(F16*G16/1000)</f>
        <v>15.335611200000001</v>
      </c>
      <c r="I16" s="13">
        <f>F16/12*G16</f>
        <v>1277.9676000000002</v>
      </c>
      <c r="J16" s="24"/>
      <c r="K16" s="8"/>
      <c r="L16" s="8"/>
      <c r="M16" s="8"/>
    </row>
    <row r="17" spans="1:13" ht="15.75" customHeight="1">
      <c r="A17" s="32">
        <v>2</v>
      </c>
      <c r="B17" s="104" t="s">
        <v>130</v>
      </c>
      <c r="C17" s="105" t="s">
        <v>83</v>
      </c>
      <c r="D17" s="104" t="s">
        <v>170</v>
      </c>
      <c r="E17" s="121">
        <v>75.2</v>
      </c>
      <c r="F17" s="107">
        <f>SUM(E17*104/100)</f>
        <v>78.207999999999998</v>
      </c>
      <c r="G17" s="107">
        <v>261.45</v>
      </c>
      <c r="H17" s="67">
        <f t="shared" si="0"/>
        <v>20.4474816</v>
      </c>
      <c r="I17" s="13">
        <f>F17/12*G17</f>
        <v>1703.9567999999999</v>
      </c>
      <c r="J17" s="25"/>
      <c r="K17" s="8"/>
      <c r="L17" s="8"/>
      <c r="M17" s="8"/>
    </row>
    <row r="18" spans="1:13" ht="15.75" customHeight="1">
      <c r="A18" s="32">
        <v>3</v>
      </c>
      <c r="B18" s="104" t="s">
        <v>131</v>
      </c>
      <c r="C18" s="105" t="s">
        <v>83</v>
      </c>
      <c r="D18" s="104" t="s">
        <v>210</v>
      </c>
      <c r="E18" s="121">
        <f>SUM(E16+E17)</f>
        <v>112.80000000000001</v>
      </c>
      <c r="F18" s="107">
        <f>SUM(E18*18/100)</f>
        <v>20.304000000000002</v>
      </c>
      <c r="G18" s="107">
        <v>752.16</v>
      </c>
      <c r="H18" s="67">
        <f t="shared" si="0"/>
        <v>15.271856640000001</v>
      </c>
      <c r="I18" s="13">
        <f>G18*F18/18*2</f>
        <v>1696.8729600000001</v>
      </c>
      <c r="J18" s="25"/>
      <c r="K18" s="8"/>
      <c r="L18" s="8"/>
      <c r="M18" s="8"/>
    </row>
    <row r="19" spans="1:13" ht="15.75" hidden="1" customHeight="1">
      <c r="A19" s="32">
        <v>4</v>
      </c>
      <c r="B19" s="104" t="s">
        <v>92</v>
      </c>
      <c r="C19" s="105" t="s">
        <v>93</v>
      </c>
      <c r="D19" s="104" t="s">
        <v>222</v>
      </c>
      <c r="E19" s="121">
        <v>15</v>
      </c>
      <c r="F19" s="107">
        <f>SUM(E19/10)</f>
        <v>1.5</v>
      </c>
      <c r="G19" s="107">
        <v>253.7</v>
      </c>
      <c r="H19" s="67">
        <f t="shared" si="0"/>
        <v>0.38054999999999994</v>
      </c>
      <c r="I19" s="13">
        <f>G19*F19</f>
        <v>380.54999999999995</v>
      </c>
      <c r="J19" s="25"/>
      <c r="K19" s="8"/>
      <c r="L19" s="8"/>
      <c r="M19" s="8"/>
    </row>
    <row r="20" spans="1:13" ht="15.75" customHeight="1">
      <c r="A20" s="32">
        <v>4</v>
      </c>
      <c r="B20" s="104" t="s">
        <v>95</v>
      </c>
      <c r="C20" s="105" t="s">
        <v>83</v>
      </c>
      <c r="D20" s="104" t="s">
        <v>172</v>
      </c>
      <c r="E20" s="121">
        <v>8.76</v>
      </c>
      <c r="F20" s="107">
        <f>SUM(E20*12/100)</f>
        <v>1.0512000000000001</v>
      </c>
      <c r="G20" s="107">
        <v>324.83999999999997</v>
      </c>
      <c r="H20" s="67">
        <f t="shared" si="0"/>
        <v>0.34147180799999999</v>
      </c>
      <c r="I20" s="13">
        <f>F20/12*G20</f>
        <v>28.455984000000001</v>
      </c>
      <c r="J20" s="25"/>
      <c r="K20" s="8"/>
      <c r="L20" s="8"/>
      <c r="M20" s="8"/>
    </row>
    <row r="21" spans="1:13" ht="15.75" customHeight="1">
      <c r="A21" s="32">
        <v>5</v>
      </c>
      <c r="B21" s="104" t="s">
        <v>96</v>
      </c>
      <c r="C21" s="105" t="s">
        <v>83</v>
      </c>
      <c r="D21" s="104" t="s">
        <v>173</v>
      </c>
      <c r="E21" s="121">
        <v>1.08</v>
      </c>
      <c r="F21" s="107">
        <f>SUM(E21*12/100)</f>
        <v>0.12960000000000002</v>
      </c>
      <c r="G21" s="107">
        <v>322.20999999999998</v>
      </c>
      <c r="H21" s="67">
        <f t="shared" si="0"/>
        <v>4.1758416000000007E-2</v>
      </c>
      <c r="I21" s="13">
        <f>F21/12*G21</f>
        <v>3.4798680000000006</v>
      </c>
      <c r="J21" s="25"/>
      <c r="K21" s="8"/>
      <c r="L21" s="8"/>
      <c r="M21" s="8"/>
    </row>
    <row r="22" spans="1:13" ht="15.75" hidden="1" customHeight="1">
      <c r="A22" s="32">
        <v>7</v>
      </c>
      <c r="B22" s="104" t="s">
        <v>97</v>
      </c>
      <c r="C22" s="105" t="s">
        <v>52</v>
      </c>
      <c r="D22" s="104" t="s">
        <v>219</v>
      </c>
      <c r="E22" s="121">
        <v>107.1</v>
      </c>
      <c r="F22" s="107">
        <f>SUM(E22/100)</f>
        <v>1.071</v>
      </c>
      <c r="G22" s="107">
        <v>401.44</v>
      </c>
      <c r="H22" s="67">
        <f t="shared" si="0"/>
        <v>0.42994223999999998</v>
      </c>
      <c r="I22" s="13">
        <f>G22*F22</f>
        <v>429.94223999999997</v>
      </c>
      <c r="J22" s="25"/>
      <c r="K22" s="8"/>
      <c r="L22" s="8"/>
      <c r="M22" s="8"/>
    </row>
    <row r="23" spans="1:13" ht="15.75" hidden="1" customHeight="1">
      <c r="A23" s="32">
        <v>8</v>
      </c>
      <c r="B23" s="104" t="s">
        <v>98</v>
      </c>
      <c r="C23" s="105" t="s">
        <v>52</v>
      </c>
      <c r="D23" s="104" t="s">
        <v>220</v>
      </c>
      <c r="E23" s="122">
        <v>14.5</v>
      </c>
      <c r="F23" s="107">
        <f>SUM(E23/100)</f>
        <v>0.14499999999999999</v>
      </c>
      <c r="G23" s="107">
        <v>66.03</v>
      </c>
      <c r="H23" s="67">
        <f t="shared" si="0"/>
        <v>9.5743499999999988E-3</v>
      </c>
      <c r="I23" s="13">
        <f>G23*F23</f>
        <v>9.574349999999999</v>
      </c>
      <c r="J23" s="25"/>
      <c r="K23" s="8"/>
      <c r="L23" s="8"/>
      <c r="M23" s="8"/>
    </row>
    <row r="24" spans="1:13" ht="15.75" hidden="1" customHeight="1">
      <c r="A24" s="32">
        <v>9</v>
      </c>
      <c r="B24" s="104" t="s">
        <v>99</v>
      </c>
      <c r="C24" s="105" t="s">
        <v>52</v>
      </c>
      <c r="D24" s="104" t="s">
        <v>221</v>
      </c>
      <c r="E24" s="121">
        <v>14.5</v>
      </c>
      <c r="F24" s="107">
        <f>E24/100</f>
        <v>0.14499999999999999</v>
      </c>
      <c r="G24" s="107">
        <v>581.02</v>
      </c>
      <c r="H24" s="67">
        <f t="shared" si="0"/>
        <v>8.4247899999999987E-2</v>
      </c>
      <c r="I24" s="13">
        <f>G24*F24</f>
        <v>84.247899999999987</v>
      </c>
      <c r="J24" s="25"/>
      <c r="K24" s="8"/>
      <c r="L24" s="8"/>
      <c r="M24" s="8"/>
    </row>
    <row r="25" spans="1:13" ht="15.75" hidden="1" customHeight="1">
      <c r="A25" s="32">
        <v>10</v>
      </c>
      <c r="B25" s="104" t="s">
        <v>101</v>
      </c>
      <c r="C25" s="105" t="s">
        <v>52</v>
      </c>
      <c r="D25" s="104" t="s">
        <v>173</v>
      </c>
      <c r="E25" s="121">
        <v>5.7</v>
      </c>
      <c r="F25" s="107">
        <f>E25/100</f>
        <v>5.7000000000000002E-2</v>
      </c>
      <c r="G25" s="107">
        <v>322.20999999999998</v>
      </c>
      <c r="H25" s="67">
        <f t="shared" si="0"/>
        <v>1.8365970000000002E-2</v>
      </c>
      <c r="I25" s="13">
        <f>G25*F25</f>
        <v>18.365970000000001</v>
      </c>
      <c r="J25" s="25"/>
      <c r="K25" s="8"/>
      <c r="L25" s="8"/>
      <c r="M25" s="8"/>
    </row>
    <row r="26" spans="1:13" ht="15.75" hidden="1" customHeight="1">
      <c r="A26" s="32">
        <v>11</v>
      </c>
      <c r="B26" s="104" t="s">
        <v>102</v>
      </c>
      <c r="C26" s="105" t="s">
        <v>52</v>
      </c>
      <c r="D26" s="104" t="s">
        <v>219</v>
      </c>
      <c r="E26" s="121">
        <v>2.5499999999999998</v>
      </c>
      <c r="F26" s="107">
        <f>SUM(E26/100)</f>
        <v>2.5499999999999998E-2</v>
      </c>
      <c r="G26" s="107">
        <v>776.46</v>
      </c>
      <c r="H26" s="67">
        <f t="shared" si="0"/>
        <v>1.9799730000000001E-2</v>
      </c>
      <c r="I26" s="13">
        <f>G26*F26</f>
        <v>19.79973</v>
      </c>
      <c r="J26" s="25"/>
      <c r="K26" s="8"/>
      <c r="L26" s="8"/>
      <c r="M26" s="8"/>
    </row>
    <row r="27" spans="1:13" ht="15.75" customHeight="1">
      <c r="A27" s="32">
        <v>6</v>
      </c>
      <c r="B27" s="104" t="s">
        <v>168</v>
      </c>
      <c r="C27" s="105" t="s">
        <v>163</v>
      </c>
      <c r="D27" s="104" t="s">
        <v>174</v>
      </c>
      <c r="E27" s="106">
        <v>1.6</v>
      </c>
      <c r="F27" s="107">
        <f>E27*258</f>
        <v>412.8</v>
      </c>
      <c r="G27" s="107">
        <v>10.81</v>
      </c>
      <c r="H27" s="67">
        <f>SUM(F27*G27/1000)</f>
        <v>4.4623680000000006</v>
      </c>
      <c r="I27" s="13">
        <f>F27/12*G27</f>
        <v>371.86399999999998</v>
      </c>
      <c r="J27" s="26"/>
    </row>
    <row r="28" spans="1:13" ht="15.75" customHeight="1">
      <c r="A28" s="165" t="s">
        <v>81</v>
      </c>
      <c r="B28" s="166"/>
      <c r="C28" s="166"/>
      <c r="D28" s="166"/>
      <c r="E28" s="166"/>
      <c r="F28" s="166"/>
      <c r="G28" s="166"/>
      <c r="H28" s="166"/>
      <c r="I28" s="167"/>
      <c r="J28" s="25"/>
      <c r="K28" s="8"/>
      <c r="L28" s="8"/>
      <c r="M28" s="8"/>
    </row>
    <row r="29" spans="1:13" ht="15.75" customHeight="1">
      <c r="A29" s="32"/>
      <c r="B29" s="84" t="s">
        <v>27</v>
      </c>
      <c r="C29" s="64"/>
      <c r="D29" s="63"/>
      <c r="E29" s="65"/>
      <c r="F29" s="66"/>
      <c r="G29" s="66"/>
      <c r="H29" s="67"/>
      <c r="I29" s="13"/>
      <c r="J29" s="25"/>
      <c r="K29" s="8"/>
      <c r="L29" s="8"/>
      <c r="M29" s="8"/>
    </row>
    <row r="30" spans="1:13" ht="15.75" customHeight="1">
      <c r="A30" s="32">
        <v>7</v>
      </c>
      <c r="B30" s="104" t="s">
        <v>107</v>
      </c>
      <c r="C30" s="105" t="s">
        <v>86</v>
      </c>
      <c r="D30" s="104" t="s">
        <v>214</v>
      </c>
      <c r="E30" s="107">
        <v>150</v>
      </c>
      <c r="F30" s="107">
        <f>SUM(E30*24/1000)</f>
        <v>3.6</v>
      </c>
      <c r="G30" s="107">
        <v>232.4</v>
      </c>
      <c r="H30" s="67">
        <f t="shared" ref="H30:H33" si="1">SUM(F30*G30/1000)</f>
        <v>0.83663999999999994</v>
      </c>
      <c r="I30" s="13">
        <f t="shared" ref="I30:I31" si="2">F30/6*G30</f>
        <v>139.44</v>
      </c>
      <c r="J30" s="25"/>
      <c r="K30" s="8"/>
      <c r="L30" s="8"/>
      <c r="M30" s="8"/>
    </row>
    <row r="31" spans="1:13" ht="31.5" customHeight="1">
      <c r="A31" s="32">
        <v>8</v>
      </c>
      <c r="B31" s="104" t="s">
        <v>211</v>
      </c>
      <c r="C31" s="105" t="s">
        <v>86</v>
      </c>
      <c r="D31" s="104" t="s">
        <v>215</v>
      </c>
      <c r="E31" s="107">
        <v>38.5</v>
      </c>
      <c r="F31" s="107">
        <f>SUM(E31*72/1000)</f>
        <v>2.7719999999999998</v>
      </c>
      <c r="G31" s="107">
        <v>385.6</v>
      </c>
      <c r="H31" s="67">
        <f t="shared" si="1"/>
        <v>1.0688831999999999</v>
      </c>
      <c r="I31" s="13">
        <f t="shared" si="2"/>
        <v>178.1472</v>
      </c>
      <c r="J31" s="25"/>
      <c r="K31" s="8"/>
      <c r="L31" s="8"/>
      <c r="M31" s="8"/>
    </row>
    <row r="32" spans="1:13" ht="15.75" hidden="1" customHeight="1">
      <c r="A32" s="32">
        <v>10</v>
      </c>
      <c r="B32" s="104" t="s">
        <v>26</v>
      </c>
      <c r="C32" s="105" t="s">
        <v>86</v>
      </c>
      <c r="D32" s="104" t="s">
        <v>173</v>
      </c>
      <c r="E32" s="107">
        <v>150</v>
      </c>
      <c r="F32" s="107">
        <f>SUM(E32/1000)</f>
        <v>0.15</v>
      </c>
      <c r="G32" s="107">
        <v>4502.97</v>
      </c>
      <c r="H32" s="67">
        <f t="shared" si="1"/>
        <v>0.67544550000000003</v>
      </c>
      <c r="I32" s="13">
        <f>F32*G32</f>
        <v>675.44550000000004</v>
      </c>
      <c r="J32" s="25"/>
      <c r="K32" s="8"/>
      <c r="L32" s="8"/>
      <c r="M32" s="8"/>
    </row>
    <row r="33" spans="1:14" ht="15.75" customHeight="1">
      <c r="A33" s="32">
        <v>9</v>
      </c>
      <c r="B33" s="141" t="s">
        <v>212</v>
      </c>
      <c r="C33" s="99" t="s">
        <v>213</v>
      </c>
      <c r="D33" s="104" t="s">
        <v>176</v>
      </c>
      <c r="E33" s="107">
        <v>2</v>
      </c>
      <c r="F33" s="107">
        <f>E33*155/100</f>
        <v>3.1</v>
      </c>
      <c r="G33" s="107">
        <v>1941.17</v>
      </c>
      <c r="H33" s="67">
        <f t="shared" si="1"/>
        <v>6.0176270000000001</v>
      </c>
      <c r="I33" s="13">
        <f>G33*F33/6</f>
        <v>1002.9378333333334</v>
      </c>
      <c r="J33" s="25"/>
      <c r="K33" s="8"/>
      <c r="L33" s="8"/>
      <c r="M33" s="8"/>
    </row>
    <row r="34" spans="1:14" ht="15.75" hidden="1" customHeight="1">
      <c r="A34" s="32"/>
      <c r="B34" s="63" t="s">
        <v>63</v>
      </c>
      <c r="C34" s="64" t="s">
        <v>31</v>
      </c>
      <c r="D34" s="63" t="s">
        <v>65</v>
      </c>
      <c r="E34" s="65"/>
      <c r="F34" s="66">
        <v>1</v>
      </c>
      <c r="G34" s="66">
        <v>180.15</v>
      </c>
      <c r="H34" s="67">
        <f t="shared" ref="H34:H35" si="3">SUM(F34*G34/1000)</f>
        <v>0.18015</v>
      </c>
      <c r="I34" s="13">
        <v>0</v>
      </c>
      <c r="J34" s="26"/>
    </row>
    <row r="35" spans="1:14" ht="15.75" hidden="1" customHeight="1">
      <c r="A35" s="32"/>
      <c r="B35" s="63" t="s">
        <v>64</v>
      </c>
      <c r="C35" s="64" t="s">
        <v>30</v>
      </c>
      <c r="D35" s="63" t="s">
        <v>65</v>
      </c>
      <c r="E35" s="65"/>
      <c r="F35" s="66">
        <v>1</v>
      </c>
      <c r="G35" s="66">
        <v>1214.74</v>
      </c>
      <c r="H35" s="67">
        <f t="shared" si="3"/>
        <v>1.2147399999999999</v>
      </c>
      <c r="I35" s="13">
        <v>0</v>
      </c>
      <c r="J35" s="26"/>
    </row>
    <row r="36" spans="1:14" ht="15.75" hidden="1" customHeight="1">
      <c r="A36" s="32"/>
      <c r="B36" s="84" t="s">
        <v>5</v>
      </c>
      <c r="C36" s="64"/>
      <c r="D36" s="63"/>
      <c r="E36" s="65"/>
      <c r="F36" s="66"/>
      <c r="G36" s="66"/>
      <c r="H36" s="67" t="s">
        <v>132</v>
      </c>
      <c r="I36" s="13"/>
      <c r="J36" s="26"/>
    </row>
    <row r="37" spans="1:14" ht="15.75" hidden="1" customHeight="1">
      <c r="A37" s="32">
        <v>8</v>
      </c>
      <c r="B37" s="63" t="s">
        <v>25</v>
      </c>
      <c r="C37" s="64" t="s">
        <v>30</v>
      </c>
      <c r="D37" s="63"/>
      <c r="E37" s="65"/>
      <c r="F37" s="66">
        <v>3</v>
      </c>
      <c r="G37" s="66">
        <v>1632.6</v>
      </c>
      <c r="H37" s="67">
        <f t="shared" ref="H37:H42" si="4">SUM(F37*G37/1000)</f>
        <v>4.8977999999999993</v>
      </c>
      <c r="I37" s="13">
        <f t="shared" ref="I37:I42" si="5">F37/6*G37</f>
        <v>816.3</v>
      </c>
      <c r="J37" s="26"/>
    </row>
    <row r="38" spans="1:14" ht="15.75" hidden="1" customHeight="1">
      <c r="A38" s="32">
        <v>9</v>
      </c>
      <c r="B38" s="63" t="s">
        <v>108</v>
      </c>
      <c r="C38" s="64" t="s">
        <v>28</v>
      </c>
      <c r="D38" s="63" t="s">
        <v>84</v>
      </c>
      <c r="E38" s="65">
        <v>48.03</v>
      </c>
      <c r="F38" s="66">
        <v>1.44</v>
      </c>
      <c r="G38" s="66">
        <v>1979.95</v>
      </c>
      <c r="H38" s="67">
        <f>G38*F38/1000</f>
        <v>2.8511280000000001</v>
      </c>
      <c r="I38" s="13">
        <f t="shared" si="5"/>
        <v>475.18799999999999</v>
      </c>
      <c r="J38" s="26"/>
      <c r="L38" s="19"/>
      <c r="M38" s="20"/>
      <c r="N38" s="21"/>
    </row>
    <row r="39" spans="1:14" ht="15.75" hidden="1" customHeight="1">
      <c r="A39" s="32">
        <v>10</v>
      </c>
      <c r="B39" s="63" t="s">
        <v>66</v>
      </c>
      <c r="C39" s="64" t="s">
        <v>28</v>
      </c>
      <c r="D39" s="63" t="s">
        <v>85</v>
      </c>
      <c r="E39" s="66">
        <v>48.03</v>
      </c>
      <c r="F39" s="66">
        <f>SUM(E39*155/1000)</f>
        <v>7.4446500000000002</v>
      </c>
      <c r="G39" s="66">
        <v>330.27</v>
      </c>
      <c r="H39" s="67">
        <f t="shared" si="4"/>
        <v>2.4587445555</v>
      </c>
      <c r="I39" s="13">
        <f t="shared" si="5"/>
        <v>409.79075924999995</v>
      </c>
      <c r="J39" s="26"/>
      <c r="L39" s="19"/>
      <c r="M39" s="20"/>
      <c r="N39" s="21"/>
    </row>
    <row r="40" spans="1:14" ht="47.25" hidden="1" customHeight="1">
      <c r="A40" s="32">
        <v>11</v>
      </c>
      <c r="B40" s="63" t="s">
        <v>79</v>
      </c>
      <c r="C40" s="64" t="s">
        <v>86</v>
      </c>
      <c r="D40" s="63" t="s">
        <v>109</v>
      </c>
      <c r="E40" s="66">
        <v>48.03</v>
      </c>
      <c r="F40" s="66">
        <f>SUM(E40*35/1000)</f>
        <v>1.6810499999999999</v>
      </c>
      <c r="G40" s="66">
        <v>5464.48</v>
      </c>
      <c r="H40" s="67">
        <f t="shared" si="4"/>
        <v>9.1860641039999997</v>
      </c>
      <c r="I40" s="13">
        <f t="shared" si="5"/>
        <v>1531.0106839999999</v>
      </c>
      <c r="J40" s="26"/>
      <c r="L40" s="19"/>
      <c r="M40" s="20"/>
      <c r="N40" s="21"/>
    </row>
    <row r="41" spans="1:14" ht="15.75" hidden="1" customHeight="1">
      <c r="A41" s="32">
        <v>12</v>
      </c>
      <c r="B41" s="63" t="s">
        <v>87</v>
      </c>
      <c r="C41" s="64" t="s">
        <v>86</v>
      </c>
      <c r="D41" s="63" t="s">
        <v>67</v>
      </c>
      <c r="E41" s="66">
        <v>48.03</v>
      </c>
      <c r="F41" s="66">
        <f>SUM(E41*45/1000)</f>
        <v>2.1613500000000001</v>
      </c>
      <c r="G41" s="66">
        <v>403.67</v>
      </c>
      <c r="H41" s="67">
        <f t="shared" si="4"/>
        <v>0.87247215450000015</v>
      </c>
      <c r="I41" s="13">
        <f t="shared" si="5"/>
        <v>145.41202575000003</v>
      </c>
      <c r="J41" s="26"/>
      <c r="L41" s="19"/>
      <c r="M41" s="20"/>
      <c r="N41" s="21"/>
    </row>
    <row r="42" spans="1:14" ht="15.75" hidden="1" customHeight="1">
      <c r="A42" s="32">
        <v>13</v>
      </c>
      <c r="B42" s="63" t="s">
        <v>68</v>
      </c>
      <c r="C42" s="64" t="s">
        <v>31</v>
      </c>
      <c r="D42" s="63"/>
      <c r="E42" s="65"/>
      <c r="F42" s="66">
        <v>0.53</v>
      </c>
      <c r="G42" s="66">
        <v>750.34</v>
      </c>
      <c r="H42" s="67">
        <f t="shared" si="4"/>
        <v>0.39768020000000004</v>
      </c>
      <c r="I42" s="13">
        <f t="shared" si="5"/>
        <v>66.280033333333336</v>
      </c>
      <c r="J42" s="26"/>
      <c r="L42" s="19"/>
      <c r="M42" s="20"/>
      <c r="N42" s="21"/>
    </row>
    <row r="43" spans="1:14" ht="15.75" customHeight="1">
      <c r="A43" s="165" t="s">
        <v>125</v>
      </c>
      <c r="B43" s="166"/>
      <c r="C43" s="166"/>
      <c r="D43" s="166"/>
      <c r="E43" s="166"/>
      <c r="F43" s="166"/>
      <c r="G43" s="166"/>
      <c r="H43" s="166"/>
      <c r="I43" s="167"/>
      <c r="J43" s="26"/>
      <c r="L43" s="19"/>
      <c r="M43" s="20"/>
      <c r="N43" s="21"/>
    </row>
    <row r="44" spans="1:14" ht="15.75" customHeight="1">
      <c r="A44" s="32">
        <v>10</v>
      </c>
      <c r="B44" s="104" t="s">
        <v>110</v>
      </c>
      <c r="C44" s="105" t="s">
        <v>86</v>
      </c>
      <c r="D44" s="104" t="s">
        <v>172</v>
      </c>
      <c r="E44" s="121">
        <v>636.25</v>
      </c>
      <c r="F44" s="107">
        <f>SUM(E44*2/1000)</f>
        <v>1.2725</v>
      </c>
      <c r="G44" s="36">
        <v>1207.24</v>
      </c>
      <c r="H44" s="67">
        <f t="shared" ref="H44:H53" si="6">SUM(F44*G44/1000)</f>
        <v>1.5362129</v>
      </c>
      <c r="I44" s="13">
        <f t="shared" ref="I44:I47" si="7">F44/2*G44</f>
        <v>768.10645</v>
      </c>
      <c r="J44" s="26"/>
      <c r="L44" s="19"/>
      <c r="M44" s="20"/>
      <c r="N44" s="21"/>
    </row>
    <row r="45" spans="1:14" ht="15.75" customHeight="1">
      <c r="A45" s="32">
        <v>11</v>
      </c>
      <c r="B45" s="104" t="s">
        <v>34</v>
      </c>
      <c r="C45" s="105" t="s">
        <v>86</v>
      </c>
      <c r="D45" s="104" t="s">
        <v>172</v>
      </c>
      <c r="E45" s="121">
        <v>26</v>
      </c>
      <c r="F45" s="107">
        <f>SUM(E45*2/1000)</f>
        <v>5.1999999999999998E-2</v>
      </c>
      <c r="G45" s="36">
        <v>863.92</v>
      </c>
      <c r="H45" s="67">
        <f t="shared" si="6"/>
        <v>4.492384E-2</v>
      </c>
      <c r="I45" s="13">
        <f t="shared" si="7"/>
        <v>22.461919999999999</v>
      </c>
      <c r="J45" s="26"/>
      <c r="L45" s="19"/>
      <c r="M45" s="20"/>
      <c r="N45" s="21"/>
    </row>
    <row r="46" spans="1:14" ht="15.75" customHeight="1">
      <c r="A46" s="32">
        <v>12</v>
      </c>
      <c r="B46" s="104" t="s">
        <v>35</v>
      </c>
      <c r="C46" s="105" t="s">
        <v>86</v>
      </c>
      <c r="D46" s="104" t="s">
        <v>172</v>
      </c>
      <c r="E46" s="121">
        <v>579</v>
      </c>
      <c r="F46" s="107">
        <f>SUM(E46*2/1000)</f>
        <v>1.1579999999999999</v>
      </c>
      <c r="G46" s="36">
        <v>863.92</v>
      </c>
      <c r="H46" s="67">
        <f t="shared" si="6"/>
        <v>1.00041936</v>
      </c>
      <c r="I46" s="13">
        <f t="shared" si="7"/>
        <v>500.20967999999993</v>
      </c>
      <c r="J46" s="26"/>
      <c r="L46" s="19"/>
      <c r="M46" s="20"/>
      <c r="N46" s="21"/>
    </row>
    <row r="47" spans="1:14" ht="15.75" customHeight="1">
      <c r="A47" s="32">
        <v>13</v>
      </c>
      <c r="B47" s="104" t="s">
        <v>36</v>
      </c>
      <c r="C47" s="105" t="s">
        <v>86</v>
      </c>
      <c r="D47" s="104" t="s">
        <v>172</v>
      </c>
      <c r="E47" s="121">
        <v>683.33</v>
      </c>
      <c r="F47" s="107">
        <f>SUM(E47*2/1000)</f>
        <v>1.36666</v>
      </c>
      <c r="G47" s="36">
        <v>904.65</v>
      </c>
      <c r="H47" s="67">
        <f t="shared" si="6"/>
        <v>1.2363489689999998</v>
      </c>
      <c r="I47" s="13">
        <f t="shared" si="7"/>
        <v>618.17448449999995</v>
      </c>
      <c r="J47" s="26"/>
      <c r="L47" s="19"/>
      <c r="M47" s="20"/>
      <c r="N47" s="21"/>
    </row>
    <row r="48" spans="1:14" ht="15.75" customHeight="1">
      <c r="A48" s="32">
        <v>14</v>
      </c>
      <c r="B48" s="104" t="s">
        <v>32</v>
      </c>
      <c r="C48" s="105" t="s">
        <v>33</v>
      </c>
      <c r="D48" s="104" t="s">
        <v>172</v>
      </c>
      <c r="E48" s="121">
        <v>44.11</v>
      </c>
      <c r="F48" s="107">
        <f>SUM(E48*2/100)</f>
        <v>0.88219999999999998</v>
      </c>
      <c r="G48" s="36">
        <v>108.55</v>
      </c>
      <c r="H48" s="67">
        <f t="shared" si="6"/>
        <v>9.5762810000000004E-2</v>
      </c>
      <c r="I48" s="13">
        <f>F48/2*G48</f>
        <v>47.881405000000001</v>
      </c>
      <c r="J48" s="26"/>
      <c r="L48" s="19"/>
      <c r="M48" s="20"/>
      <c r="N48" s="21"/>
    </row>
    <row r="49" spans="1:22" ht="15.75" customHeight="1">
      <c r="A49" s="32">
        <v>15</v>
      </c>
      <c r="B49" s="104" t="s">
        <v>55</v>
      </c>
      <c r="C49" s="105" t="s">
        <v>86</v>
      </c>
      <c r="D49" s="104" t="s">
        <v>172</v>
      </c>
      <c r="E49" s="121">
        <v>500.2</v>
      </c>
      <c r="F49" s="107">
        <f>SUM(E49*5/1000)</f>
        <v>2.5009999999999999</v>
      </c>
      <c r="G49" s="36">
        <v>1809.27</v>
      </c>
      <c r="H49" s="67">
        <f t="shared" si="6"/>
        <v>4.52498427</v>
      </c>
      <c r="I49" s="13">
        <f>F49/5*G49</f>
        <v>904.99685399999998</v>
      </c>
      <c r="J49" s="26"/>
      <c r="L49" s="19"/>
      <c r="M49" s="20"/>
      <c r="N49" s="21"/>
    </row>
    <row r="50" spans="1:22" ht="31.5" customHeight="1">
      <c r="A50" s="32">
        <v>16</v>
      </c>
      <c r="B50" s="104" t="s">
        <v>88</v>
      </c>
      <c r="C50" s="105" t="s">
        <v>86</v>
      </c>
      <c r="D50" s="104" t="s">
        <v>172</v>
      </c>
      <c r="E50" s="121">
        <v>500.2</v>
      </c>
      <c r="F50" s="107">
        <f>SUM(E50*2/1000)</f>
        <v>1.0004</v>
      </c>
      <c r="G50" s="36">
        <v>1809.27</v>
      </c>
      <c r="H50" s="67">
        <f t="shared" si="6"/>
        <v>1.8099937079999999</v>
      </c>
      <c r="I50" s="13">
        <f>G50*F50/2</f>
        <v>904.99685399999998</v>
      </c>
      <c r="J50" s="26"/>
      <c r="L50" s="19"/>
      <c r="M50" s="20"/>
      <c r="N50" s="21"/>
    </row>
    <row r="51" spans="1:22" ht="31.5" customHeight="1">
      <c r="A51" s="32">
        <v>17</v>
      </c>
      <c r="B51" s="104" t="s">
        <v>89</v>
      </c>
      <c r="C51" s="105" t="s">
        <v>37</v>
      </c>
      <c r="D51" s="104" t="s">
        <v>172</v>
      </c>
      <c r="E51" s="121">
        <v>9</v>
      </c>
      <c r="F51" s="107">
        <f>SUM(E51*2/100)</f>
        <v>0.18</v>
      </c>
      <c r="G51" s="36">
        <v>4070.89</v>
      </c>
      <c r="H51" s="67">
        <f t="shared" si="6"/>
        <v>0.73276019999999997</v>
      </c>
      <c r="I51" s="13">
        <f>G51*F51/2</f>
        <v>366.38009999999997</v>
      </c>
      <c r="J51" s="26"/>
      <c r="L51" s="19"/>
      <c r="M51" s="20"/>
      <c r="N51" s="21"/>
    </row>
    <row r="52" spans="1:22" ht="15.75" customHeight="1">
      <c r="A52" s="32">
        <v>18</v>
      </c>
      <c r="B52" s="104" t="s">
        <v>38</v>
      </c>
      <c r="C52" s="105" t="s">
        <v>39</v>
      </c>
      <c r="D52" s="104" t="s">
        <v>172</v>
      </c>
      <c r="E52" s="121">
        <v>1</v>
      </c>
      <c r="F52" s="107">
        <v>0.02</v>
      </c>
      <c r="G52" s="36">
        <v>8426.7199999999993</v>
      </c>
      <c r="H52" s="67">
        <f t="shared" si="6"/>
        <v>0.16853439999999997</v>
      </c>
      <c r="I52" s="13">
        <f>G52*F52/2</f>
        <v>84.267199999999988</v>
      </c>
      <c r="J52" s="26"/>
      <c r="L52" s="19"/>
      <c r="M52" s="20"/>
      <c r="N52" s="21"/>
    </row>
    <row r="53" spans="1:22" ht="15.75" hidden="1" customHeight="1">
      <c r="A53" s="32">
        <v>17</v>
      </c>
      <c r="B53" s="63" t="s">
        <v>40</v>
      </c>
      <c r="C53" s="64" t="s">
        <v>111</v>
      </c>
      <c r="D53" s="63" t="s">
        <v>69</v>
      </c>
      <c r="E53" s="65">
        <v>36</v>
      </c>
      <c r="F53" s="66">
        <f>SUM(E53)*3</f>
        <v>108</v>
      </c>
      <c r="G53" s="13">
        <v>61.84</v>
      </c>
      <c r="H53" s="67">
        <f t="shared" si="6"/>
        <v>6.6787200000000002</v>
      </c>
      <c r="I53" s="13">
        <f>E53*G53</f>
        <v>2226.2400000000002</v>
      </c>
      <c r="J53" s="26"/>
      <c r="L53" s="19"/>
      <c r="M53" s="20"/>
      <c r="N53" s="21"/>
    </row>
    <row r="54" spans="1:22" ht="15.75" customHeight="1">
      <c r="A54" s="165" t="s">
        <v>127</v>
      </c>
      <c r="B54" s="166"/>
      <c r="C54" s="166"/>
      <c r="D54" s="166"/>
      <c r="E54" s="166"/>
      <c r="F54" s="166"/>
      <c r="G54" s="166"/>
      <c r="H54" s="166"/>
      <c r="I54" s="167"/>
      <c r="J54" s="26"/>
      <c r="L54" s="19"/>
      <c r="M54" s="20"/>
      <c r="N54" s="21"/>
    </row>
    <row r="55" spans="1:22" ht="15.75" hidden="1" customHeight="1">
      <c r="A55" s="32"/>
      <c r="B55" s="84" t="s">
        <v>42</v>
      </c>
      <c r="C55" s="64"/>
      <c r="D55" s="63"/>
      <c r="E55" s="65"/>
      <c r="F55" s="66"/>
      <c r="G55" s="66"/>
      <c r="H55" s="67"/>
      <c r="I55" s="13"/>
      <c r="J55" s="26"/>
      <c r="L55" s="19"/>
      <c r="M55" s="20"/>
      <c r="N55" s="21"/>
    </row>
    <row r="56" spans="1:22" ht="31.5" hidden="1" customHeight="1">
      <c r="A56" s="32">
        <v>16</v>
      </c>
      <c r="B56" s="63" t="s">
        <v>112</v>
      </c>
      <c r="C56" s="64" t="s">
        <v>83</v>
      </c>
      <c r="D56" s="63" t="s">
        <v>113</v>
      </c>
      <c r="E56" s="65">
        <v>72.33</v>
      </c>
      <c r="F56" s="66">
        <f>SUM(E56*6/100)</f>
        <v>4.3398000000000003</v>
      </c>
      <c r="G56" s="13">
        <v>1456.95</v>
      </c>
      <c r="H56" s="67">
        <f>SUM(F56*G56/1000)</f>
        <v>6.3228716100000009</v>
      </c>
      <c r="I56" s="13">
        <f>F56/6*G56</f>
        <v>1053.8119350000002</v>
      </c>
      <c r="J56" s="26"/>
      <c r="L56" s="19"/>
      <c r="M56" s="20"/>
      <c r="N56" s="21"/>
    </row>
    <row r="57" spans="1:22" ht="15.75" customHeight="1">
      <c r="A57" s="32"/>
      <c r="B57" s="84" t="s">
        <v>43</v>
      </c>
      <c r="C57" s="64"/>
      <c r="D57" s="63"/>
      <c r="E57" s="65"/>
      <c r="F57" s="67"/>
      <c r="G57" s="13"/>
      <c r="H57" s="72"/>
      <c r="I57" s="13"/>
      <c r="J57" s="26"/>
      <c r="L57" s="19"/>
      <c r="M57" s="20"/>
      <c r="N57" s="21"/>
    </row>
    <row r="58" spans="1:22" ht="15.75" hidden="1" customHeight="1">
      <c r="A58" s="32"/>
      <c r="B58" s="63" t="s">
        <v>114</v>
      </c>
      <c r="C58" s="64"/>
      <c r="D58" s="63" t="s">
        <v>53</v>
      </c>
      <c r="E58" s="65">
        <v>952</v>
      </c>
      <c r="F58" s="67">
        <v>9.52</v>
      </c>
      <c r="G58" s="13">
        <v>848.37</v>
      </c>
      <c r="H58" s="72">
        <f>F58*G58/1000</f>
        <v>8.0764823999999997</v>
      </c>
      <c r="I58" s="13">
        <v>0</v>
      </c>
      <c r="J58" s="26"/>
      <c r="L58" s="19"/>
    </row>
    <row r="59" spans="1:22" ht="15" customHeight="1">
      <c r="A59" s="32">
        <v>19</v>
      </c>
      <c r="B59" s="109" t="s">
        <v>162</v>
      </c>
      <c r="C59" s="110" t="s">
        <v>163</v>
      </c>
      <c r="D59" s="109" t="s">
        <v>172</v>
      </c>
      <c r="E59" s="126">
        <v>100</v>
      </c>
      <c r="F59" s="36">
        <f>E59*12</f>
        <v>1200</v>
      </c>
      <c r="G59" s="36">
        <v>1.4</v>
      </c>
      <c r="H59" s="119"/>
      <c r="I59" s="13">
        <f>G59*F59/12</f>
        <v>140</v>
      </c>
      <c r="J59" s="26"/>
      <c r="L59" s="19"/>
    </row>
    <row r="60" spans="1:22" ht="15.75" customHeight="1">
      <c r="A60" s="32"/>
      <c r="B60" s="85" t="s">
        <v>44</v>
      </c>
      <c r="C60" s="73"/>
      <c r="D60" s="74"/>
      <c r="E60" s="75"/>
      <c r="F60" s="76"/>
      <c r="G60" s="76"/>
      <c r="H60" s="77" t="s">
        <v>132</v>
      </c>
      <c r="I60" s="13"/>
    </row>
    <row r="61" spans="1:22" ht="15.75" hidden="1" customHeight="1">
      <c r="A61" s="32">
        <v>17</v>
      </c>
      <c r="B61" s="156" t="s">
        <v>45</v>
      </c>
      <c r="C61" s="103" t="s">
        <v>111</v>
      </c>
      <c r="D61" s="102" t="s">
        <v>234</v>
      </c>
      <c r="E61" s="17">
        <v>5</v>
      </c>
      <c r="F61" s="107">
        <v>5</v>
      </c>
      <c r="G61" s="36">
        <v>331.57</v>
      </c>
      <c r="H61" s="78">
        <f t="shared" ref="H61:H79" si="8">SUM(F61*G61/1000)</f>
        <v>1.6578499999999998</v>
      </c>
      <c r="I61" s="13">
        <f>G61</f>
        <v>331.57</v>
      </c>
    </row>
    <row r="62" spans="1:22" ht="15.75" hidden="1" customHeight="1">
      <c r="A62" s="32"/>
      <c r="B62" s="156" t="s">
        <v>46</v>
      </c>
      <c r="C62" s="103" t="s">
        <v>111</v>
      </c>
      <c r="D62" s="102" t="s">
        <v>234</v>
      </c>
      <c r="E62" s="17">
        <v>3</v>
      </c>
      <c r="F62" s="107">
        <f>E62*1</f>
        <v>3</v>
      </c>
      <c r="G62" s="36">
        <v>113.69</v>
      </c>
      <c r="H62" s="78">
        <f t="shared" si="8"/>
        <v>0.34106999999999998</v>
      </c>
      <c r="I62" s="13">
        <v>0</v>
      </c>
    </row>
    <row r="63" spans="1:22" ht="15.75" hidden="1" customHeight="1">
      <c r="A63" s="32"/>
      <c r="B63" s="156" t="s">
        <v>47</v>
      </c>
      <c r="C63" s="157" t="s">
        <v>115</v>
      </c>
      <c r="D63" s="102" t="s">
        <v>53</v>
      </c>
      <c r="E63" s="121">
        <v>4292</v>
      </c>
      <c r="F63" s="142">
        <f>SUM(E63/100)</f>
        <v>42.92</v>
      </c>
      <c r="G63" s="36">
        <v>316.3</v>
      </c>
      <c r="H63" s="78">
        <f t="shared" si="8"/>
        <v>13.575596000000001</v>
      </c>
      <c r="I63" s="13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2"/>
      <c r="B64" s="156" t="s">
        <v>48</v>
      </c>
      <c r="C64" s="103" t="s">
        <v>116</v>
      </c>
      <c r="D64" s="102"/>
      <c r="E64" s="121">
        <v>4292</v>
      </c>
      <c r="F64" s="36">
        <f>SUM(E64/1000)</f>
        <v>4.2919999999999998</v>
      </c>
      <c r="G64" s="36">
        <v>246.31</v>
      </c>
      <c r="H64" s="78">
        <f t="shared" si="8"/>
        <v>1.0571625199999999</v>
      </c>
      <c r="I64" s="13">
        <v>0</v>
      </c>
      <c r="J64" s="28"/>
      <c r="K64" s="28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2"/>
      <c r="B65" s="156" t="s">
        <v>49</v>
      </c>
      <c r="C65" s="103" t="s">
        <v>75</v>
      </c>
      <c r="D65" s="102" t="s">
        <v>53</v>
      </c>
      <c r="E65" s="121">
        <v>510</v>
      </c>
      <c r="F65" s="36">
        <f>SUM(E65/100)</f>
        <v>5.0999999999999996</v>
      </c>
      <c r="G65" s="36">
        <v>3093.06</v>
      </c>
      <c r="H65" s="78">
        <f t="shared" si="8"/>
        <v>15.774605999999999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2"/>
      <c r="B66" s="149" t="s">
        <v>117</v>
      </c>
      <c r="C66" s="103" t="s">
        <v>31</v>
      </c>
      <c r="D66" s="102"/>
      <c r="E66" s="121">
        <v>4.9000000000000004</v>
      </c>
      <c r="F66" s="36">
        <f>SUM(E66)</f>
        <v>4.9000000000000004</v>
      </c>
      <c r="G66" s="36">
        <v>49.36</v>
      </c>
      <c r="H66" s="78">
        <f t="shared" si="8"/>
        <v>0.241864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168"/>
      <c r="S66" s="168"/>
      <c r="T66" s="168"/>
      <c r="U66" s="168"/>
    </row>
    <row r="67" spans="1:21" ht="15.75" hidden="1" customHeight="1">
      <c r="A67" s="32"/>
      <c r="B67" s="149" t="s">
        <v>118</v>
      </c>
      <c r="C67" s="103" t="s">
        <v>31</v>
      </c>
      <c r="D67" s="102"/>
      <c r="E67" s="121">
        <v>4.9000000000000004</v>
      </c>
      <c r="F67" s="36">
        <f>SUM(E67)</f>
        <v>4.9000000000000004</v>
      </c>
      <c r="G67" s="36">
        <v>56.66</v>
      </c>
      <c r="H67" s="78">
        <f t="shared" si="8"/>
        <v>0.27763399999999999</v>
      </c>
      <c r="I67" s="13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2">
        <v>20</v>
      </c>
      <c r="B68" s="102" t="s">
        <v>56</v>
      </c>
      <c r="C68" s="103" t="s">
        <v>57</v>
      </c>
      <c r="D68" s="102" t="s">
        <v>53</v>
      </c>
      <c r="E68" s="17">
        <v>2</v>
      </c>
      <c r="F68" s="107">
        <f>E68*1</f>
        <v>2</v>
      </c>
      <c r="G68" s="100">
        <v>74.37</v>
      </c>
      <c r="H68" s="78">
        <f t="shared" si="8"/>
        <v>0.14874000000000001</v>
      </c>
      <c r="I68" s="13">
        <f>G68*F68</f>
        <v>148.74</v>
      </c>
    </row>
    <row r="69" spans="1:21" ht="15.75" customHeight="1">
      <c r="A69" s="32"/>
      <c r="B69" s="153" t="s">
        <v>194</v>
      </c>
      <c r="C69" s="16"/>
      <c r="D69" s="14"/>
      <c r="E69" s="18"/>
      <c r="F69" s="59"/>
      <c r="G69" s="13"/>
      <c r="H69" s="78"/>
      <c r="I69" s="13"/>
    </row>
    <row r="70" spans="1:21" ht="15.75" customHeight="1">
      <c r="A70" s="32">
        <v>21</v>
      </c>
      <c r="B70" s="127" t="s">
        <v>192</v>
      </c>
      <c r="C70" s="128" t="s">
        <v>193</v>
      </c>
      <c r="D70" s="129"/>
      <c r="E70" s="17">
        <v>1042.5999999999999</v>
      </c>
      <c r="F70" s="130">
        <f>E70*12</f>
        <v>12511.199999999999</v>
      </c>
      <c r="G70" s="130">
        <v>2.6</v>
      </c>
      <c r="H70" s="78"/>
      <c r="I70" s="13">
        <f>G70*F70/12</f>
        <v>2710.7599999999998</v>
      </c>
    </row>
    <row r="71" spans="1:21" ht="15.75" customHeight="1">
      <c r="A71" s="32"/>
      <c r="B71" s="50" t="s">
        <v>70</v>
      </c>
      <c r="C71" s="16"/>
      <c r="D71" s="14"/>
      <c r="E71" s="18"/>
      <c r="F71" s="13"/>
      <c r="G71" s="13"/>
      <c r="H71" s="78" t="s">
        <v>132</v>
      </c>
      <c r="I71" s="13"/>
    </row>
    <row r="72" spans="1:21" ht="15.75" hidden="1" customHeight="1">
      <c r="A72" s="32"/>
      <c r="B72" s="14" t="s">
        <v>71</v>
      </c>
      <c r="C72" s="16" t="s">
        <v>73</v>
      </c>
      <c r="D72" s="14"/>
      <c r="E72" s="18">
        <v>2</v>
      </c>
      <c r="F72" s="13">
        <v>0.2</v>
      </c>
      <c r="G72" s="13">
        <v>536.23</v>
      </c>
      <c r="H72" s="78">
        <f t="shared" si="8"/>
        <v>0.10724600000000001</v>
      </c>
      <c r="I72" s="13">
        <v>0</v>
      </c>
    </row>
    <row r="73" spans="1:21" ht="15.75" hidden="1" customHeight="1">
      <c r="A73" s="32"/>
      <c r="B73" s="14" t="s">
        <v>72</v>
      </c>
      <c r="C73" s="16" t="s">
        <v>29</v>
      </c>
      <c r="D73" s="14"/>
      <c r="E73" s="18">
        <v>1</v>
      </c>
      <c r="F73" s="59">
        <v>1</v>
      </c>
      <c r="G73" s="13">
        <v>911.85</v>
      </c>
      <c r="H73" s="78">
        <f t="shared" si="8"/>
        <v>0.91185000000000005</v>
      </c>
      <c r="I73" s="13">
        <v>0</v>
      </c>
    </row>
    <row r="74" spans="1:21" ht="15.75" hidden="1" customHeight="1">
      <c r="A74" s="32"/>
      <c r="B74" s="14" t="s">
        <v>133</v>
      </c>
      <c r="C74" s="16" t="s">
        <v>134</v>
      </c>
      <c r="D74" s="14"/>
      <c r="E74" s="18"/>
      <c r="F74" s="13"/>
      <c r="G74" s="13">
        <v>31.54</v>
      </c>
      <c r="H74" s="78">
        <f t="shared" si="8"/>
        <v>0</v>
      </c>
      <c r="I74" s="13"/>
    </row>
    <row r="75" spans="1:21" ht="15.75" hidden="1" customHeight="1">
      <c r="A75" s="32"/>
      <c r="B75" s="14" t="s">
        <v>120</v>
      </c>
      <c r="C75" s="16" t="s">
        <v>29</v>
      </c>
      <c r="D75" s="14"/>
      <c r="E75" s="18">
        <v>1</v>
      </c>
      <c r="F75" s="13">
        <v>1</v>
      </c>
      <c r="G75" s="13">
        <v>383.25</v>
      </c>
      <c r="H75" s="78">
        <f>G75*F75/1000</f>
        <v>0.38324999999999998</v>
      </c>
      <c r="I75" s="13">
        <v>0</v>
      </c>
    </row>
    <row r="76" spans="1:21" ht="15.75" customHeight="1">
      <c r="A76" s="32">
        <v>22</v>
      </c>
      <c r="B76" s="102" t="s">
        <v>195</v>
      </c>
      <c r="C76" s="103" t="s">
        <v>29</v>
      </c>
      <c r="D76" s="102" t="s">
        <v>173</v>
      </c>
      <c r="E76" s="17">
        <v>1</v>
      </c>
      <c r="F76" s="36">
        <f>E76*12</f>
        <v>12</v>
      </c>
      <c r="G76" s="36">
        <v>420</v>
      </c>
      <c r="H76" s="78"/>
      <c r="I76" s="13">
        <f>G76*F76/12</f>
        <v>420</v>
      </c>
    </row>
    <row r="77" spans="1:21" ht="15.75" hidden="1" customHeight="1">
      <c r="A77" s="32"/>
      <c r="B77" s="14"/>
      <c r="C77" s="16"/>
      <c r="D77" s="14"/>
      <c r="E77" s="18"/>
      <c r="F77" s="13"/>
      <c r="G77" s="13"/>
      <c r="H77" s="78"/>
      <c r="I77" s="13"/>
    </row>
    <row r="78" spans="1:21" ht="15.75" hidden="1" customHeight="1">
      <c r="A78" s="32"/>
      <c r="B78" s="81" t="s">
        <v>74</v>
      </c>
      <c r="C78" s="16"/>
      <c r="D78" s="14"/>
      <c r="E78" s="18"/>
      <c r="F78" s="13"/>
      <c r="G78" s="13" t="s">
        <v>132</v>
      </c>
      <c r="H78" s="78" t="s">
        <v>132</v>
      </c>
      <c r="I78" s="13"/>
    </row>
    <row r="79" spans="1:21" ht="15.75" hidden="1" customHeight="1">
      <c r="A79" s="32"/>
      <c r="B79" s="44" t="s">
        <v>142</v>
      </c>
      <c r="C79" s="16" t="s">
        <v>75</v>
      </c>
      <c r="D79" s="14"/>
      <c r="E79" s="18"/>
      <c r="F79" s="13">
        <v>0.1</v>
      </c>
      <c r="G79" s="13">
        <v>2949.85</v>
      </c>
      <c r="H79" s="78">
        <f t="shared" si="8"/>
        <v>0.294985</v>
      </c>
      <c r="I79" s="13">
        <v>0</v>
      </c>
    </row>
    <row r="80" spans="1:21" ht="15.75" hidden="1" customHeight="1">
      <c r="A80" s="32"/>
      <c r="B80" s="88" t="s">
        <v>90</v>
      </c>
      <c r="C80" s="88"/>
      <c r="D80" s="88"/>
      <c r="E80" s="88"/>
      <c r="F80" s="88"/>
      <c r="G80" s="69"/>
      <c r="H80" s="82">
        <f>SUM(H56:H79)</f>
        <v>49.17120752999999</v>
      </c>
      <c r="I80" s="69"/>
    </row>
    <row r="81" spans="1:9" ht="15.75" hidden="1" customHeight="1">
      <c r="A81" s="32">
        <v>18</v>
      </c>
      <c r="B81" s="86" t="s">
        <v>119</v>
      </c>
      <c r="C81" s="23"/>
      <c r="D81" s="22"/>
      <c r="E81" s="83"/>
      <c r="F81" s="87">
        <v>1</v>
      </c>
      <c r="G81" s="13">
        <v>3124.9</v>
      </c>
      <c r="H81" s="78">
        <f>G81*F81/1000</f>
        <v>3.1249000000000002</v>
      </c>
      <c r="I81" s="13">
        <f>G81</f>
        <v>3124.9</v>
      </c>
    </row>
    <row r="82" spans="1:9" ht="15.75" customHeight="1">
      <c r="A82" s="165" t="s">
        <v>128</v>
      </c>
      <c r="B82" s="166"/>
      <c r="C82" s="166"/>
      <c r="D82" s="166"/>
      <c r="E82" s="166"/>
      <c r="F82" s="166"/>
      <c r="G82" s="166"/>
      <c r="H82" s="166"/>
      <c r="I82" s="167"/>
    </row>
    <row r="83" spans="1:9" ht="15.75" customHeight="1">
      <c r="A83" s="32">
        <v>23</v>
      </c>
      <c r="B83" s="104" t="s">
        <v>121</v>
      </c>
      <c r="C83" s="103" t="s">
        <v>54</v>
      </c>
      <c r="D83" s="49"/>
      <c r="E83" s="36">
        <v>1042.5999999999999</v>
      </c>
      <c r="F83" s="36">
        <f>SUM(E83*12)</f>
        <v>12511.199999999999</v>
      </c>
      <c r="G83" s="36">
        <v>3.5</v>
      </c>
      <c r="H83" s="78">
        <f>SUM(F83*G83/1000)</f>
        <v>43.789199999999994</v>
      </c>
      <c r="I83" s="13">
        <f>G83*F83/12</f>
        <v>3649.1</v>
      </c>
    </row>
    <row r="84" spans="1:9" ht="31.5" customHeight="1">
      <c r="A84" s="32">
        <v>24</v>
      </c>
      <c r="B84" s="102" t="s">
        <v>196</v>
      </c>
      <c r="C84" s="103" t="s">
        <v>54</v>
      </c>
      <c r="D84" s="96"/>
      <c r="E84" s="121">
        <f>E83</f>
        <v>1042.5999999999999</v>
      </c>
      <c r="F84" s="36">
        <f>E84*12</f>
        <v>12511.199999999999</v>
      </c>
      <c r="G84" s="36">
        <v>3.2</v>
      </c>
      <c r="H84" s="78">
        <f>F84*G84/1000</f>
        <v>40.035839999999993</v>
      </c>
      <c r="I84" s="13">
        <f>G84*F84/12</f>
        <v>3336.3199999999997</v>
      </c>
    </row>
    <row r="85" spans="1:9" ht="15.75" customHeight="1">
      <c r="A85" s="32"/>
      <c r="B85" s="37" t="s">
        <v>78</v>
      </c>
      <c r="C85" s="81"/>
      <c r="D85" s="80"/>
      <c r="E85" s="69"/>
      <c r="F85" s="69"/>
      <c r="G85" s="69"/>
      <c r="H85" s="82">
        <f>H84</f>
        <v>40.035839999999993</v>
      </c>
      <c r="I85" s="69">
        <f>I84+I83+I76+I70+I68+I59+I52+I51+I50+I49+I48+I47+I46+I45+I44+I33+I31+I30+I27+I21+I20+I18+I17+I16</f>
        <v>21025.517192833333</v>
      </c>
    </row>
    <row r="86" spans="1:9" ht="15.75" customHeight="1">
      <c r="A86" s="170" t="s">
        <v>59</v>
      </c>
      <c r="B86" s="171"/>
      <c r="C86" s="171"/>
      <c r="D86" s="171"/>
      <c r="E86" s="171"/>
      <c r="F86" s="171"/>
      <c r="G86" s="171"/>
      <c r="H86" s="171"/>
      <c r="I86" s="172"/>
    </row>
    <row r="87" spans="1:9" ht="31.5" hidden="1" customHeight="1">
      <c r="A87" s="32"/>
      <c r="B87" s="47" t="s">
        <v>135</v>
      </c>
      <c r="C87" s="48" t="s">
        <v>136</v>
      </c>
      <c r="D87" s="44"/>
      <c r="E87" s="13"/>
      <c r="F87" s="13">
        <v>1</v>
      </c>
      <c r="G87" s="13">
        <v>51.39</v>
      </c>
      <c r="H87" s="78">
        <f t="shared" ref="H87:H94" si="9">G87*F87/1000</f>
        <v>5.1389999999999998E-2</v>
      </c>
      <c r="I87" s="13">
        <v>0</v>
      </c>
    </row>
    <row r="88" spans="1:9" ht="15.75" hidden="1" customHeight="1">
      <c r="A88" s="32"/>
      <c r="B88" s="47" t="s">
        <v>137</v>
      </c>
      <c r="C88" s="48" t="s">
        <v>138</v>
      </c>
      <c r="D88" s="44"/>
      <c r="E88" s="13"/>
      <c r="F88" s="13">
        <v>5</v>
      </c>
      <c r="G88" s="13">
        <v>1501</v>
      </c>
      <c r="H88" s="78">
        <f t="shared" si="9"/>
        <v>7.5049999999999999</v>
      </c>
      <c r="I88" s="13">
        <v>0</v>
      </c>
    </row>
    <row r="89" spans="1:9" ht="15.75" hidden="1" customHeight="1">
      <c r="A89" s="32"/>
      <c r="B89" s="47" t="s">
        <v>139</v>
      </c>
      <c r="C89" s="48" t="s">
        <v>140</v>
      </c>
      <c r="D89" s="44"/>
      <c r="E89" s="13"/>
      <c r="F89" s="13">
        <v>1</v>
      </c>
      <c r="G89" s="13">
        <v>1646</v>
      </c>
      <c r="H89" s="78">
        <f t="shared" si="9"/>
        <v>1.6459999999999999</v>
      </c>
      <c r="I89" s="13">
        <v>0</v>
      </c>
    </row>
    <row r="90" spans="1:9" ht="15.75" hidden="1" customHeight="1">
      <c r="A90" s="32"/>
      <c r="B90" s="47" t="s">
        <v>141</v>
      </c>
      <c r="C90" s="48" t="s">
        <v>91</v>
      </c>
      <c r="D90" s="44"/>
      <c r="E90" s="13"/>
      <c r="F90" s="13">
        <v>1</v>
      </c>
      <c r="G90" s="13">
        <v>182.63</v>
      </c>
      <c r="H90" s="78">
        <f t="shared" si="9"/>
        <v>0.18262999999999999</v>
      </c>
      <c r="I90" s="13">
        <v>0</v>
      </c>
    </row>
    <row r="91" spans="1:9" ht="15.75" hidden="1" customHeight="1">
      <c r="A91" s="32"/>
      <c r="B91" s="47" t="s">
        <v>122</v>
      </c>
      <c r="C91" s="48" t="s">
        <v>80</v>
      </c>
      <c r="D91" s="44"/>
      <c r="E91" s="13"/>
      <c r="F91" s="13">
        <v>2</v>
      </c>
      <c r="G91" s="13">
        <v>185.81</v>
      </c>
      <c r="H91" s="78">
        <f t="shared" si="9"/>
        <v>0.37162000000000001</v>
      </c>
      <c r="I91" s="13">
        <v>0</v>
      </c>
    </row>
    <row r="92" spans="1:9" ht="15.75" customHeight="1">
      <c r="A92" s="32">
        <v>25</v>
      </c>
      <c r="B92" s="112" t="s">
        <v>235</v>
      </c>
      <c r="C92" s="113" t="s">
        <v>93</v>
      </c>
      <c r="D92" s="96"/>
      <c r="E92" s="36"/>
      <c r="F92" s="36">
        <v>0.06</v>
      </c>
      <c r="G92" s="36">
        <v>2638.36</v>
      </c>
      <c r="H92" s="77">
        <f>F92*G92/1000</f>
        <v>0.15830160000000001</v>
      </c>
      <c r="I92" s="97">
        <f>G92*0.06</f>
        <v>158.30160000000001</v>
      </c>
    </row>
    <row r="93" spans="1:9" ht="13.5" customHeight="1">
      <c r="A93" s="32">
        <v>26</v>
      </c>
      <c r="B93" s="98" t="s">
        <v>179</v>
      </c>
      <c r="C93" s="99" t="s">
        <v>39</v>
      </c>
      <c r="D93" s="96" t="s">
        <v>172</v>
      </c>
      <c r="E93" s="36"/>
      <c r="F93" s="36">
        <v>0.01</v>
      </c>
      <c r="G93" s="36">
        <v>27139.48</v>
      </c>
      <c r="H93" s="78">
        <f t="shared" si="9"/>
        <v>0.27139479999999999</v>
      </c>
      <c r="I93" s="13">
        <v>0</v>
      </c>
    </row>
    <row r="94" spans="1:9" ht="15.75" customHeight="1">
      <c r="A94" s="32">
        <v>27</v>
      </c>
      <c r="B94" s="158" t="s">
        <v>236</v>
      </c>
      <c r="C94" s="159" t="s">
        <v>237</v>
      </c>
      <c r="D94" s="96"/>
      <c r="E94" s="36"/>
      <c r="F94" s="36">
        <f>0.5/3</f>
        <v>0.16666666666666666</v>
      </c>
      <c r="G94" s="36">
        <v>1274.19</v>
      </c>
      <c r="H94" s="78">
        <f t="shared" si="9"/>
        <v>0.212365</v>
      </c>
      <c r="I94" s="13">
        <f>G94*0.5/3</f>
        <v>212.36500000000001</v>
      </c>
    </row>
    <row r="95" spans="1:9">
      <c r="A95" s="32"/>
      <c r="B95" s="42" t="s">
        <v>50</v>
      </c>
      <c r="C95" s="38"/>
      <c r="D95" s="45"/>
      <c r="E95" s="38">
        <v>1</v>
      </c>
      <c r="F95" s="38"/>
      <c r="G95" s="38"/>
      <c r="H95" s="38"/>
      <c r="I95" s="34">
        <f>SUM(I87:I94)</f>
        <v>370.66660000000002</v>
      </c>
    </row>
    <row r="96" spans="1:9" ht="16.5" customHeight="1">
      <c r="A96" s="32"/>
      <c r="B96" s="44" t="s">
        <v>77</v>
      </c>
      <c r="C96" s="15"/>
      <c r="D96" s="15"/>
      <c r="E96" s="39"/>
      <c r="F96" s="39"/>
      <c r="G96" s="40"/>
      <c r="H96" s="40"/>
      <c r="I96" s="17">
        <v>0</v>
      </c>
    </row>
    <row r="97" spans="1:9" ht="16.5" customHeight="1">
      <c r="A97" s="46"/>
      <c r="B97" s="43" t="s">
        <v>156</v>
      </c>
      <c r="C97" s="35"/>
      <c r="D97" s="35"/>
      <c r="E97" s="35"/>
      <c r="F97" s="35"/>
      <c r="G97" s="35"/>
      <c r="H97" s="35"/>
      <c r="I97" s="41">
        <f>I85+I95</f>
        <v>21396.183792833333</v>
      </c>
    </row>
    <row r="98" spans="1:9" ht="15.75" customHeight="1">
      <c r="A98" s="180" t="s">
        <v>259</v>
      </c>
      <c r="B98" s="180"/>
      <c r="C98" s="180"/>
      <c r="D98" s="180"/>
      <c r="E98" s="180"/>
      <c r="F98" s="180"/>
      <c r="G98" s="180"/>
      <c r="H98" s="180"/>
      <c r="I98" s="180"/>
    </row>
    <row r="99" spans="1:9" ht="15.75" customHeight="1">
      <c r="A99" s="56"/>
      <c r="B99" s="181" t="s">
        <v>260</v>
      </c>
      <c r="C99" s="181"/>
      <c r="D99" s="181"/>
      <c r="E99" s="181"/>
      <c r="F99" s="181"/>
      <c r="G99" s="181"/>
      <c r="H99" s="62"/>
      <c r="I99" s="3"/>
    </row>
    <row r="100" spans="1:9">
      <c r="A100" s="55"/>
      <c r="B100" s="178" t="s">
        <v>6</v>
      </c>
      <c r="C100" s="178"/>
      <c r="D100" s="178"/>
      <c r="E100" s="178"/>
      <c r="F100" s="178"/>
      <c r="G100" s="178"/>
      <c r="H100" s="27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74" t="s">
        <v>7</v>
      </c>
      <c r="B102" s="174"/>
      <c r="C102" s="174"/>
      <c r="D102" s="174"/>
      <c r="E102" s="174"/>
      <c r="F102" s="174"/>
      <c r="G102" s="174"/>
      <c r="H102" s="174"/>
      <c r="I102" s="174"/>
    </row>
    <row r="103" spans="1:9" ht="15.75">
      <c r="A103" s="174" t="s">
        <v>8</v>
      </c>
      <c r="B103" s="174"/>
      <c r="C103" s="174"/>
      <c r="D103" s="174"/>
      <c r="E103" s="174"/>
      <c r="F103" s="174"/>
      <c r="G103" s="174"/>
      <c r="H103" s="174"/>
      <c r="I103" s="174"/>
    </row>
    <row r="104" spans="1:9" ht="15.75">
      <c r="A104" s="175" t="s">
        <v>60</v>
      </c>
      <c r="B104" s="175"/>
      <c r="C104" s="175"/>
      <c r="D104" s="175"/>
      <c r="E104" s="175"/>
      <c r="F104" s="175"/>
      <c r="G104" s="175"/>
      <c r="H104" s="175"/>
      <c r="I104" s="175"/>
    </row>
    <row r="105" spans="1:9" ht="7.5" customHeight="1">
      <c r="A105" s="11"/>
    </row>
    <row r="106" spans="1:9" ht="15.75">
      <c r="A106" s="176" t="s">
        <v>9</v>
      </c>
      <c r="B106" s="176"/>
      <c r="C106" s="176"/>
      <c r="D106" s="176"/>
      <c r="E106" s="176"/>
      <c r="F106" s="176"/>
      <c r="G106" s="176"/>
      <c r="H106" s="176"/>
      <c r="I106" s="176"/>
    </row>
    <row r="107" spans="1:9" ht="15.75">
      <c r="A107" s="4"/>
    </row>
    <row r="108" spans="1:9" ht="15.75">
      <c r="B108" s="52" t="s">
        <v>10</v>
      </c>
      <c r="C108" s="177" t="s">
        <v>124</v>
      </c>
      <c r="D108" s="177"/>
      <c r="E108" s="177"/>
      <c r="F108" s="60"/>
      <c r="I108" s="54"/>
    </row>
    <row r="109" spans="1:9">
      <c r="A109" s="55"/>
      <c r="C109" s="178" t="s">
        <v>11</v>
      </c>
      <c r="D109" s="178"/>
      <c r="E109" s="178"/>
      <c r="F109" s="27"/>
      <c r="I109" s="53" t="s">
        <v>12</v>
      </c>
    </row>
    <row r="110" spans="1:9" ht="15.75">
      <c r="A110" s="28"/>
      <c r="C110" s="12"/>
      <c r="D110" s="12"/>
      <c r="G110" s="12"/>
      <c r="H110" s="12"/>
    </row>
    <row r="111" spans="1:9" ht="15.75">
      <c r="B111" s="52" t="s">
        <v>13</v>
      </c>
      <c r="C111" s="179"/>
      <c r="D111" s="179"/>
      <c r="E111" s="179"/>
      <c r="F111" s="61"/>
      <c r="I111" s="54"/>
    </row>
    <row r="112" spans="1:9">
      <c r="A112" s="55"/>
      <c r="C112" s="168" t="s">
        <v>11</v>
      </c>
      <c r="D112" s="168"/>
      <c r="E112" s="168"/>
      <c r="F112" s="55"/>
      <c r="I112" s="53" t="s">
        <v>12</v>
      </c>
    </row>
    <row r="113" spans="1:9" ht="15.75">
      <c r="A113" s="4" t="s">
        <v>14</v>
      </c>
    </row>
    <row r="114" spans="1:9">
      <c r="A114" s="169" t="s">
        <v>15</v>
      </c>
      <c r="B114" s="169"/>
      <c r="C114" s="169"/>
      <c r="D114" s="169"/>
      <c r="E114" s="169"/>
      <c r="F114" s="169"/>
      <c r="G114" s="169"/>
      <c r="H114" s="169"/>
      <c r="I114" s="169"/>
    </row>
    <row r="115" spans="1:9" ht="45" customHeight="1">
      <c r="A115" s="173" t="s">
        <v>16</v>
      </c>
      <c r="B115" s="173"/>
      <c r="C115" s="173"/>
      <c r="D115" s="173"/>
      <c r="E115" s="173"/>
      <c r="F115" s="173"/>
      <c r="G115" s="173"/>
      <c r="H115" s="173"/>
      <c r="I115" s="173"/>
    </row>
    <row r="116" spans="1:9" ht="30" customHeight="1">
      <c r="A116" s="173" t="s">
        <v>17</v>
      </c>
      <c r="B116" s="173"/>
      <c r="C116" s="173"/>
      <c r="D116" s="173"/>
      <c r="E116" s="173"/>
      <c r="F116" s="173"/>
      <c r="G116" s="173"/>
      <c r="H116" s="173"/>
      <c r="I116" s="173"/>
    </row>
    <row r="117" spans="1:9" ht="30" customHeight="1">
      <c r="A117" s="173" t="s">
        <v>21</v>
      </c>
      <c r="B117" s="173"/>
      <c r="C117" s="173"/>
      <c r="D117" s="173"/>
      <c r="E117" s="173"/>
      <c r="F117" s="173"/>
      <c r="G117" s="173"/>
      <c r="H117" s="173"/>
      <c r="I117" s="173"/>
    </row>
    <row r="118" spans="1:9" ht="14.25" customHeight="1">
      <c r="A118" s="173" t="s">
        <v>20</v>
      </c>
      <c r="B118" s="173"/>
      <c r="C118" s="173"/>
      <c r="D118" s="173"/>
      <c r="E118" s="173"/>
      <c r="F118" s="173"/>
      <c r="G118" s="173"/>
      <c r="H118" s="173"/>
      <c r="I118" s="173"/>
    </row>
  </sheetData>
  <autoFilter ref="I12:I61"/>
  <mergeCells count="29">
    <mergeCell ref="R66:U66"/>
    <mergeCell ref="A82:I82"/>
    <mergeCell ref="A3:I3"/>
    <mergeCell ref="A4:I4"/>
    <mergeCell ref="A5:I5"/>
    <mergeCell ref="A8:I8"/>
    <mergeCell ref="A10:I10"/>
    <mergeCell ref="A14:I14"/>
    <mergeCell ref="A104:I104"/>
    <mergeCell ref="A15:I15"/>
    <mergeCell ref="A28:I28"/>
    <mergeCell ref="A43:I43"/>
    <mergeCell ref="A54:I54"/>
    <mergeCell ref="A98:I98"/>
    <mergeCell ref="B99:G99"/>
    <mergeCell ref="B100:G100"/>
    <mergeCell ref="A102:I102"/>
    <mergeCell ref="A103:I103"/>
    <mergeCell ref="A86:I86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7.874015748031496E-2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2021-02-17T08:06:49Z</cp:lastPrinted>
  <dcterms:created xsi:type="dcterms:W3CDTF">2016-03-25T08:33:47Z</dcterms:created>
  <dcterms:modified xsi:type="dcterms:W3CDTF">2021-02-17T08:07:28Z</dcterms:modified>
</cp:coreProperties>
</file>