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480" windowHeight="5565"/>
  </bookViews>
  <sheets>
    <sheet name="Косм.,8" sheetId="1" r:id="rId1"/>
  </sheets>
  <definedNames>
    <definedName name="_xlnm.Print_Area" localSheetId="0">'Косм.,8'!$A$1:$U$135</definedName>
  </definedNames>
  <calcPr calcId="124519"/>
</workbook>
</file>

<file path=xl/calcChain.xml><?xml version="1.0" encoding="utf-8"?>
<calcChain xmlns="http://schemas.openxmlformats.org/spreadsheetml/2006/main">
  <c r="M126" i="1"/>
  <c r="Q16" l="1"/>
  <c r="Q15"/>
  <c r="S115"/>
  <c r="S114"/>
  <c r="S113"/>
  <c r="U113"/>
  <c r="U114"/>
  <c r="U115"/>
  <c r="H115"/>
  <c r="H113"/>
  <c r="H114"/>
  <c r="R63" l="1"/>
  <c r="T111"/>
  <c r="U121"/>
  <c r="T121"/>
  <c r="H121"/>
  <c r="C133" l="1"/>
  <c r="C130"/>
  <c r="T92"/>
  <c r="F92"/>
  <c r="H122"/>
  <c r="F122"/>
  <c r="T122" s="1"/>
  <c r="U122" s="1"/>
  <c r="T93"/>
  <c r="U76" l="1"/>
  <c r="U74"/>
  <c r="U64"/>
  <c r="U60"/>
  <c r="U36"/>
  <c r="U28"/>
  <c r="U29"/>
  <c r="Q63"/>
  <c r="U63" s="1"/>
  <c r="S91"/>
  <c r="F91"/>
  <c r="S116"/>
  <c r="U116" s="1"/>
  <c r="H116"/>
  <c r="H93"/>
  <c r="S120"/>
  <c r="U120" s="1"/>
  <c r="F120"/>
  <c r="H120" s="1"/>
  <c r="S119"/>
  <c r="U119" s="1"/>
  <c r="H119"/>
  <c r="S103"/>
  <c r="S92"/>
  <c r="S104"/>
  <c r="S118"/>
  <c r="U118" s="1"/>
  <c r="H118"/>
  <c r="F117"/>
  <c r="S117" s="1"/>
  <c r="U117" s="1"/>
  <c r="H117" l="1"/>
  <c r="S93"/>
  <c r="S72"/>
  <c r="U72" s="1"/>
  <c r="Q111"/>
  <c r="U111" s="1"/>
  <c r="H111"/>
  <c r="R89"/>
  <c r="R96"/>
  <c r="Q96"/>
  <c r="Q100"/>
  <c r="Q112"/>
  <c r="U112" s="1"/>
  <c r="H112"/>
  <c r="P110"/>
  <c r="U110" s="1"/>
  <c r="H110"/>
  <c r="P109"/>
  <c r="U109" s="1"/>
  <c r="H109"/>
  <c r="P93"/>
  <c r="G108"/>
  <c r="H108" s="1"/>
  <c r="P107"/>
  <c r="U107" s="1"/>
  <c r="H107"/>
  <c r="P108" l="1"/>
  <c r="U108" s="1"/>
  <c r="P106"/>
  <c r="U106" s="1"/>
  <c r="H106"/>
  <c r="P105" l="1"/>
  <c r="U105" s="1"/>
  <c r="H105" l="1"/>
  <c r="P52" l="1"/>
  <c r="P51"/>
  <c r="O101"/>
  <c r="U101" s="1"/>
  <c r="F101"/>
  <c r="H101" s="1"/>
  <c r="O103" l="1"/>
  <c r="U103" s="1"/>
  <c r="H103"/>
  <c r="O102"/>
  <c r="U102" s="1"/>
  <c r="H102" l="1"/>
  <c r="H104"/>
  <c r="O104"/>
  <c r="U104" s="1"/>
  <c r="O89"/>
  <c r="O96"/>
  <c r="O93"/>
  <c r="O91"/>
  <c r="O100"/>
  <c r="U100" s="1"/>
  <c r="O99"/>
  <c r="U99" s="1"/>
  <c r="O98"/>
  <c r="U98" s="1"/>
  <c r="H98"/>
  <c r="M73"/>
  <c r="L73"/>
  <c r="J73"/>
  <c r="I73"/>
  <c r="N91"/>
  <c r="K50"/>
  <c r="M93"/>
  <c r="M96"/>
  <c r="U96" s="1"/>
  <c r="M97"/>
  <c r="U97" s="1"/>
  <c r="H97"/>
  <c r="H96"/>
  <c r="M95"/>
  <c r="U95" s="1"/>
  <c r="H95"/>
  <c r="I52"/>
  <c r="I51"/>
  <c r="U73" l="1"/>
  <c r="L52"/>
  <c r="U52" s="1"/>
  <c r="L51"/>
  <c r="U51" s="1"/>
  <c r="L94"/>
  <c r="U94" s="1"/>
  <c r="H94"/>
  <c r="L93" l="1"/>
  <c r="U93" s="1"/>
  <c r="L92"/>
  <c r="U92" s="1"/>
  <c r="H92"/>
  <c r="F30"/>
  <c r="J91"/>
  <c r="H91"/>
  <c r="U91" l="1"/>
  <c r="J90"/>
  <c r="U90" s="1"/>
  <c r="I89"/>
  <c r="U89" s="1"/>
  <c r="K78"/>
  <c r="U78" s="1"/>
  <c r="U123" l="1"/>
  <c r="H89"/>
  <c r="T40"/>
  <c r="S40"/>
  <c r="T33"/>
  <c r="S33"/>
  <c r="Q70"/>
  <c r="U70" s="1"/>
  <c r="Q50"/>
  <c r="U50" s="1"/>
  <c r="R25"/>
  <c r="Q25"/>
  <c r="P25"/>
  <c r="O25"/>
  <c r="N25"/>
  <c r="H99"/>
  <c r="F52"/>
  <c r="F26"/>
  <c r="R26" s="1"/>
  <c r="M25"/>
  <c r="L40"/>
  <c r="L33"/>
  <c r="K40"/>
  <c r="K33"/>
  <c r="H78"/>
  <c r="H100"/>
  <c r="H90"/>
  <c r="J40"/>
  <c r="J33"/>
  <c r="I57"/>
  <c r="U57" s="1"/>
  <c r="I40"/>
  <c r="I33"/>
  <c r="U33" l="1"/>
  <c r="U25"/>
  <c r="H123"/>
  <c r="U40"/>
  <c r="N26"/>
  <c r="O26"/>
  <c r="Q26"/>
  <c r="M26"/>
  <c r="U26" s="1"/>
  <c r="P26"/>
  <c r="F58"/>
  <c r="H57"/>
  <c r="F56"/>
  <c r="F51"/>
  <c r="H51" s="1"/>
  <c r="F38"/>
  <c r="F34"/>
  <c r="F35"/>
  <c r="F16"/>
  <c r="M16" s="1"/>
  <c r="U16" s="1"/>
  <c r="F15"/>
  <c r="M15" s="1"/>
  <c r="U15" s="1"/>
  <c r="F61"/>
  <c r="H60"/>
  <c r="S58" l="1"/>
  <c r="T58"/>
  <c r="L58"/>
  <c r="I58"/>
  <c r="K58"/>
  <c r="T34"/>
  <c r="S34"/>
  <c r="S61"/>
  <c r="Q61"/>
  <c r="O61"/>
  <c r="T61"/>
  <c r="R61"/>
  <c r="P61"/>
  <c r="N61"/>
  <c r="M61"/>
  <c r="T35"/>
  <c r="S35"/>
  <c r="T38"/>
  <c r="S38"/>
  <c r="S56"/>
  <c r="T56"/>
  <c r="I35"/>
  <c r="L35"/>
  <c r="K35"/>
  <c r="J35"/>
  <c r="I38"/>
  <c r="L38"/>
  <c r="K38"/>
  <c r="J38"/>
  <c r="H61"/>
  <c r="I61"/>
  <c r="L61"/>
  <c r="K61"/>
  <c r="J61"/>
  <c r="L34"/>
  <c r="K34"/>
  <c r="J34"/>
  <c r="I56"/>
  <c r="L56"/>
  <c r="K56"/>
  <c r="J56"/>
  <c r="J58"/>
  <c r="H56"/>
  <c r="H58"/>
  <c r="H34"/>
  <c r="I34"/>
  <c r="U34" s="1"/>
  <c r="F44"/>
  <c r="M44" s="1"/>
  <c r="H25"/>
  <c r="U61" l="1"/>
  <c r="U56"/>
  <c r="U38"/>
  <c r="U35"/>
  <c r="U58"/>
  <c r="Q44"/>
  <c r="U44" s="1"/>
  <c r="H36"/>
  <c r="H35" l="1"/>
  <c r="H74"/>
  <c r="H73" l="1"/>
  <c r="F14" l="1"/>
  <c r="M14" s="1"/>
  <c r="U14" s="1"/>
  <c r="F17"/>
  <c r="M17" s="1"/>
  <c r="U17" s="1"/>
  <c r="F18"/>
  <c r="M18" s="1"/>
  <c r="U18" s="1"/>
  <c r="F126" l="1"/>
  <c r="H125"/>
  <c r="E81"/>
  <c r="H85" s="1"/>
  <c r="F79"/>
  <c r="H76"/>
  <c r="H72"/>
  <c r="H70"/>
  <c r="F69"/>
  <c r="F68"/>
  <c r="F67"/>
  <c r="F66"/>
  <c r="F65"/>
  <c r="H64"/>
  <c r="H63"/>
  <c r="F55"/>
  <c r="K55" s="1"/>
  <c r="H52"/>
  <c r="H50"/>
  <c r="F49"/>
  <c r="F48"/>
  <c r="F47"/>
  <c r="F46"/>
  <c r="F45"/>
  <c r="H44"/>
  <c r="F43"/>
  <c r="H40"/>
  <c r="F39"/>
  <c r="H38"/>
  <c r="F37"/>
  <c r="H33"/>
  <c r="H29"/>
  <c r="H28"/>
  <c r="F27"/>
  <c r="H26"/>
  <c r="F24"/>
  <c r="F23"/>
  <c r="F22"/>
  <c r="F19"/>
  <c r="M19" s="1"/>
  <c r="U19" s="1"/>
  <c r="H18"/>
  <c r="H17"/>
  <c r="H14"/>
  <c r="E13"/>
  <c r="F13" s="1"/>
  <c r="F12"/>
  <c r="F11"/>
  <c r="Q46" l="1"/>
  <c r="M46"/>
  <c r="U46" s="1"/>
  <c r="Q48"/>
  <c r="L48"/>
  <c r="U48" s="1"/>
  <c r="Q43"/>
  <c r="M43"/>
  <c r="U43" s="1"/>
  <c r="Q45"/>
  <c r="M45"/>
  <c r="U45" s="1"/>
  <c r="Q49"/>
  <c r="L49"/>
  <c r="U49" s="1"/>
  <c r="T11"/>
  <c r="R11"/>
  <c r="P11"/>
  <c r="N11"/>
  <c r="M11"/>
  <c r="S11"/>
  <c r="Q11"/>
  <c r="O11"/>
  <c r="H19"/>
  <c r="T30"/>
  <c r="R30"/>
  <c r="P30"/>
  <c r="N30"/>
  <c r="M30"/>
  <c r="S30"/>
  <c r="Q30"/>
  <c r="O30"/>
  <c r="T12"/>
  <c r="Q12"/>
  <c r="O12"/>
  <c r="S12"/>
  <c r="R12"/>
  <c r="P12"/>
  <c r="N12"/>
  <c r="M12"/>
  <c r="H22"/>
  <c r="Q22"/>
  <c r="O22"/>
  <c r="R22"/>
  <c r="P22"/>
  <c r="N22"/>
  <c r="M22"/>
  <c r="U22" s="1"/>
  <c r="H24"/>
  <c r="M24"/>
  <c r="U24" s="1"/>
  <c r="T27"/>
  <c r="Q27"/>
  <c r="O27"/>
  <c r="S27"/>
  <c r="R27"/>
  <c r="P27"/>
  <c r="N27"/>
  <c r="M27"/>
  <c r="S55"/>
  <c r="T55"/>
  <c r="H66"/>
  <c r="M66"/>
  <c r="U66" s="1"/>
  <c r="H68"/>
  <c r="M68"/>
  <c r="U68" s="1"/>
  <c r="T13"/>
  <c r="R13"/>
  <c r="P13"/>
  <c r="N13"/>
  <c r="M13"/>
  <c r="S13"/>
  <c r="Q13"/>
  <c r="O13"/>
  <c r="H23"/>
  <c r="R23"/>
  <c r="P23"/>
  <c r="N23"/>
  <c r="M23"/>
  <c r="Q23"/>
  <c r="O23"/>
  <c r="T37"/>
  <c r="S37"/>
  <c r="T39"/>
  <c r="S39"/>
  <c r="T47"/>
  <c r="Q47"/>
  <c r="M47"/>
  <c r="H65"/>
  <c r="M65"/>
  <c r="U65" s="1"/>
  <c r="H67"/>
  <c r="M67"/>
  <c r="U67" s="1"/>
  <c r="H69"/>
  <c r="M69"/>
  <c r="U69" s="1"/>
  <c r="S79"/>
  <c r="R79"/>
  <c r="P79"/>
  <c r="N79"/>
  <c r="T79"/>
  <c r="Q79"/>
  <c r="O79"/>
  <c r="M79"/>
  <c r="I13"/>
  <c r="L13"/>
  <c r="K13"/>
  <c r="J13"/>
  <c r="I12"/>
  <c r="L12"/>
  <c r="K12"/>
  <c r="J12"/>
  <c r="I27"/>
  <c r="L27"/>
  <c r="K27"/>
  <c r="J27"/>
  <c r="H46"/>
  <c r="H48"/>
  <c r="L55"/>
  <c r="J55"/>
  <c r="I11"/>
  <c r="L11"/>
  <c r="K11"/>
  <c r="J11"/>
  <c r="L30"/>
  <c r="K30"/>
  <c r="J30"/>
  <c r="L37"/>
  <c r="K37"/>
  <c r="J37"/>
  <c r="L39"/>
  <c r="K39"/>
  <c r="J39"/>
  <c r="H43"/>
  <c r="H45"/>
  <c r="I47"/>
  <c r="U47" s="1"/>
  <c r="J47"/>
  <c r="H49"/>
  <c r="I79"/>
  <c r="L79"/>
  <c r="K79"/>
  <c r="J79"/>
  <c r="H30"/>
  <c r="I30"/>
  <c r="U30" s="1"/>
  <c r="H37"/>
  <c r="I37"/>
  <c r="U37" s="1"/>
  <c r="H39"/>
  <c r="I39"/>
  <c r="U39" s="1"/>
  <c r="H55"/>
  <c r="H77" s="1"/>
  <c r="I55"/>
  <c r="U55" s="1"/>
  <c r="H79"/>
  <c r="H80" s="1"/>
  <c r="H27"/>
  <c r="H31" s="1"/>
  <c r="H47"/>
  <c r="H11"/>
  <c r="H12"/>
  <c r="H16"/>
  <c r="H13"/>
  <c r="H15"/>
  <c r="F81"/>
  <c r="H41"/>
  <c r="U79" l="1"/>
  <c r="U11"/>
  <c r="U20" s="1"/>
  <c r="U27"/>
  <c r="U12"/>
  <c r="U13"/>
  <c r="U23"/>
  <c r="U31" s="1"/>
  <c r="U77"/>
  <c r="U80"/>
  <c r="S81"/>
  <c r="Q81"/>
  <c r="O81"/>
  <c r="M81"/>
  <c r="T81"/>
  <c r="R81"/>
  <c r="P81"/>
  <c r="N81"/>
  <c r="N126" s="1"/>
  <c r="H53"/>
  <c r="Q126"/>
  <c r="P126"/>
  <c r="T126"/>
  <c r="O126"/>
  <c r="S126"/>
  <c r="R126"/>
  <c r="U41"/>
  <c r="U53"/>
  <c r="I81"/>
  <c r="L81"/>
  <c r="L126" s="1"/>
  <c r="K81"/>
  <c r="J81"/>
  <c r="J126" s="1"/>
  <c r="K126"/>
  <c r="H81"/>
  <c r="H82" s="1"/>
  <c r="C132"/>
  <c r="H20"/>
  <c r="U81" l="1"/>
  <c r="U82" s="1"/>
  <c r="U83" s="1"/>
  <c r="U126" s="1"/>
  <c r="I126"/>
  <c r="H83"/>
  <c r="H86" s="1"/>
  <c r="G126" s="1"/>
  <c r="H126" s="1"/>
  <c r="C131" l="1"/>
  <c r="C135"/>
</calcChain>
</file>

<file path=xl/sharedStrings.xml><?xml version="1.0" encoding="utf-8"?>
<sst xmlns="http://schemas.openxmlformats.org/spreadsheetml/2006/main" count="374" uniqueCount="267">
  <si>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</si>
  <si>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</si>
  <si>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</si>
  <si>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</si>
  <si>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</si>
  <si>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</si>
  <si>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</si>
  <si>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</si>
  <si>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</si>
  <si>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</si>
  <si>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</si>
  <si>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</si>
  <si>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</si>
  <si>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</si>
  <si>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</si>
  <si>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</si>
  <si>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</si>
  <si>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</si>
  <si>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</si>
  <si>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</si>
  <si>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</si>
  <si>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</si>
  <si>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</si>
  <si>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</si>
  <si>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</si>
  <si>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</si>
  <si>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</si>
  <si>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</si>
  <si>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</si>
  <si>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</si>
  <si>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</si>
  <si>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</si>
  <si>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</si>
  <si>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</si>
  <si>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</si>
  <si>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</si>
  <si>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</si>
  <si>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</si>
  <si>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</si>
  <si>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</si>
  <si>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</si>
  <si>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</si>
  <si>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</si>
  <si>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</si>
  <si>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</si>
  <si>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</si>
  <si>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</si>
  <si>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</si>
  <si>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</si>
  <si>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>45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</si>
  <si>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</si>
  <si>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</si>
  <si>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</si>
  <si>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</si>
  <si>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</si>
  <si>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</si>
  <si>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</si>
  <si>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</si>
  <si>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</si>
  <si>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</si>
  <si>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</si>
  <si>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</si>
  <si>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</si>
  <si>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</si>
  <si>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</si>
  <si>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</si>
  <si>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</si>
  <si>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</si>
  <si>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м2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</si>
  <si>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</si>
  <si>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</si>
  <si>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</si>
  <si>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</si>
  <si>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</si>
  <si>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</si>
  <si>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</si>
  <si>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</si>
  <si>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</si>
  <si>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</si>
  <si>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</si>
  <si>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</si>
  <si>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</si>
  <si>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</si>
  <si>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</si>
  <si>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</si>
  <si>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</si>
  <si>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</si>
  <si>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</si>
  <si>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</si>
  <si>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</si>
  <si>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</si>
  <si>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</si>
  <si>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</si>
  <si>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</si>
  <si>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</si>
  <si>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</si>
  <si>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</si>
  <si>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</si>
  <si>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</si>
  <si>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</si>
  <si>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</si>
  <si>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</si>
  <si>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</si>
  <si>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</si>
  <si>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Замена ламп ДРЛ</t>
  </si>
  <si>
    <t>Вывоз снега с придомовой территории</t>
  </si>
  <si>
    <t>1 раз в месяц</t>
  </si>
  <si>
    <t>Очистка урн от мусора</t>
  </si>
  <si>
    <t>Дератизация</t>
  </si>
  <si>
    <t>30 раз за сезон</t>
  </si>
  <si>
    <t>12 раз за сезон</t>
  </si>
  <si>
    <t>Сдвигание снега в дни снегопада (проезд)</t>
  </si>
  <si>
    <t>24 раза за сезон</t>
  </si>
  <si>
    <t>Осмотр рулонной кровли</t>
  </si>
  <si>
    <t>2-1-1а</t>
  </si>
  <si>
    <t>Проверка дымоходов</t>
  </si>
  <si>
    <t>4 раза в год</t>
  </si>
  <si>
    <t xml:space="preserve"> Очистка оголовков дымоходов и вентканалов от наледи и снега</t>
  </si>
  <si>
    <t xml:space="preserve">2 раза в месяц  </t>
  </si>
  <si>
    <t>Очистка внутреннего водостока</t>
  </si>
  <si>
    <t>водосток</t>
  </si>
  <si>
    <t>Очистка водостоков от наледи</t>
  </si>
  <si>
    <t>Очистка  от мусора</t>
  </si>
  <si>
    <t>Ремонт групповых щитков на лестничной клетке без ремонта автоматов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</si>
  <si>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</si>
  <si>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</si>
  <si>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</si>
  <si>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</si>
  <si>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</si>
  <si>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</si>
  <si>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</si>
  <si>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</si>
  <si>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</si>
  <si>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</si>
  <si>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</si>
  <si>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</si>
  <si>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3 раза в год</t>
  </si>
  <si>
    <t>смета</t>
  </si>
  <si>
    <t>1 м</t>
  </si>
  <si>
    <t xml:space="preserve">Смена сгонов у трубопроводов диаметром до 20 мм </t>
  </si>
  <si>
    <t>1 сгон</t>
  </si>
  <si>
    <t>5 этажей, 6 подъездов</t>
  </si>
  <si>
    <t>Стоимость (руб.)</t>
  </si>
  <si>
    <t>договор</t>
  </si>
  <si>
    <t>ТО внутридомового газ.оборудования</t>
  </si>
  <si>
    <t>Смена арматуры - вентилей и клапанов обратных муфтовых диаметром до 20 мм</t>
  </si>
  <si>
    <t>1 шт</t>
  </si>
  <si>
    <t>Баланс выполненных работ на 01.01.2016 г. ( -долг за предприятием, +долг за населением)</t>
  </si>
  <si>
    <t>Внеплановый осмотр электросетей, арматуры и электрооборудования на лестничных клетках</t>
  </si>
  <si>
    <t>Смена трубопроводов на металл-полимерные трубы д=20</t>
  </si>
  <si>
    <t>калькуляция</t>
  </si>
  <si>
    <t>Прочистка засоров ГВС, XВC</t>
  </si>
  <si>
    <t>3м</t>
  </si>
  <si>
    <t>Начислено за содержание и текущий ремонт за 2016  г.</t>
  </si>
  <si>
    <t>Выполнено работ по текущему ремонту за 2016 г.</t>
  </si>
  <si>
    <t>Фактически оплачено за 2016 г.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</si>
  <si>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Космонавтов, 8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2016 год</t>
    </r>
  </si>
  <si>
    <t>С учетом показателя инфляции (К=1,094)</t>
  </si>
  <si>
    <t>Выполнено работ по содержанию за 2016 г.</t>
  </si>
  <si>
    <t>Смена дверных приборов - петли</t>
  </si>
  <si>
    <t>Подключение и отключение сварочного аппарата</t>
  </si>
  <si>
    <t xml:space="preserve">Демонтаж козырьков </t>
  </si>
  <si>
    <t>тыс.руб.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</si>
  <si>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</si>
  <si>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</si>
  <si>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</si>
  <si>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Вывоз смета, травы, ветвей и т.п.- м/ч</t>
  </si>
  <si>
    <t>Сдвигание снега в дни снегопада (крыльца, тротуары)</t>
  </si>
  <si>
    <t xml:space="preserve">Подметание снега с тротуара, крылец, конт. площадок </t>
  </si>
  <si>
    <t xml:space="preserve">Пескопосыпка территории: крыльца и тротуары </t>
  </si>
  <si>
    <t>Стоимость песка -100м2-0,002м3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</si>
  <si>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</si>
  <si>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Очистка края кровли от слежавшегося снега со сбрасыванием сосулек (10% от S кровли и козырьки)</t>
  </si>
  <si>
    <t>Ремонт и регулировка доводчика (без стоимости доводчика)</t>
  </si>
  <si>
    <t>1шт.</t>
  </si>
  <si>
    <t>Ремонт силового предохранительного шкафа (без стоимости материалов)</t>
  </si>
  <si>
    <t>Смена дверных приборов (замки навесные)</t>
  </si>
  <si>
    <t>Ремонт отдельными местами рулонного покрытия, промазка битумными составами отдельными местами рулонного покрытия, замена 2 слоев.</t>
  </si>
  <si>
    <t>10 м2</t>
  </si>
  <si>
    <t>Смена полиэтиленовых канализационных труб диаметром до 100 мм</t>
  </si>
  <si>
    <t>счёт</t>
  </si>
  <si>
    <t>Переход чугун-пластик Ду 110 с манжетой</t>
  </si>
  <si>
    <t>Патрубок компенсационный 100</t>
  </si>
  <si>
    <t xml:space="preserve">Герметизация стыков трубопроводов    </t>
  </si>
  <si>
    <t>1 место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</si>
  <si>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</si>
  <si>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</si>
  <si>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</si>
  <si>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</si>
  <si>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</si>
  <si>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</si>
  <si>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</si>
  <si>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</si>
  <si>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</si>
  <si>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</si>
  <si>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</si>
  <si>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</si>
  <si>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</si>
  <si>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</si>
  <si>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55-003</t>
  </si>
  <si>
    <t>ТЕР 54-013</t>
  </si>
  <si>
    <t>ТЕР 54-003</t>
  </si>
  <si>
    <t>ТЕР 54-022</t>
  </si>
  <si>
    <t>ТЕР 54-025</t>
  </si>
  <si>
    <t>ТЕР 42-002</t>
  </si>
  <si>
    <t>ТЕР 42-007</t>
  </si>
  <si>
    <t>ТЕР 42-009</t>
  </si>
  <si>
    <t>ТЕР 42-010</t>
  </si>
  <si>
    <t>ТЕР 42-011</t>
  </si>
  <si>
    <t>ТЕР 42-013</t>
  </si>
  <si>
    <t>ТЕР 42-012</t>
  </si>
  <si>
    <t>ТЕР 42-014</t>
  </si>
  <si>
    <t xml:space="preserve">пр.ТЕР 54-041 </t>
  </si>
  <si>
    <t>ТЕР 31-066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</si>
  <si>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</si>
  <si>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</si>
  <si>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</si>
  <si>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</si>
  <si>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</si>
  <si>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</si>
  <si>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</si>
  <si>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</si>
  <si>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33-043</t>
  </si>
  <si>
    <t>ТЕР 33-049</t>
  </si>
  <si>
    <t>ТЕР 32-101</t>
  </si>
  <si>
    <t>ТЕР 15-013</t>
  </si>
  <si>
    <t>ТЕР 33-060</t>
  </si>
  <si>
    <t>ТЕР 33-030</t>
  </si>
  <si>
    <t>ТЕР 33-032</t>
  </si>
  <si>
    <t>ТЕР 32-027</t>
  </si>
  <si>
    <t>ТЕР 31-009</t>
  </si>
  <si>
    <t>ТЕР 17-014</t>
  </si>
  <si>
    <t>ТЕР 2-1-1б</t>
  </si>
  <si>
    <t>ТЕР 2-1-1а</t>
  </si>
  <si>
    <t>ТЕР 15-051</t>
  </si>
  <si>
    <t>ТЕР 32-083</t>
  </si>
  <si>
    <t>пр.ТЕР 2-2-1-2-17</t>
  </si>
  <si>
    <t>Смена трубопроводов на полипропиленовые трубы PN25 диаметром 25 мм</t>
  </si>
  <si>
    <t>Смена ламп ДРЛ</t>
  </si>
  <si>
    <t>Работа автовышки</t>
  </si>
  <si>
    <t>маш/час</t>
  </si>
  <si>
    <t>пр.ТЕР 31-009</t>
  </si>
  <si>
    <t xml:space="preserve">Смена сосков у трубопроводов диаметром до 20 мм 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</si>
  <si>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</si>
  <si>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</si>
  <si>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ТЕР 2-2-1-2-7</t>
  </si>
  <si>
    <t>Внеплановая проверка дымоходов</t>
  </si>
  <si>
    <t>брусок</t>
  </si>
  <si>
    <t>пр.ТЕР 14-001</t>
  </si>
  <si>
    <t>Смена бруса у входной двери (IV подъезд)</t>
  </si>
  <si>
    <t>пр.ТЕР 15-006</t>
  </si>
  <si>
    <t>Ремонт дверных полотен</t>
  </si>
  <si>
    <t>Внеплановая проверка вентканалов</t>
  </si>
  <si>
    <t>Смена дверных приборов - ручки-скобы</t>
  </si>
  <si>
    <t>ТЕР 15-015</t>
  </si>
  <si>
    <t>Смена дверных приборов - проушины</t>
  </si>
  <si>
    <t>пр.ТЕР 15-013</t>
  </si>
  <si>
    <t>Смена трубопроводов на полипропиленовые трубы PN20 диаметром 25 мм</t>
  </si>
  <si>
    <t>Очистка фановой трубы от наледи</t>
  </si>
  <si>
    <t>Просроченная задолженность по Вашему дому по статье "Содержание и текущий ремонт МКД" на конец декабря 2016 г., составляет:</t>
  </si>
  <si>
    <t>Баланс выполненных работ на 01.01.2017 г. ( -долг за предприятием, +долг за населением)</t>
  </si>
  <si>
    <t>пр.ТЕР 32-098</t>
  </si>
  <si>
    <t>Устройство хомута диаметром до 50 мм</t>
  </si>
  <si>
    <t>место</t>
  </si>
  <si>
    <t>Манжета 110 мм</t>
  </si>
  <si>
    <r>
      <t>Переход 110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50</t>
    </r>
  </si>
  <si>
    <r>
      <t>Тройник Д</t>
    </r>
    <r>
      <rPr>
        <sz val="8"/>
        <rFont val="Arial"/>
        <family val="2"/>
        <charset val="204"/>
      </rPr>
      <t>у</t>
    </r>
    <r>
      <rPr>
        <sz val="10"/>
        <rFont val="Arial"/>
        <family val="2"/>
        <charset val="204"/>
      </rPr>
      <t>-100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</si>
</sst>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41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12" borderId="3" xfId="0" applyNumberFormat="1" applyFont="1" applyFill="1" applyBorder="1" applyAlignment="1" applyProtection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3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4" fontId="1" fillId="8" borderId="1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4" fontId="3" fillId="13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0" borderId="12" xfId="0" applyFont="1" applyBorder="1" applyAlignment="1">
      <alignment horizontal="center" vertical="center" wrapText="1"/>
    </xf>
    <xf numFmtId="0" fontId="18" fillId="0" borderId="0" xfId="0" applyFont="1" applyAlignment="1"/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4" borderId="12" xfId="0" applyNumberFormat="1" applyFont="1" applyFill="1" applyBorder="1" applyAlignment="1" applyProtection="1">
      <alignment horizontal="center" vertical="center" wrapText="1"/>
    </xf>
    <xf numFmtId="0" fontId="1" fillId="4" borderId="12" xfId="0" applyNumberFormat="1" applyFont="1" applyFill="1" applyBorder="1" applyAlignment="1" applyProtection="1">
      <alignment horizontal="left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0" fontId="17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5" borderId="19" xfId="0" applyFont="1" applyFill="1" applyBorder="1"/>
    <xf numFmtId="0" fontId="1" fillId="4" borderId="20" xfId="0" applyFont="1" applyFill="1" applyBorder="1" applyAlignment="1">
      <alignment horizontal="center" vertical="center"/>
    </xf>
    <xf numFmtId="0" fontId="1" fillId="4" borderId="19" xfId="0" applyFont="1" applyFill="1" applyBorder="1" applyAlignment="1" applyProtection="1">
      <alignment horizontal="center" vertical="center" wrapText="1"/>
    </xf>
    <xf numFmtId="0" fontId="1" fillId="0" borderId="3" xfId="0" applyFont="1" applyBorder="1"/>
    <xf numFmtId="4" fontId="1" fillId="2" borderId="2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3" xfId="0" applyNumberFormat="1" applyFont="1" applyFill="1" applyBorder="1" applyAlignment="1" applyProtection="1">
      <alignment horizontal="left" vertical="center"/>
    </xf>
    <xf numFmtId="0" fontId="17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B139"/>
  <sheetViews>
    <sheetView tabSelected="1" view="pageBreakPreview" topLeftCell="D1" zoomScaleNormal="75" zoomScaleSheetLayoutView="100" workbookViewId="0">
      <pane ySplit="7" topLeftCell="A86" activePane="bottomLeft" state="frozen"/>
      <selection activeCell="B1" sqref="B1"/>
      <selection pane="bottomLeft" activeCell="O91" sqref="O91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20" width="9.85546875" customWidth="1"/>
    <col min="21" max="21" width="12.28515625" customWidth="1"/>
  </cols>
  <sheetData>
    <row r="1" spans="1:21" ht="14.25" customHeight="1">
      <c r="A1" s="143"/>
    </row>
    <row r="3" spans="1:21" ht="18">
      <c r="A3" s="122"/>
      <c r="B3" s="171" t="s">
        <v>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68"/>
      <c r="N3" s="68"/>
      <c r="O3" s="68"/>
      <c r="P3" s="68"/>
      <c r="Q3" s="68"/>
      <c r="R3" s="68"/>
      <c r="S3" s="68"/>
      <c r="T3" s="68"/>
      <c r="U3" s="68"/>
    </row>
    <row r="4" spans="1:21" ht="33.75" customHeight="1">
      <c r="A4" s="68"/>
      <c r="B4" s="172" t="s">
        <v>1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68"/>
      <c r="N4" s="68"/>
      <c r="O4" s="68"/>
      <c r="P4" s="68"/>
      <c r="Q4" s="68"/>
      <c r="R4" s="68"/>
      <c r="S4" s="68"/>
      <c r="T4" s="68"/>
      <c r="U4" s="68"/>
    </row>
    <row r="5" spans="1:21" ht="18">
      <c r="A5" s="68"/>
      <c r="B5" s="172" t="s">
        <v>156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68"/>
      <c r="N5" s="68"/>
      <c r="O5" s="68"/>
      <c r="P5" s="68"/>
      <c r="Q5" s="68"/>
      <c r="R5" s="68"/>
      <c r="S5" s="68"/>
      <c r="T5" s="68"/>
      <c r="U5" s="68"/>
    </row>
    <row r="6" spans="1:21" ht="15">
      <c r="A6" s="68"/>
      <c r="B6" s="173" t="s">
        <v>141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68"/>
      <c r="N6" s="68"/>
      <c r="O6" s="68"/>
      <c r="P6" s="68"/>
      <c r="Q6" s="68"/>
      <c r="R6" s="68"/>
      <c r="S6" s="68"/>
      <c r="T6" s="68"/>
      <c r="U6" s="68"/>
    </row>
    <row r="7" spans="1:21" ht="54.75" customHeight="1">
      <c r="A7" s="144" t="s">
        <v>2</v>
      </c>
      <c r="B7" s="145" t="s">
        <v>3</v>
      </c>
      <c r="C7" s="145" t="s">
        <v>4</v>
      </c>
      <c r="D7" s="145" t="s">
        <v>5</v>
      </c>
      <c r="E7" s="145" t="s">
        <v>6</v>
      </c>
      <c r="F7" s="145" t="s">
        <v>7</v>
      </c>
      <c r="G7" s="145" t="s">
        <v>8</v>
      </c>
      <c r="H7" s="146" t="s">
        <v>9</v>
      </c>
      <c r="I7" s="26" t="s">
        <v>124</v>
      </c>
      <c r="J7" s="26" t="s">
        <v>125</v>
      </c>
      <c r="K7" s="26" t="s">
        <v>126</v>
      </c>
      <c r="L7" s="26" t="s">
        <v>127</v>
      </c>
      <c r="M7" s="26" t="s">
        <v>128</v>
      </c>
      <c r="N7" s="26" t="s">
        <v>129</v>
      </c>
      <c r="O7" s="26" t="s">
        <v>130</v>
      </c>
      <c r="P7" s="26" t="s">
        <v>131</v>
      </c>
      <c r="Q7" s="26" t="s">
        <v>132</v>
      </c>
      <c r="R7" s="26" t="s">
        <v>133</v>
      </c>
      <c r="S7" s="26" t="s">
        <v>134</v>
      </c>
      <c r="T7" s="26" t="s">
        <v>135</v>
      </c>
      <c r="U7" s="26" t="s">
        <v>142</v>
      </c>
    </row>
    <row r="8" spans="1:21">
      <c r="A8" s="147">
        <v>1</v>
      </c>
      <c r="B8" s="7">
        <v>2</v>
      </c>
      <c r="C8" s="27">
        <v>3</v>
      </c>
      <c r="D8" s="7">
        <v>4</v>
      </c>
      <c r="E8" s="7">
        <v>5</v>
      </c>
      <c r="F8" s="27">
        <v>6</v>
      </c>
      <c r="G8" s="27">
        <v>7</v>
      </c>
      <c r="H8" s="28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</row>
    <row r="9" spans="1:21" ht="38.25">
      <c r="A9" s="147"/>
      <c r="B9" s="9" t="s">
        <v>10</v>
      </c>
      <c r="C9" s="27"/>
      <c r="D9" s="10"/>
      <c r="E9" s="10"/>
      <c r="F9" s="27"/>
      <c r="G9" s="27"/>
      <c r="H9" s="30"/>
      <c r="I9" s="31"/>
      <c r="J9" s="31"/>
      <c r="K9" s="31"/>
      <c r="L9" s="31"/>
      <c r="M9" s="32"/>
      <c r="N9" s="33"/>
      <c r="O9" s="33"/>
      <c r="P9" s="33"/>
      <c r="Q9" s="33"/>
      <c r="R9" s="33"/>
      <c r="S9" s="33"/>
      <c r="T9" s="33"/>
      <c r="U9" s="33"/>
    </row>
    <row r="10" spans="1:21">
      <c r="A10" s="147"/>
      <c r="B10" s="9" t="s">
        <v>11</v>
      </c>
      <c r="C10" s="27"/>
      <c r="D10" s="10"/>
      <c r="E10" s="10"/>
      <c r="F10" s="27"/>
      <c r="G10" s="27"/>
      <c r="H10" s="30"/>
      <c r="I10" s="31"/>
      <c r="J10" s="31"/>
      <c r="K10" s="31"/>
      <c r="L10" s="31"/>
      <c r="M10" s="32"/>
      <c r="N10" s="33"/>
      <c r="O10" s="33"/>
      <c r="P10" s="33"/>
      <c r="Q10" s="33"/>
      <c r="R10" s="33"/>
      <c r="S10" s="33"/>
      <c r="T10" s="33"/>
      <c r="U10" s="33"/>
    </row>
    <row r="11" spans="1:21" ht="25.5">
      <c r="A11" s="147" t="s">
        <v>185</v>
      </c>
      <c r="B11" s="10" t="s">
        <v>12</v>
      </c>
      <c r="C11" s="27" t="s">
        <v>13</v>
      </c>
      <c r="D11" s="10" t="s">
        <v>14</v>
      </c>
      <c r="E11" s="34">
        <v>95.04</v>
      </c>
      <c r="F11" s="35">
        <f>SUM(E11*156/100)</f>
        <v>148.26240000000001</v>
      </c>
      <c r="G11" s="35">
        <v>187.48</v>
      </c>
      <c r="H11" s="36">
        <f t="shared" ref="H11:H19" si="0">SUM(F11*G11/1000)</f>
        <v>27.796234752</v>
      </c>
      <c r="I11" s="37">
        <f>F11/12*G11</f>
        <v>2316.3528960000003</v>
      </c>
      <c r="J11" s="37">
        <f>F11/12*G11</f>
        <v>2316.3528960000003</v>
      </c>
      <c r="K11" s="37">
        <f>F11/12*G11</f>
        <v>2316.3528960000003</v>
      </c>
      <c r="L11" s="37">
        <f>F11/12*G11</f>
        <v>2316.3528960000003</v>
      </c>
      <c r="M11" s="37">
        <f>F11/12*G11</f>
        <v>2316.3528960000003</v>
      </c>
      <c r="N11" s="37">
        <f>F11/12*G11</f>
        <v>2316.3528960000003</v>
      </c>
      <c r="O11" s="37">
        <f>F11/12*G11</f>
        <v>2316.3528960000003</v>
      </c>
      <c r="P11" s="37">
        <f>F11/12*G11</f>
        <v>2316.3528960000003</v>
      </c>
      <c r="Q11" s="37">
        <f>F11/12*G11</f>
        <v>2316.3528960000003</v>
      </c>
      <c r="R11" s="37">
        <f>F11/12*G11</f>
        <v>2316.3528960000003</v>
      </c>
      <c r="S11" s="37">
        <f>F11/12*G11</f>
        <v>2316.3528960000003</v>
      </c>
      <c r="T11" s="37">
        <f>F11/12*G11</f>
        <v>2316.3528960000003</v>
      </c>
      <c r="U11" s="37">
        <f>SUM(I11:T11)</f>
        <v>27796.234752000004</v>
      </c>
    </row>
    <row r="12" spans="1:21" ht="25.5">
      <c r="A12" s="147" t="s">
        <v>185</v>
      </c>
      <c r="B12" s="10" t="s">
        <v>15</v>
      </c>
      <c r="C12" s="27" t="s">
        <v>13</v>
      </c>
      <c r="D12" s="10" t="s">
        <v>16</v>
      </c>
      <c r="E12" s="34">
        <v>380.16</v>
      </c>
      <c r="F12" s="35">
        <f>SUM(E12*104/100)</f>
        <v>395.3664</v>
      </c>
      <c r="G12" s="35">
        <v>187.48</v>
      </c>
      <c r="H12" s="36">
        <f t="shared" si="0"/>
        <v>74.123292671999991</v>
      </c>
      <c r="I12" s="37">
        <f>F12/12*G12</f>
        <v>6176.9410559999997</v>
      </c>
      <c r="J12" s="37">
        <f>F12/12*G12</f>
        <v>6176.9410559999997</v>
      </c>
      <c r="K12" s="37">
        <f>F12/12*G12</f>
        <v>6176.9410559999997</v>
      </c>
      <c r="L12" s="37">
        <f>F12/12*G12</f>
        <v>6176.9410559999997</v>
      </c>
      <c r="M12" s="37">
        <f>F12/12*G12</f>
        <v>6176.9410559999997</v>
      </c>
      <c r="N12" s="37">
        <f>F12/12*G12</f>
        <v>6176.9410559999997</v>
      </c>
      <c r="O12" s="37">
        <f>F12/12*G12</f>
        <v>6176.9410559999997</v>
      </c>
      <c r="P12" s="37">
        <f>F12/12*G12</f>
        <v>6176.9410559999997</v>
      </c>
      <c r="Q12" s="37">
        <f>F12/12*G12</f>
        <v>6176.9410559999997</v>
      </c>
      <c r="R12" s="37">
        <f>F12/12*G12</f>
        <v>6176.9410559999997</v>
      </c>
      <c r="S12" s="37">
        <f>F12/12*G12</f>
        <v>6176.9410559999997</v>
      </c>
      <c r="T12" s="37">
        <f>F12/12*G12</f>
        <v>6176.9410559999997</v>
      </c>
      <c r="U12" s="37">
        <f t="shared" ref="U12:U19" si="1">SUM(I12:T12)</f>
        <v>74123.292671999981</v>
      </c>
    </row>
    <row r="13" spans="1:21" ht="25.5">
      <c r="A13" s="147" t="s">
        <v>186</v>
      </c>
      <c r="B13" s="10" t="s">
        <v>17</v>
      </c>
      <c r="C13" s="27" t="s">
        <v>13</v>
      </c>
      <c r="D13" s="10" t="s">
        <v>18</v>
      </c>
      <c r="E13" s="34">
        <f>SUM(E11+E12)</f>
        <v>475.20000000000005</v>
      </c>
      <c r="F13" s="35">
        <f>SUM(E13*24/100)</f>
        <v>114.04800000000002</v>
      </c>
      <c r="G13" s="35">
        <v>539.30999999999995</v>
      </c>
      <c r="H13" s="36">
        <f t="shared" si="0"/>
        <v>61.507226880000005</v>
      </c>
      <c r="I13" s="37">
        <f>F13/12*G13</f>
        <v>5125.6022400000002</v>
      </c>
      <c r="J13" s="37">
        <f>F13/12*G13</f>
        <v>5125.6022400000002</v>
      </c>
      <c r="K13" s="37">
        <f>F13/12*G13</f>
        <v>5125.6022400000002</v>
      </c>
      <c r="L13" s="37">
        <f>F13/12*G13</f>
        <v>5125.6022400000002</v>
      </c>
      <c r="M13" s="37">
        <f>F13/12*G13</f>
        <v>5125.6022400000002</v>
      </c>
      <c r="N13" s="37">
        <f>F13/12*G13</f>
        <v>5125.6022400000002</v>
      </c>
      <c r="O13" s="37">
        <f>F13/12*G13</f>
        <v>5125.6022400000002</v>
      </c>
      <c r="P13" s="37">
        <f>F13/12*G13</f>
        <v>5125.6022400000002</v>
      </c>
      <c r="Q13" s="37">
        <f>F13/12*G13</f>
        <v>5125.6022400000002</v>
      </c>
      <c r="R13" s="37">
        <f>F13/12*G13</f>
        <v>5125.6022400000002</v>
      </c>
      <c r="S13" s="37">
        <f>F13/12*G13</f>
        <v>5125.6022400000002</v>
      </c>
      <c r="T13" s="37">
        <f>F13/12*G13</f>
        <v>5125.6022400000002</v>
      </c>
      <c r="U13" s="37">
        <f t="shared" si="1"/>
        <v>61507.226880000002</v>
      </c>
    </row>
    <row r="14" spans="1:21">
      <c r="A14" s="147" t="s">
        <v>187</v>
      </c>
      <c r="B14" s="10" t="s">
        <v>19</v>
      </c>
      <c r="C14" s="27" t="s">
        <v>20</v>
      </c>
      <c r="D14" s="10" t="s">
        <v>99</v>
      </c>
      <c r="E14" s="34">
        <v>93.4</v>
      </c>
      <c r="F14" s="35">
        <f>SUM(E14/10)</f>
        <v>9.34</v>
      </c>
      <c r="G14" s="35">
        <v>181.9</v>
      </c>
      <c r="H14" s="36">
        <f t="shared" si="0"/>
        <v>1.6989460000000001</v>
      </c>
      <c r="I14" s="37">
        <v>0</v>
      </c>
      <c r="J14" s="37">
        <v>0</v>
      </c>
      <c r="K14" s="37">
        <v>0</v>
      </c>
      <c r="L14" s="37">
        <v>0</v>
      </c>
      <c r="M14" s="37">
        <f>F14/2*G14</f>
        <v>849.47300000000007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f t="shared" si="1"/>
        <v>849.47300000000007</v>
      </c>
    </row>
    <row r="15" spans="1:21">
      <c r="A15" s="147" t="s">
        <v>188</v>
      </c>
      <c r="B15" s="10" t="s">
        <v>21</v>
      </c>
      <c r="C15" s="27" t="s">
        <v>13</v>
      </c>
      <c r="D15" s="10" t="s">
        <v>51</v>
      </c>
      <c r="E15" s="34">
        <v>43.2</v>
      </c>
      <c r="F15" s="35">
        <f>SUM(E15*2/100)</f>
        <v>0.8640000000000001</v>
      </c>
      <c r="G15" s="35">
        <v>232.91</v>
      </c>
      <c r="H15" s="36">
        <f t="shared" si="0"/>
        <v>0.20123424000000004</v>
      </c>
      <c r="I15" s="37">
        <v>0</v>
      </c>
      <c r="J15" s="37">
        <v>0</v>
      </c>
      <c r="K15" s="37">
        <v>0</v>
      </c>
      <c r="L15" s="37">
        <v>0</v>
      </c>
      <c r="M15" s="37">
        <f>F15/2*G15</f>
        <v>100.61712000000001</v>
      </c>
      <c r="N15" s="37">
        <v>0</v>
      </c>
      <c r="O15" s="37">
        <v>0</v>
      </c>
      <c r="P15" s="37">
        <v>0</v>
      </c>
      <c r="Q15" s="37">
        <f>F15/2*G15</f>
        <v>100.61712000000001</v>
      </c>
      <c r="R15" s="37">
        <v>0</v>
      </c>
      <c r="S15" s="37">
        <v>0</v>
      </c>
      <c r="T15" s="37">
        <v>0</v>
      </c>
      <c r="U15" s="37">
        <f t="shared" si="1"/>
        <v>201.23424000000003</v>
      </c>
    </row>
    <row r="16" spans="1:21">
      <c r="A16" s="147" t="s">
        <v>189</v>
      </c>
      <c r="B16" s="10" t="s">
        <v>22</v>
      </c>
      <c r="C16" s="27" t="s">
        <v>13</v>
      </c>
      <c r="D16" s="10" t="s">
        <v>51</v>
      </c>
      <c r="E16" s="34">
        <v>10.08</v>
      </c>
      <c r="F16" s="35">
        <f>SUM(E16*2/100)</f>
        <v>0.2016</v>
      </c>
      <c r="G16" s="35">
        <v>231.03</v>
      </c>
      <c r="H16" s="36">
        <f t="shared" si="0"/>
        <v>4.6575648000000004E-2</v>
      </c>
      <c r="I16" s="37">
        <v>0</v>
      </c>
      <c r="J16" s="37">
        <v>0</v>
      </c>
      <c r="K16" s="37">
        <v>0</v>
      </c>
      <c r="L16" s="37">
        <v>0</v>
      </c>
      <c r="M16" s="37">
        <f>F16/2*G16</f>
        <v>23.287824000000001</v>
      </c>
      <c r="N16" s="37">
        <v>0</v>
      </c>
      <c r="O16" s="37">
        <v>0</v>
      </c>
      <c r="P16" s="37">
        <v>0</v>
      </c>
      <c r="Q16" s="37">
        <f>F16/2*G16</f>
        <v>23.287824000000001</v>
      </c>
      <c r="R16" s="37">
        <v>0</v>
      </c>
      <c r="S16" s="37">
        <v>0</v>
      </c>
      <c r="T16" s="37">
        <v>0</v>
      </c>
      <c r="U16" s="37">
        <f t="shared" si="1"/>
        <v>46.575648000000001</v>
      </c>
    </row>
    <row r="17" spans="1:21">
      <c r="A17" s="147" t="s">
        <v>190</v>
      </c>
      <c r="B17" s="10" t="s">
        <v>23</v>
      </c>
      <c r="C17" s="27" t="s">
        <v>24</v>
      </c>
      <c r="D17" s="10" t="s">
        <v>99</v>
      </c>
      <c r="E17" s="34">
        <v>642.6</v>
      </c>
      <c r="F17" s="35">
        <f>SUM(E17/100)</f>
        <v>6.4260000000000002</v>
      </c>
      <c r="G17" s="35">
        <v>287.83999999999997</v>
      </c>
      <c r="H17" s="36">
        <f t="shared" si="0"/>
        <v>1.8496598399999997</v>
      </c>
      <c r="I17" s="37">
        <v>0</v>
      </c>
      <c r="J17" s="37">
        <v>0</v>
      </c>
      <c r="K17" s="37">
        <v>0</v>
      </c>
      <c r="L17" s="37">
        <v>0</v>
      </c>
      <c r="M17" s="37">
        <f t="shared" ref="M17:M19" si="2">F17*G17</f>
        <v>1849.6598399999998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f t="shared" si="1"/>
        <v>1849.6598399999998</v>
      </c>
    </row>
    <row r="18" spans="1:21">
      <c r="A18" s="147" t="s">
        <v>191</v>
      </c>
      <c r="B18" s="10" t="s">
        <v>25</v>
      </c>
      <c r="C18" s="27" t="s">
        <v>24</v>
      </c>
      <c r="D18" s="10" t="s">
        <v>99</v>
      </c>
      <c r="E18" s="39">
        <v>35.28</v>
      </c>
      <c r="F18" s="35">
        <f>SUM(E18/100)</f>
        <v>0.3528</v>
      </c>
      <c r="G18" s="35">
        <v>47.35</v>
      </c>
      <c r="H18" s="36">
        <f t="shared" si="0"/>
        <v>1.6705080000000004E-2</v>
      </c>
      <c r="I18" s="37">
        <v>0</v>
      </c>
      <c r="J18" s="37">
        <v>0</v>
      </c>
      <c r="K18" s="37">
        <v>0</v>
      </c>
      <c r="L18" s="37">
        <v>0</v>
      </c>
      <c r="M18" s="37">
        <f t="shared" si="2"/>
        <v>16.705080000000002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f t="shared" si="1"/>
        <v>16.705080000000002</v>
      </c>
    </row>
    <row r="19" spans="1:21">
      <c r="A19" s="147" t="s">
        <v>192</v>
      </c>
      <c r="B19" s="10" t="s">
        <v>26</v>
      </c>
      <c r="C19" s="27" t="s">
        <v>24</v>
      </c>
      <c r="D19" s="10" t="s">
        <v>99</v>
      </c>
      <c r="E19" s="34">
        <v>28.8</v>
      </c>
      <c r="F19" s="35">
        <f>SUM(E19/100)</f>
        <v>0.28800000000000003</v>
      </c>
      <c r="G19" s="35">
        <v>556.74</v>
      </c>
      <c r="H19" s="36">
        <f t="shared" si="0"/>
        <v>0.16034112000000003</v>
      </c>
      <c r="I19" s="37">
        <v>0</v>
      </c>
      <c r="J19" s="37">
        <v>0</v>
      </c>
      <c r="K19" s="37">
        <v>0</v>
      </c>
      <c r="L19" s="37">
        <v>0</v>
      </c>
      <c r="M19" s="37">
        <f t="shared" si="2"/>
        <v>160.34112000000002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f t="shared" si="1"/>
        <v>160.34112000000002</v>
      </c>
    </row>
    <row r="20" spans="1:21" s="18" customFormat="1">
      <c r="A20" s="148"/>
      <c r="B20" s="19" t="s">
        <v>27</v>
      </c>
      <c r="C20" s="40"/>
      <c r="D20" s="19"/>
      <c r="E20" s="41"/>
      <c r="F20" s="42"/>
      <c r="G20" s="42"/>
      <c r="H20" s="43">
        <f>SUM(H11:H19)</f>
        <v>167.40021623199996</v>
      </c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>
        <f>SUM(U11:U19)</f>
        <v>166550.74323200001</v>
      </c>
    </row>
    <row r="21" spans="1:21">
      <c r="A21" s="147"/>
      <c r="B21" s="11" t="s">
        <v>28</v>
      </c>
      <c r="C21" s="27"/>
      <c r="D21" s="10"/>
      <c r="E21" s="34"/>
      <c r="F21" s="35"/>
      <c r="G21" s="35"/>
      <c r="H21" s="36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</row>
    <row r="22" spans="1:21" ht="25.5" customHeight="1">
      <c r="A22" s="147" t="s">
        <v>193</v>
      </c>
      <c r="B22" s="10" t="s">
        <v>163</v>
      </c>
      <c r="C22" s="27" t="s">
        <v>30</v>
      </c>
      <c r="D22" s="10" t="s">
        <v>29</v>
      </c>
      <c r="E22" s="35">
        <v>1116.27</v>
      </c>
      <c r="F22" s="35">
        <f>SUM(E22*52/1000)</f>
        <v>58.046039999999998</v>
      </c>
      <c r="G22" s="35">
        <v>166.65</v>
      </c>
      <c r="H22" s="36">
        <f t="shared" ref="H22:H30" si="3">SUM(F22*G22/1000)</f>
        <v>9.6733725659999994</v>
      </c>
      <c r="I22" s="37">
        <v>0</v>
      </c>
      <c r="J22" s="37">
        <v>0</v>
      </c>
      <c r="K22" s="37">
        <v>0</v>
      </c>
      <c r="L22" s="37">
        <v>0</v>
      </c>
      <c r="M22" s="37">
        <f>F22/6*G22</f>
        <v>1612.2287609999998</v>
      </c>
      <c r="N22" s="37">
        <f>F22/6*G22</f>
        <v>1612.2287609999998</v>
      </c>
      <c r="O22" s="37">
        <f>F22/6*G22</f>
        <v>1612.2287609999998</v>
      </c>
      <c r="P22" s="37">
        <f>F22/6*G22</f>
        <v>1612.2287609999998</v>
      </c>
      <c r="Q22" s="37">
        <f>F22/6*G22</f>
        <v>1612.2287609999998</v>
      </c>
      <c r="R22" s="37">
        <f>F22/6*G22</f>
        <v>1612.2287609999998</v>
      </c>
      <c r="S22" s="37">
        <v>0</v>
      </c>
      <c r="T22" s="37">
        <v>0</v>
      </c>
      <c r="U22" s="37">
        <f>SUM(I22:T22)</f>
        <v>9673.372566</v>
      </c>
    </row>
    <row r="23" spans="1:21" ht="38.25" customHeight="1">
      <c r="A23" s="147" t="s">
        <v>194</v>
      </c>
      <c r="B23" s="10" t="s">
        <v>164</v>
      </c>
      <c r="C23" s="27" t="s">
        <v>30</v>
      </c>
      <c r="D23" s="10" t="s">
        <v>31</v>
      </c>
      <c r="E23" s="35">
        <v>89.03</v>
      </c>
      <c r="F23" s="35">
        <f>SUM(E23*78/1000)</f>
        <v>6.9443400000000004</v>
      </c>
      <c r="G23" s="35">
        <v>276.48</v>
      </c>
      <c r="H23" s="36">
        <f t="shared" si="3"/>
        <v>1.9199711232000003</v>
      </c>
      <c r="I23" s="37">
        <v>0</v>
      </c>
      <c r="J23" s="37">
        <v>0</v>
      </c>
      <c r="K23" s="37">
        <v>0</v>
      </c>
      <c r="L23" s="37">
        <v>0</v>
      </c>
      <c r="M23" s="37">
        <f>F23/6*G23</f>
        <v>319.99518720000003</v>
      </c>
      <c r="N23" s="37">
        <f>F23/6*G23</f>
        <v>319.99518720000003</v>
      </c>
      <c r="O23" s="37">
        <f>F23/6*G23</f>
        <v>319.99518720000003</v>
      </c>
      <c r="P23" s="37">
        <f>F23/6*G23</f>
        <v>319.99518720000003</v>
      </c>
      <c r="Q23" s="37">
        <f>F23/6*G23</f>
        <v>319.99518720000003</v>
      </c>
      <c r="R23" s="37">
        <f>F23/6*G23</f>
        <v>319.99518720000003</v>
      </c>
      <c r="S23" s="37">
        <v>0</v>
      </c>
      <c r="T23" s="37">
        <v>0</v>
      </c>
      <c r="U23" s="37">
        <f t="shared" ref="U23:U30" si="4">SUM(I23:T23)</f>
        <v>1919.9711232000004</v>
      </c>
    </row>
    <row r="24" spans="1:21">
      <c r="A24" s="147" t="s">
        <v>195</v>
      </c>
      <c r="B24" s="10" t="s">
        <v>32</v>
      </c>
      <c r="C24" s="27" t="s">
        <v>30</v>
      </c>
      <c r="D24" s="10" t="s">
        <v>33</v>
      </c>
      <c r="E24" s="35">
        <v>1116.27</v>
      </c>
      <c r="F24" s="35">
        <f>SUM(E24/1000)</f>
        <v>1.1162699999999999</v>
      </c>
      <c r="G24" s="35">
        <v>3228.73</v>
      </c>
      <c r="H24" s="36">
        <f t="shared" si="3"/>
        <v>3.6041344370999995</v>
      </c>
      <c r="I24" s="37">
        <v>0</v>
      </c>
      <c r="J24" s="37">
        <v>0</v>
      </c>
      <c r="K24" s="37">
        <v>0</v>
      </c>
      <c r="L24" s="37">
        <v>0</v>
      </c>
      <c r="M24" s="37">
        <f>F24*G24</f>
        <v>3604.1344370999996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f t="shared" si="4"/>
        <v>3604.1344370999996</v>
      </c>
    </row>
    <row r="25" spans="1:21">
      <c r="A25" s="147" t="s">
        <v>199</v>
      </c>
      <c r="B25" s="10" t="s">
        <v>107</v>
      </c>
      <c r="C25" s="27" t="s">
        <v>61</v>
      </c>
      <c r="D25" s="10" t="s">
        <v>36</v>
      </c>
      <c r="E25" s="35">
        <v>6</v>
      </c>
      <c r="F25" s="35">
        <v>9.3000000000000007</v>
      </c>
      <c r="G25" s="35">
        <v>1391.86</v>
      </c>
      <c r="H25" s="36">
        <f>G25*F25/1000</f>
        <v>12.944298</v>
      </c>
      <c r="I25" s="37">
        <v>0</v>
      </c>
      <c r="J25" s="37">
        <v>0</v>
      </c>
      <c r="K25" s="37">
        <v>0</v>
      </c>
      <c r="L25" s="37">
        <v>0</v>
      </c>
      <c r="M25" s="37">
        <f>F25/6*G25</f>
        <v>2157.3829999999998</v>
      </c>
      <c r="N25" s="37">
        <f>F25/6*G25</f>
        <v>2157.3829999999998</v>
      </c>
      <c r="O25" s="37">
        <f>F25/6*G25</f>
        <v>2157.3829999999998</v>
      </c>
      <c r="P25" s="37">
        <f>F25/6*G25</f>
        <v>2157.3829999999998</v>
      </c>
      <c r="Q25" s="37">
        <f>F25/6*G25</f>
        <v>2157.3829999999998</v>
      </c>
      <c r="R25" s="37">
        <f>F25/6*G25</f>
        <v>2157.3829999999998</v>
      </c>
      <c r="S25" s="37">
        <v>0</v>
      </c>
      <c r="T25" s="37">
        <v>0</v>
      </c>
      <c r="U25" s="37">
        <f t="shared" si="4"/>
        <v>12944.297999999999</v>
      </c>
    </row>
    <row r="26" spans="1:21">
      <c r="A26" s="147" t="s">
        <v>196</v>
      </c>
      <c r="B26" s="10" t="s">
        <v>34</v>
      </c>
      <c r="C26" s="27" t="s">
        <v>35</v>
      </c>
      <c r="D26" s="10" t="s">
        <v>36</v>
      </c>
      <c r="E26" s="46">
        <v>0.33333333333333331</v>
      </c>
      <c r="F26" s="35">
        <f>155/3</f>
        <v>51.666666666666664</v>
      </c>
      <c r="G26" s="35">
        <v>60.6</v>
      </c>
      <c r="H26" s="36">
        <f>SUM(G26*155/3/1000)</f>
        <v>3.1309999999999998</v>
      </c>
      <c r="I26" s="37">
        <v>0</v>
      </c>
      <c r="J26" s="37">
        <v>0</v>
      </c>
      <c r="K26" s="37">
        <v>0</v>
      </c>
      <c r="L26" s="37">
        <v>0</v>
      </c>
      <c r="M26" s="37">
        <f>F26/6*G26</f>
        <v>521.83333333333337</v>
      </c>
      <c r="N26" s="37">
        <f>F26/6*G26</f>
        <v>521.83333333333337</v>
      </c>
      <c r="O26" s="37">
        <f>F26/6*G26</f>
        <v>521.83333333333337</v>
      </c>
      <c r="P26" s="37">
        <f>F26/6*G26</f>
        <v>521.83333333333337</v>
      </c>
      <c r="Q26" s="37">
        <f>F26/6*G26</f>
        <v>521.83333333333337</v>
      </c>
      <c r="R26" s="37">
        <f>F26/6*G26</f>
        <v>521.83333333333337</v>
      </c>
      <c r="S26" s="37">
        <v>0</v>
      </c>
      <c r="T26" s="37">
        <v>0</v>
      </c>
      <c r="U26" s="37">
        <f t="shared" si="4"/>
        <v>3131.0000000000005</v>
      </c>
    </row>
    <row r="27" spans="1:21" ht="12.75" customHeight="1">
      <c r="A27" s="147" t="s">
        <v>197</v>
      </c>
      <c r="B27" s="10" t="s">
        <v>37</v>
      </c>
      <c r="C27" s="27" t="s">
        <v>38</v>
      </c>
      <c r="D27" s="10" t="s">
        <v>39</v>
      </c>
      <c r="E27" s="47">
        <v>0.1</v>
      </c>
      <c r="F27" s="35">
        <f>SUM(E27*365)</f>
        <v>36.5</v>
      </c>
      <c r="G27" s="35">
        <v>157.18</v>
      </c>
      <c r="H27" s="36">
        <f t="shared" si="3"/>
        <v>5.737070000000001</v>
      </c>
      <c r="I27" s="37">
        <f>F27/12*G27</f>
        <v>478.08916666666664</v>
      </c>
      <c r="J27" s="37">
        <f>F27/12*G27</f>
        <v>478.08916666666664</v>
      </c>
      <c r="K27" s="37">
        <f>F27/12*G27</f>
        <v>478.08916666666664</v>
      </c>
      <c r="L27" s="37">
        <f>F27/12*G27</f>
        <v>478.08916666666664</v>
      </c>
      <c r="M27" s="37">
        <f>F27/12*G27</f>
        <v>478.08916666666664</v>
      </c>
      <c r="N27" s="37">
        <f>F27/12*G27</f>
        <v>478.08916666666664</v>
      </c>
      <c r="O27" s="37">
        <f>F27/12*G27</f>
        <v>478.08916666666664</v>
      </c>
      <c r="P27" s="37">
        <f>F27/12*G27</f>
        <v>478.08916666666664</v>
      </c>
      <c r="Q27" s="37">
        <f>F27/12*G27</f>
        <v>478.08916666666664</v>
      </c>
      <c r="R27" s="37">
        <f>F27/12*G27</f>
        <v>478.08916666666664</v>
      </c>
      <c r="S27" s="37">
        <f>F27/12*G27</f>
        <v>478.08916666666664</v>
      </c>
      <c r="T27" s="37">
        <f>F27/12*G27</f>
        <v>478.08916666666664</v>
      </c>
      <c r="U27" s="37">
        <f t="shared" si="4"/>
        <v>5737.07</v>
      </c>
    </row>
    <row r="28" spans="1:21" ht="12.75" customHeight="1">
      <c r="A28" s="147" t="s">
        <v>198</v>
      </c>
      <c r="B28" s="10" t="s">
        <v>165</v>
      </c>
      <c r="C28" s="27" t="s">
        <v>38</v>
      </c>
      <c r="D28" s="10" t="s">
        <v>40</v>
      </c>
      <c r="E28" s="34"/>
      <c r="F28" s="35">
        <v>3</v>
      </c>
      <c r="G28" s="35">
        <v>204.52</v>
      </c>
      <c r="H28" s="36">
        <f t="shared" si="3"/>
        <v>0.61356000000000011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f t="shared" si="4"/>
        <v>0</v>
      </c>
    </row>
    <row r="29" spans="1:21" ht="12.75" customHeight="1">
      <c r="A29" s="147" t="s">
        <v>150</v>
      </c>
      <c r="B29" s="10" t="s">
        <v>166</v>
      </c>
      <c r="C29" s="27" t="s">
        <v>41</v>
      </c>
      <c r="D29" s="10" t="s">
        <v>40</v>
      </c>
      <c r="E29" s="34"/>
      <c r="F29" s="35">
        <v>2</v>
      </c>
      <c r="G29" s="35">
        <v>1136.33</v>
      </c>
      <c r="H29" s="36">
        <f t="shared" si="3"/>
        <v>2.2726599999999997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f t="shared" si="4"/>
        <v>0</v>
      </c>
    </row>
    <row r="30" spans="1:21">
      <c r="A30" s="147"/>
      <c r="B30" s="48" t="s">
        <v>42</v>
      </c>
      <c r="C30" s="27" t="s">
        <v>43</v>
      </c>
      <c r="D30" s="48" t="s">
        <v>44</v>
      </c>
      <c r="E30" s="34">
        <v>3931</v>
      </c>
      <c r="F30" s="35">
        <f>SUM(E30*12)</f>
        <v>47172</v>
      </c>
      <c r="G30" s="35">
        <v>5.33</v>
      </c>
      <c r="H30" s="36">
        <f t="shared" si="3"/>
        <v>251.42676</v>
      </c>
      <c r="I30" s="37">
        <f>F30/12*G30</f>
        <v>20952.23</v>
      </c>
      <c r="J30" s="37">
        <f>F30/12*G30</f>
        <v>20952.23</v>
      </c>
      <c r="K30" s="37">
        <f>F30/12*G30</f>
        <v>20952.23</v>
      </c>
      <c r="L30" s="37">
        <f>F30/12*G30</f>
        <v>20952.23</v>
      </c>
      <c r="M30" s="37">
        <f>F30/12*G30</f>
        <v>20952.23</v>
      </c>
      <c r="N30" s="37">
        <f>F30/12*G30</f>
        <v>20952.23</v>
      </c>
      <c r="O30" s="37">
        <f>F30/12*G30</f>
        <v>20952.23</v>
      </c>
      <c r="P30" s="37">
        <f>F30/12*G30</f>
        <v>20952.23</v>
      </c>
      <c r="Q30" s="37">
        <f>F30/12*G30</f>
        <v>20952.23</v>
      </c>
      <c r="R30" s="37">
        <f>F30/12*G30</f>
        <v>20952.23</v>
      </c>
      <c r="S30" s="37">
        <f>F30/12*G30</f>
        <v>20952.23</v>
      </c>
      <c r="T30" s="37">
        <f>F30/12*G30</f>
        <v>20952.23</v>
      </c>
      <c r="U30" s="37">
        <f t="shared" si="4"/>
        <v>251426.76000000004</v>
      </c>
    </row>
    <row r="31" spans="1:21" s="18" customFormat="1">
      <c r="A31" s="148"/>
      <c r="B31" s="19" t="s">
        <v>27</v>
      </c>
      <c r="C31" s="40"/>
      <c r="D31" s="19"/>
      <c r="E31" s="41"/>
      <c r="F31" s="42"/>
      <c r="G31" s="42"/>
      <c r="H31" s="49">
        <f>SUM(H22:H30)</f>
        <v>291.32282612630001</v>
      </c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>
        <f>SUM(U22:U30)</f>
        <v>288436.60612630006</v>
      </c>
    </row>
    <row r="32" spans="1:21">
      <c r="A32" s="147"/>
      <c r="B32" s="11" t="s">
        <v>45</v>
      </c>
      <c r="C32" s="27"/>
      <c r="D32" s="10"/>
      <c r="E32" s="34"/>
      <c r="F32" s="35"/>
      <c r="G32" s="35"/>
      <c r="H32" s="36" t="s">
        <v>44</v>
      </c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</row>
    <row r="33" spans="1:21" ht="12.75" customHeight="1">
      <c r="A33" s="147" t="s">
        <v>150</v>
      </c>
      <c r="B33" s="12" t="s">
        <v>46</v>
      </c>
      <c r="C33" s="27" t="s">
        <v>41</v>
      </c>
      <c r="D33" s="10"/>
      <c r="E33" s="34"/>
      <c r="F33" s="35">
        <v>8</v>
      </c>
      <c r="G33" s="35">
        <v>1632.6</v>
      </c>
      <c r="H33" s="36">
        <f t="shared" ref="H33:H40" si="5">SUM(F33*G33/1000)</f>
        <v>13.060799999999999</v>
      </c>
      <c r="I33" s="37">
        <f>F33/6*G33</f>
        <v>2176.7999999999997</v>
      </c>
      <c r="J33" s="37">
        <f>F33/6*G33</f>
        <v>2176.7999999999997</v>
      </c>
      <c r="K33" s="37">
        <f>F33/6*G33</f>
        <v>2176.7999999999997</v>
      </c>
      <c r="L33" s="37">
        <f>F33/6*G33</f>
        <v>2176.7999999999997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f>F33/6*G33</f>
        <v>2176.7999999999997</v>
      </c>
      <c r="T33" s="37">
        <f>F33/6*G33</f>
        <v>2176.7999999999997</v>
      </c>
      <c r="U33" s="37">
        <f>SUM(I33:T33)</f>
        <v>13060.799999999997</v>
      </c>
    </row>
    <row r="34" spans="1:21">
      <c r="A34" s="149" t="s">
        <v>200</v>
      </c>
      <c r="B34" s="12" t="s">
        <v>111</v>
      </c>
      <c r="C34" s="51" t="s">
        <v>47</v>
      </c>
      <c r="D34" s="10" t="s">
        <v>110</v>
      </c>
      <c r="E34" s="34">
        <v>461.12</v>
      </c>
      <c r="F34" s="50">
        <f>E34*12/1000</f>
        <v>5.5334400000000006</v>
      </c>
      <c r="G34" s="35">
        <v>2247.8000000000002</v>
      </c>
      <c r="H34" s="36">
        <f>G34*F34/1000</f>
        <v>12.438066432000001</v>
      </c>
      <c r="I34" s="37">
        <f>F34/6*G34</f>
        <v>2073.0110720000002</v>
      </c>
      <c r="J34" s="37">
        <f>F34/6*G34</f>
        <v>2073.0110720000002</v>
      </c>
      <c r="K34" s="37">
        <f>F34/6*G34</f>
        <v>2073.0110720000002</v>
      </c>
      <c r="L34" s="37">
        <f>F34/6*G34</f>
        <v>2073.0110720000002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f>F34/6*G34</f>
        <v>2073.0110720000002</v>
      </c>
      <c r="T34" s="37">
        <f>F34/6*G34</f>
        <v>2073.0110720000002</v>
      </c>
      <c r="U34" s="37">
        <f t="shared" ref="U34:U40" si="6">SUM(I34:T34)</f>
        <v>12438.066432000003</v>
      </c>
    </row>
    <row r="35" spans="1:21" ht="25.5">
      <c r="A35" s="149" t="s">
        <v>200</v>
      </c>
      <c r="B35" s="12" t="s">
        <v>167</v>
      </c>
      <c r="C35" s="51" t="s">
        <v>47</v>
      </c>
      <c r="D35" s="10" t="s">
        <v>109</v>
      </c>
      <c r="E35" s="34">
        <v>89.03</v>
      </c>
      <c r="F35" s="50">
        <f>E35*30/1000</f>
        <v>2.6709000000000001</v>
      </c>
      <c r="G35" s="35">
        <v>2247.8000000000002</v>
      </c>
      <c r="H35" s="36">
        <f>G35*F35/1000</f>
        <v>6.003649020000001</v>
      </c>
      <c r="I35" s="37">
        <f>F35/6*G35</f>
        <v>1000.6081700000001</v>
      </c>
      <c r="J35" s="37">
        <f>F35/6*G35</f>
        <v>1000.6081700000001</v>
      </c>
      <c r="K35" s="37">
        <f>F35/6*G35</f>
        <v>1000.6081700000001</v>
      </c>
      <c r="L35" s="37">
        <f>F35/6*G35</f>
        <v>1000.6081700000001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f>F35/6*G35</f>
        <v>1000.6081700000001</v>
      </c>
      <c r="T35" s="37">
        <f>F35/6*G35</f>
        <v>1000.6081700000001</v>
      </c>
      <c r="U35" s="37">
        <f t="shared" si="6"/>
        <v>6003.6490200000007</v>
      </c>
    </row>
    <row r="36" spans="1:21">
      <c r="A36" s="147" t="s">
        <v>150</v>
      </c>
      <c r="B36" s="10" t="s">
        <v>105</v>
      </c>
      <c r="C36" s="27" t="s">
        <v>69</v>
      </c>
      <c r="D36" s="10" t="s">
        <v>40</v>
      </c>
      <c r="E36" s="34"/>
      <c r="F36" s="50">
        <v>135</v>
      </c>
      <c r="G36" s="35">
        <v>213.2</v>
      </c>
      <c r="H36" s="36">
        <f>G36*F36/1000</f>
        <v>28.782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f t="shared" si="6"/>
        <v>0</v>
      </c>
    </row>
    <row r="37" spans="1:21" ht="24.75" customHeight="1">
      <c r="A37" s="147" t="s">
        <v>201</v>
      </c>
      <c r="B37" s="10" t="s">
        <v>168</v>
      </c>
      <c r="C37" s="27" t="s">
        <v>47</v>
      </c>
      <c r="D37" s="10" t="s">
        <v>48</v>
      </c>
      <c r="E37" s="35">
        <v>89.03</v>
      </c>
      <c r="F37" s="50">
        <f>SUM(E37*155/1000)</f>
        <v>13.79965</v>
      </c>
      <c r="G37" s="35">
        <v>374.95</v>
      </c>
      <c r="H37" s="36">
        <f t="shared" si="5"/>
        <v>5.1741787674999999</v>
      </c>
      <c r="I37" s="37">
        <f>F37/6*G37</f>
        <v>862.36312791666671</v>
      </c>
      <c r="J37" s="37">
        <f>F37/6*G37</f>
        <v>862.36312791666671</v>
      </c>
      <c r="K37" s="37">
        <f>F37/6*G37</f>
        <v>862.36312791666671</v>
      </c>
      <c r="L37" s="37">
        <f>F37/6*G37</f>
        <v>862.36312791666671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f>F37/6*G37</f>
        <v>862.36312791666671</v>
      </c>
      <c r="T37" s="37">
        <f>F37/6*G37</f>
        <v>862.36312791666671</v>
      </c>
      <c r="U37" s="37">
        <f t="shared" si="6"/>
        <v>5174.1787675000005</v>
      </c>
    </row>
    <row r="38" spans="1:21" ht="51" customHeight="1">
      <c r="A38" s="147" t="s">
        <v>202</v>
      </c>
      <c r="B38" s="10" t="s">
        <v>171</v>
      </c>
      <c r="C38" s="27" t="s">
        <v>30</v>
      </c>
      <c r="D38" s="10" t="s">
        <v>112</v>
      </c>
      <c r="E38" s="35">
        <v>89.03</v>
      </c>
      <c r="F38" s="50">
        <f>SUM(E38*24/1000)</f>
        <v>2.1367200000000004</v>
      </c>
      <c r="G38" s="35">
        <v>6203.71</v>
      </c>
      <c r="H38" s="36">
        <f t="shared" si="5"/>
        <v>13.255591231200002</v>
      </c>
      <c r="I38" s="37">
        <f>F38/6*G38</f>
        <v>2209.2652052000003</v>
      </c>
      <c r="J38" s="37">
        <f>F38/6*G38</f>
        <v>2209.2652052000003</v>
      </c>
      <c r="K38" s="37">
        <f>F38/6*G38</f>
        <v>2209.2652052000003</v>
      </c>
      <c r="L38" s="37">
        <f>F38/6*G38</f>
        <v>2209.2652052000003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f>F38/6*G38</f>
        <v>2209.2652052000003</v>
      </c>
      <c r="T38" s="37">
        <f>F38/6*G38</f>
        <v>2209.2652052000003</v>
      </c>
      <c r="U38" s="37">
        <f t="shared" si="6"/>
        <v>13255.591231200004</v>
      </c>
    </row>
    <row r="39" spans="1:21" ht="12.75" customHeight="1">
      <c r="A39" s="147" t="s">
        <v>203</v>
      </c>
      <c r="B39" s="10" t="s">
        <v>169</v>
      </c>
      <c r="C39" s="27" t="s">
        <v>30</v>
      </c>
      <c r="D39" s="10" t="s">
        <v>49</v>
      </c>
      <c r="E39" s="35">
        <v>89.03</v>
      </c>
      <c r="F39" s="50">
        <f>SUM(E39*45/1000)</f>
        <v>4.0063500000000003</v>
      </c>
      <c r="G39" s="35">
        <v>458.28</v>
      </c>
      <c r="H39" s="36">
        <f t="shared" si="5"/>
        <v>1.8360300780000001</v>
      </c>
      <c r="I39" s="37">
        <f>F39/6*G39</f>
        <v>306.00501299999996</v>
      </c>
      <c r="J39" s="37">
        <f>F39/6*G39</f>
        <v>306.00501299999996</v>
      </c>
      <c r="K39" s="37">
        <f>F39/6*G39</f>
        <v>306.00501299999996</v>
      </c>
      <c r="L39" s="37">
        <f>F39/6*G39</f>
        <v>306.00501299999996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f>F39/6*G39</f>
        <v>306.00501299999996</v>
      </c>
      <c r="T39" s="37">
        <f>F39/6*G39</f>
        <v>306.00501299999996</v>
      </c>
      <c r="U39" s="37">
        <f t="shared" si="6"/>
        <v>1836.0300779999998</v>
      </c>
    </row>
    <row r="40" spans="1:21" s="1" customFormat="1">
      <c r="A40" s="149"/>
      <c r="B40" s="12" t="s">
        <v>170</v>
      </c>
      <c r="C40" s="51" t="s">
        <v>38</v>
      </c>
      <c r="D40" s="12"/>
      <c r="E40" s="47"/>
      <c r="F40" s="50">
        <v>0.9</v>
      </c>
      <c r="G40" s="50">
        <v>798</v>
      </c>
      <c r="H40" s="36">
        <f t="shared" si="5"/>
        <v>0.71820000000000006</v>
      </c>
      <c r="I40" s="52">
        <f>F40/6*G40</f>
        <v>119.69999999999999</v>
      </c>
      <c r="J40" s="52">
        <f>F40/6*G40</f>
        <v>119.69999999999999</v>
      </c>
      <c r="K40" s="52">
        <f>F40/6*G40</f>
        <v>119.69999999999999</v>
      </c>
      <c r="L40" s="52">
        <f>F40/6*G40</f>
        <v>119.69999999999999</v>
      </c>
      <c r="M40" s="52">
        <v>0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2">
        <f>F40/6*G40</f>
        <v>119.69999999999999</v>
      </c>
      <c r="T40" s="52">
        <f>F40/6*G40</f>
        <v>119.69999999999999</v>
      </c>
      <c r="U40" s="37">
        <f t="shared" si="6"/>
        <v>718.2</v>
      </c>
    </row>
    <row r="41" spans="1:21" s="18" customFormat="1">
      <c r="A41" s="148"/>
      <c r="B41" s="19" t="s">
        <v>27</v>
      </c>
      <c r="C41" s="40"/>
      <c r="D41" s="19"/>
      <c r="E41" s="41"/>
      <c r="F41" s="42" t="s">
        <v>44</v>
      </c>
      <c r="G41" s="42"/>
      <c r="H41" s="49">
        <f>SUM(H33:H40)</f>
        <v>81.268515528699993</v>
      </c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>
        <f>SUM(U33:U40)</f>
        <v>52486.515528699994</v>
      </c>
    </row>
    <row r="42" spans="1:21">
      <c r="A42" s="147"/>
      <c r="B42" s="13" t="s">
        <v>50</v>
      </c>
      <c r="C42" s="27"/>
      <c r="D42" s="10"/>
      <c r="E42" s="34"/>
      <c r="F42" s="35"/>
      <c r="G42" s="35"/>
      <c r="H42" s="36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</row>
    <row r="43" spans="1:21">
      <c r="A43" s="147" t="s">
        <v>204</v>
      </c>
      <c r="B43" s="10" t="s">
        <v>113</v>
      </c>
      <c r="C43" s="27" t="s">
        <v>30</v>
      </c>
      <c r="D43" s="10" t="s">
        <v>51</v>
      </c>
      <c r="E43" s="34">
        <v>1032.5</v>
      </c>
      <c r="F43" s="35">
        <f>SUM(E43*2/1000)</f>
        <v>2.0649999999999999</v>
      </c>
      <c r="G43" s="53">
        <v>908.1</v>
      </c>
      <c r="H43" s="36">
        <f t="shared" ref="H43:H52" si="7">SUM(F43*G43/1000)</f>
        <v>1.8752264999999999</v>
      </c>
      <c r="I43" s="37">
        <v>0</v>
      </c>
      <c r="J43" s="37">
        <v>0</v>
      </c>
      <c r="K43" s="37">
        <v>0</v>
      </c>
      <c r="L43" s="37">
        <v>0</v>
      </c>
      <c r="M43" s="37">
        <f t="shared" ref="M43:M46" si="8">F43/2*G43</f>
        <v>937.61324999999999</v>
      </c>
      <c r="N43" s="37">
        <v>0</v>
      </c>
      <c r="O43" s="37">
        <v>0</v>
      </c>
      <c r="P43" s="37">
        <v>0</v>
      </c>
      <c r="Q43" s="37">
        <f>F43/2*G43</f>
        <v>937.61324999999999</v>
      </c>
      <c r="R43" s="37">
        <v>0</v>
      </c>
      <c r="S43" s="37">
        <v>0</v>
      </c>
      <c r="T43" s="37">
        <v>0</v>
      </c>
      <c r="U43" s="37">
        <f>SUM(I43:T43)</f>
        <v>1875.2265</v>
      </c>
    </row>
    <row r="44" spans="1:21">
      <c r="A44" s="147" t="s">
        <v>205</v>
      </c>
      <c r="B44" s="10" t="s">
        <v>52</v>
      </c>
      <c r="C44" s="27" t="s">
        <v>30</v>
      </c>
      <c r="D44" s="10" t="s">
        <v>51</v>
      </c>
      <c r="E44" s="34">
        <v>132</v>
      </c>
      <c r="F44" s="35">
        <f>E44*2/1000</f>
        <v>0.26400000000000001</v>
      </c>
      <c r="G44" s="53">
        <v>619.46</v>
      </c>
      <c r="H44" s="36">
        <f t="shared" si="7"/>
        <v>0.16353744000000001</v>
      </c>
      <c r="I44" s="37">
        <v>0</v>
      </c>
      <c r="J44" s="37">
        <v>0</v>
      </c>
      <c r="K44" s="37">
        <v>0</v>
      </c>
      <c r="L44" s="37">
        <v>0</v>
      </c>
      <c r="M44" s="37">
        <f t="shared" si="8"/>
        <v>81.768720000000002</v>
      </c>
      <c r="N44" s="37">
        <v>0</v>
      </c>
      <c r="O44" s="37">
        <v>0</v>
      </c>
      <c r="P44" s="37">
        <v>0</v>
      </c>
      <c r="Q44" s="37">
        <f>F44/2*G44</f>
        <v>81.768720000000002</v>
      </c>
      <c r="R44" s="37">
        <v>0</v>
      </c>
      <c r="S44" s="37">
        <v>0</v>
      </c>
      <c r="T44" s="37">
        <v>0</v>
      </c>
      <c r="U44" s="37">
        <f t="shared" ref="U44:U52" si="9">SUM(I44:T44)</f>
        <v>163.53744</v>
      </c>
    </row>
    <row r="45" spans="1:21" ht="12.75" customHeight="1">
      <c r="A45" s="147" t="s">
        <v>206</v>
      </c>
      <c r="B45" s="10" t="s">
        <v>53</v>
      </c>
      <c r="C45" s="27" t="s">
        <v>30</v>
      </c>
      <c r="D45" s="10" t="s">
        <v>51</v>
      </c>
      <c r="E45" s="34">
        <v>4248.22</v>
      </c>
      <c r="F45" s="35">
        <f>SUM(E45*2/1000)</f>
        <v>8.4964399999999998</v>
      </c>
      <c r="G45" s="53">
        <v>619.46</v>
      </c>
      <c r="H45" s="36">
        <f t="shared" si="7"/>
        <v>5.2632047223999994</v>
      </c>
      <c r="I45" s="37">
        <v>0</v>
      </c>
      <c r="J45" s="37">
        <v>0</v>
      </c>
      <c r="K45" s="37">
        <v>0</v>
      </c>
      <c r="L45" s="37">
        <v>0</v>
      </c>
      <c r="M45" s="37">
        <f t="shared" si="8"/>
        <v>2631.6023611999999</v>
      </c>
      <c r="N45" s="37">
        <v>0</v>
      </c>
      <c r="O45" s="37">
        <v>0</v>
      </c>
      <c r="P45" s="37">
        <v>0</v>
      </c>
      <c r="Q45" s="37">
        <f>F45/2*G45</f>
        <v>2631.6023611999999</v>
      </c>
      <c r="R45" s="37">
        <v>0</v>
      </c>
      <c r="S45" s="37">
        <v>0</v>
      </c>
      <c r="T45" s="37">
        <v>0</v>
      </c>
      <c r="U45" s="37">
        <f t="shared" si="9"/>
        <v>5263.2047223999998</v>
      </c>
    </row>
    <row r="46" spans="1:21">
      <c r="A46" s="147" t="s">
        <v>207</v>
      </c>
      <c r="B46" s="10" t="s">
        <v>54</v>
      </c>
      <c r="C46" s="27" t="s">
        <v>30</v>
      </c>
      <c r="D46" s="10" t="s">
        <v>51</v>
      </c>
      <c r="E46" s="34">
        <v>2163.66</v>
      </c>
      <c r="F46" s="35">
        <f>SUM(E46*2/1000)</f>
        <v>4.3273199999999994</v>
      </c>
      <c r="G46" s="53">
        <v>648.64</v>
      </c>
      <c r="H46" s="36">
        <f t="shared" si="7"/>
        <v>2.8068728447999995</v>
      </c>
      <c r="I46" s="37">
        <v>0</v>
      </c>
      <c r="J46" s="37">
        <v>0</v>
      </c>
      <c r="K46" s="37">
        <v>0</v>
      </c>
      <c r="L46" s="37">
        <v>0</v>
      </c>
      <c r="M46" s="37">
        <f t="shared" si="8"/>
        <v>1403.4364223999999</v>
      </c>
      <c r="N46" s="37">
        <v>0</v>
      </c>
      <c r="O46" s="37">
        <v>0</v>
      </c>
      <c r="P46" s="37">
        <v>0</v>
      </c>
      <c r="Q46" s="37">
        <f>F46/2*G46</f>
        <v>1403.4364223999999</v>
      </c>
      <c r="R46" s="37">
        <v>0</v>
      </c>
      <c r="S46" s="37">
        <v>0</v>
      </c>
      <c r="T46" s="37">
        <v>0</v>
      </c>
      <c r="U46" s="37">
        <f t="shared" si="9"/>
        <v>2806.8728447999997</v>
      </c>
    </row>
    <row r="47" spans="1:21" ht="25.5">
      <c r="A47" s="147" t="s">
        <v>208</v>
      </c>
      <c r="B47" s="10" t="s">
        <v>55</v>
      </c>
      <c r="C47" s="27" t="s">
        <v>30</v>
      </c>
      <c r="D47" s="10" t="s">
        <v>56</v>
      </c>
      <c r="E47" s="34">
        <v>1017.5</v>
      </c>
      <c r="F47" s="35">
        <f>SUM(E47*5/1000)</f>
        <v>5.0875000000000004</v>
      </c>
      <c r="G47" s="53">
        <v>1297.28</v>
      </c>
      <c r="H47" s="36">
        <f t="shared" si="7"/>
        <v>6.5999120000000007</v>
      </c>
      <c r="I47" s="37">
        <f>F47/5*G47</f>
        <v>1319.9824000000001</v>
      </c>
      <c r="J47" s="37">
        <f>F47/5*G47</f>
        <v>1319.9824000000001</v>
      </c>
      <c r="K47" s="37">
        <v>0</v>
      </c>
      <c r="L47" s="37">
        <v>0</v>
      </c>
      <c r="M47" s="37">
        <f>F47/5*G47</f>
        <v>1319.9824000000001</v>
      </c>
      <c r="N47" s="37">
        <v>0</v>
      </c>
      <c r="O47" s="37">
        <v>0</v>
      </c>
      <c r="P47" s="37">
        <v>0</v>
      </c>
      <c r="Q47" s="37">
        <f>F47/5*G47</f>
        <v>1319.9824000000001</v>
      </c>
      <c r="R47" s="37">
        <v>0</v>
      </c>
      <c r="S47" s="37">
        <v>0</v>
      </c>
      <c r="T47" s="37">
        <f>F47/5*G47</f>
        <v>1319.9824000000001</v>
      </c>
      <c r="U47" s="37">
        <f t="shared" si="9"/>
        <v>6599.9120000000003</v>
      </c>
    </row>
    <row r="48" spans="1:21" ht="38.25" customHeight="1">
      <c r="A48" s="147" t="s">
        <v>209</v>
      </c>
      <c r="B48" s="10" t="s">
        <v>57</v>
      </c>
      <c r="C48" s="27" t="s">
        <v>30</v>
      </c>
      <c r="D48" s="10" t="s">
        <v>51</v>
      </c>
      <c r="E48" s="34">
        <v>1017.5</v>
      </c>
      <c r="F48" s="35">
        <f>SUM(E48*2/1000)</f>
        <v>2.0350000000000001</v>
      </c>
      <c r="G48" s="53">
        <v>1297.28</v>
      </c>
      <c r="H48" s="36">
        <f t="shared" si="7"/>
        <v>2.6399648</v>
      </c>
      <c r="I48" s="37">
        <v>0</v>
      </c>
      <c r="J48" s="37">
        <v>0</v>
      </c>
      <c r="K48" s="37">
        <v>0</v>
      </c>
      <c r="L48" s="37">
        <f>F48/2*G48</f>
        <v>1319.9824000000001</v>
      </c>
      <c r="M48" s="37">
        <v>0</v>
      </c>
      <c r="N48" s="37">
        <v>0</v>
      </c>
      <c r="O48" s="37">
        <v>0</v>
      </c>
      <c r="P48" s="37">
        <v>0</v>
      </c>
      <c r="Q48" s="37">
        <f>F48/2*G48</f>
        <v>1319.9824000000001</v>
      </c>
      <c r="R48" s="37">
        <v>0</v>
      </c>
      <c r="S48" s="37">
        <v>0</v>
      </c>
      <c r="T48" s="37">
        <v>0</v>
      </c>
      <c r="U48" s="37">
        <f t="shared" si="9"/>
        <v>2639.9648000000002</v>
      </c>
    </row>
    <row r="49" spans="1:21" ht="25.5" customHeight="1">
      <c r="A49" s="147" t="s">
        <v>210</v>
      </c>
      <c r="B49" s="10" t="s">
        <v>58</v>
      </c>
      <c r="C49" s="27" t="s">
        <v>59</v>
      </c>
      <c r="D49" s="10" t="s">
        <v>51</v>
      </c>
      <c r="E49" s="34">
        <v>30</v>
      </c>
      <c r="F49" s="35">
        <f>SUM(E49*2/100)</f>
        <v>0.6</v>
      </c>
      <c r="G49" s="53">
        <v>2918.89</v>
      </c>
      <c r="H49" s="36">
        <f t="shared" si="7"/>
        <v>1.7513339999999997</v>
      </c>
      <c r="I49" s="37">
        <v>0</v>
      </c>
      <c r="J49" s="37">
        <v>0</v>
      </c>
      <c r="K49" s="37">
        <v>0</v>
      </c>
      <c r="L49" s="37">
        <f>F49/2*G49</f>
        <v>875.66699999999992</v>
      </c>
      <c r="M49" s="37">
        <v>0</v>
      </c>
      <c r="N49" s="37">
        <v>0</v>
      </c>
      <c r="O49" s="37">
        <v>0</v>
      </c>
      <c r="P49" s="37">
        <v>0</v>
      </c>
      <c r="Q49" s="37">
        <f>F49/2*G49</f>
        <v>875.66699999999992</v>
      </c>
      <c r="R49" s="37">
        <v>0</v>
      </c>
      <c r="S49" s="37">
        <v>0</v>
      </c>
      <c r="T49" s="37">
        <v>0</v>
      </c>
      <c r="U49" s="37">
        <f t="shared" si="9"/>
        <v>1751.3339999999998</v>
      </c>
    </row>
    <row r="50" spans="1:21">
      <c r="A50" s="147" t="s">
        <v>211</v>
      </c>
      <c r="B50" s="10" t="s">
        <v>60</v>
      </c>
      <c r="C50" s="27" t="s">
        <v>61</v>
      </c>
      <c r="D50" s="10" t="s">
        <v>51</v>
      </c>
      <c r="E50" s="34">
        <v>1</v>
      </c>
      <c r="F50" s="35">
        <v>0.02</v>
      </c>
      <c r="G50" s="53">
        <v>6042.13</v>
      </c>
      <c r="H50" s="36">
        <f t="shared" si="7"/>
        <v>0.12084260000000001</v>
      </c>
      <c r="I50" s="37">
        <v>0</v>
      </c>
      <c r="J50" s="37">
        <v>0</v>
      </c>
      <c r="K50" s="37">
        <f>F50/2*G50</f>
        <v>60.421300000000002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f>F50/2*G50</f>
        <v>60.421300000000002</v>
      </c>
      <c r="R50" s="37">
        <v>0</v>
      </c>
      <c r="S50" s="37">
        <v>0</v>
      </c>
      <c r="T50" s="37">
        <v>0</v>
      </c>
      <c r="U50" s="37">
        <f t="shared" si="9"/>
        <v>120.8426</v>
      </c>
    </row>
    <row r="51" spans="1:21">
      <c r="A51" s="147" t="s">
        <v>114</v>
      </c>
      <c r="B51" s="10" t="s">
        <v>115</v>
      </c>
      <c r="C51" s="27" t="s">
        <v>62</v>
      </c>
      <c r="D51" s="10" t="s">
        <v>116</v>
      </c>
      <c r="E51" s="34">
        <v>90</v>
      </c>
      <c r="F51" s="35">
        <f>E51*4</f>
        <v>360</v>
      </c>
      <c r="G51" s="53">
        <v>150.86000000000001</v>
      </c>
      <c r="H51" s="36">
        <f>F51*G51/1000</f>
        <v>54.309600000000003</v>
      </c>
      <c r="I51" s="37">
        <f>G51*E51</f>
        <v>13577.400000000001</v>
      </c>
      <c r="J51" s="37">
        <v>0</v>
      </c>
      <c r="K51" s="37">
        <v>0</v>
      </c>
      <c r="L51" s="37">
        <f>I51</f>
        <v>13577.400000000001</v>
      </c>
      <c r="M51" s="37">
        <v>0</v>
      </c>
      <c r="N51" s="37">
        <v>0</v>
      </c>
      <c r="O51" s="37">
        <v>0</v>
      </c>
      <c r="P51" s="37">
        <f>E51*G51</f>
        <v>13577.400000000001</v>
      </c>
      <c r="Q51" s="37">
        <v>0</v>
      </c>
      <c r="R51" s="37">
        <v>0</v>
      </c>
      <c r="S51" s="37">
        <v>0</v>
      </c>
      <c r="T51" s="37">
        <v>0</v>
      </c>
      <c r="U51" s="37">
        <f t="shared" si="9"/>
        <v>40732.200000000004</v>
      </c>
    </row>
    <row r="52" spans="1:21" ht="13.5" customHeight="1">
      <c r="A52" s="147" t="s">
        <v>63</v>
      </c>
      <c r="B52" s="10" t="s">
        <v>64</v>
      </c>
      <c r="C52" s="27" t="s">
        <v>62</v>
      </c>
      <c r="D52" s="10" t="s">
        <v>136</v>
      </c>
      <c r="E52" s="34">
        <v>180</v>
      </c>
      <c r="F52" s="35">
        <f>SUM(E52)*3</f>
        <v>540</v>
      </c>
      <c r="G52" s="54">
        <v>70.2</v>
      </c>
      <c r="H52" s="36">
        <f t="shared" si="7"/>
        <v>37.908000000000001</v>
      </c>
      <c r="I52" s="37">
        <f>G52*E52</f>
        <v>12636</v>
      </c>
      <c r="J52" s="37">
        <v>0</v>
      </c>
      <c r="K52" s="37">
        <v>0</v>
      </c>
      <c r="L52" s="37">
        <f>I52</f>
        <v>12636</v>
      </c>
      <c r="M52" s="37">
        <v>0</v>
      </c>
      <c r="N52" s="37">
        <v>0</v>
      </c>
      <c r="O52" s="37">
        <v>0</v>
      </c>
      <c r="P52" s="37">
        <f>E52*G52</f>
        <v>12636</v>
      </c>
      <c r="Q52" s="37">
        <v>0</v>
      </c>
      <c r="R52" s="37">
        <v>0</v>
      </c>
      <c r="S52" s="37">
        <v>0</v>
      </c>
      <c r="T52" s="37">
        <v>0</v>
      </c>
      <c r="U52" s="37">
        <f t="shared" si="9"/>
        <v>37908</v>
      </c>
    </row>
    <row r="53" spans="1:21" s="20" customFormat="1">
      <c r="A53" s="148"/>
      <c r="B53" s="19" t="s">
        <v>27</v>
      </c>
      <c r="C53" s="55"/>
      <c r="D53" s="19"/>
      <c r="E53" s="56"/>
      <c r="F53" s="57"/>
      <c r="G53" s="57"/>
      <c r="H53" s="49">
        <f>SUM(H43:H52)</f>
        <v>113.43849490720001</v>
      </c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>
        <f>SUM(U43:U52)</f>
        <v>99861.094907200008</v>
      </c>
    </row>
    <row r="54" spans="1:21">
      <c r="A54" s="147"/>
      <c r="B54" s="11" t="s">
        <v>65</v>
      </c>
      <c r="C54" s="27"/>
      <c r="D54" s="10"/>
      <c r="E54" s="34"/>
      <c r="F54" s="35"/>
      <c r="G54" s="35"/>
      <c r="H54" s="36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</row>
    <row r="55" spans="1:21" ht="38.25" customHeight="1">
      <c r="A55" s="147" t="s">
        <v>212</v>
      </c>
      <c r="B55" s="10" t="s">
        <v>172</v>
      </c>
      <c r="C55" s="27" t="s">
        <v>13</v>
      </c>
      <c r="D55" s="10" t="s">
        <v>66</v>
      </c>
      <c r="E55" s="34">
        <v>103.25</v>
      </c>
      <c r="F55" s="35">
        <f>SUM(E55*6/100)</f>
        <v>6.1950000000000003</v>
      </c>
      <c r="G55" s="53">
        <v>1654.04</v>
      </c>
      <c r="H55" s="36">
        <f>SUM(F55*G55/1000)</f>
        <v>10.2467778</v>
      </c>
      <c r="I55" s="37">
        <f>F55/6*G55</f>
        <v>1707.7963</v>
      </c>
      <c r="J55" s="37">
        <f>F55/6*G55</f>
        <v>1707.7963</v>
      </c>
      <c r="K55" s="37">
        <f>F55/6*G55</f>
        <v>1707.7963</v>
      </c>
      <c r="L55" s="37">
        <f>F55/6*G55</f>
        <v>1707.7963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f>F55/6*G55</f>
        <v>1707.7963</v>
      </c>
      <c r="T55" s="37">
        <f>F55/6*G55</f>
        <v>1707.7963</v>
      </c>
      <c r="U55" s="37">
        <f>SUM(I55:T55)</f>
        <v>10246.7778</v>
      </c>
    </row>
    <row r="56" spans="1:21" ht="27" customHeight="1">
      <c r="A56" s="147" t="s">
        <v>212</v>
      </c>
      <c r="B56" s="10" t="s">
        <v>117</v>
      </c>
      <c r="C56" s="27" t="s">
        <v>13</v>
      </c>
      <c r="D56" s="10" t="s">
        <v>118</v>
      </c>
      <c r="E56" s="34">
        <v>39.700000000000003</v>
      </c>
      <c r="F56" s="35">
        <f>SUM(E56*12/100)</f>
        <v>4.7640000000000002</v>
      </c>
      <c r="G56" s="53">
        <v>1654.04</v>
      </c>
      <c r="H56" s="36">
        <f>SUM(F56*G56/1000)</f>
        <v>7.8798465599999998</v>
      </c>
      <c r="I56" s="37">
        <f>F56/6*G56</f>
        <v>1313.3077600000001</v>
      </c>
      <c r="J56" s="37">
        <f>F56/6*G56</f>
        <v>1313.3077600000001</v>
      </c>
      <c r="K56" s="37">
        <f>F56/6*G56</f>
        <v>1313.3077600000001</v>
      </c>
      <c r="L56" s="37">
        <f>F56/6*G56</f>
        <v>1313.3077600000001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f>F56/6*G56</f>
        <v>1313.3077600000001</v>
      </c>
      <c r="T56" s="37">
        <f>F56/6*G56</f>
        <v>1313.3077600000001</v>
      </c>
      <c r="U56" s="37">
        <f t="shared" ref="U56:U58" si="10">SUM(I56:T56)</f>
        <v>7879.84656</v>
      </c>
    </row>
    <row r="57" spans="1:21" ht="12.75" customHeight="1">
      <c r="A57" s="150" t="s">
        <v>213</v>
      </c>
      <c r="B57" s="23" t="s">
        <v>119</v>
      </c>
      <c r="C57" s="59" t="s">
        <v>120</v>
      </c>
      <c r="D57" s="23" t="s">
        <v>51</v>
      </c>
      <c r="E57" s="60">
        <v>8</v>
      </c>
      <c r="F57" s="61">
        <v>16</v>
      </c>
      <c r="G57" s="53">
        <v>193.25</v>
      </c>
      <c r="H57" s="62">
        <f>F57*G57/1000</f>
        <v>3.0920000000000001</v>
      </c>
      <c r="I57" s="37">
        <f>F57/2*G57</f>
        <v>1546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f t="shared" si="10"/>
        <v>1546</v>
      </c>
    </row>
    <row r="58" spans="1:21" ht="12.75" customHeight="1">
      <c r="A58" s="147" t="s">
        <v>212</v>
      </c>
      <c r="B58" s="10" t="s">
        <v>121</v>
      </c>
      <c r="C58" s="27" t="s">
        <v>13</v>
      </c>
      <c r="D58" s="10" t="s">
        <v>66</v>
      </c>
      <c r="E58" s="34">
        <v>41.73</v>
      </c>
      <c r="F58" s="35">
        <f>SUM(E58*6/100)</f>
        <v>2.5038</v>
      </c>
      <c r="G58" s="53">
        <v>1654.04</v>
      </c>
      <c r="H58" s="36">
        <f>SUM(F58*G58/1000)</f>
        <v>4.1413853520000004</v>
      </c>
      <c r="I58" s="37">
        <f>F58/6*G58</f>
        <v>690.23089200000004</v>
      </c>
      <c r="J58" s="37">
        <f>F58/6*G58</f>
        <v>690.23089200000004</v>
      </c>
      <c r="K58" s="37">
        <f>F58/6*G58</f>
        <v>690.23089200000004</v>
      </c>
      <c r="L58" s="37">
        <f>F58/6*G58</f>
        <v>690.23089200000004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f t="shared" ref="S58" si="11">F58/6*G58</f>
        <v>690.23089200000004</v>
      </c>
      <c r="T58" s="37">
        <f t="shared" ref="T58" si="12">F58/6*G58</f>
        <v>690.23089200000004</v>
      </c>
      <c r="U58" s="37">
        <f t="shared" si="10"/>
        <v>4141.3853520000002</v>
      </c>
    </row>
    <row r="59" spans="1:21" ht="12.75" customHeight="1">
      <c r="A59" s="150"/>
      <c r="B59" s="24" t="s">
        <v>67</v>
      </c>
      <c r="C59" s="59"/>
      <c r="D59" s="23"/>
      <c r="E59" s="60"/>
      <c r="F59" s="61"/>
      <c r="G59" s="53"/>
      <c r="H59" s="62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</row>
    <row r="60" spans="1:21" ht="12.75" customHeight="1">
      <c r="A60" s="150" t="s">
        <v>214</v>
      </c>
      <c r="B60" s="23" t="s">
        <v>122</v>
      </c>
      <c r="C60" s="59" t="s">
        <v>24</v>
      </c>
      <c r="D60" s="23" t="s">
        <v>33</v>
      </c>
      <c r="E60" s="60">
        <v>1017.5</v>
      </c>
      <c r="F60" s="61">
        <v>10.154</v>
      </c>
      <c r="G60" s="53">
        <v>848.37</v>
      </c>
      <c r="H60" s="62">
        <f>F60*G60/1000</f>
        <v>8.6143489800000008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f>SUM(I60:T60)</f>
        <v>0</v>
      </c>
    </row>
    <row r="61" spans="1:21" ht="12.75" customHeight="1">
      <c r="A61" s="150"/>
      <c r="B61" s="23" t="s">
        <v>108</v>
      </c>
      <c r="C61" s="59" t="s">
        <v>68</v>
      </c>
      <c r="D61" s="23" t="s">
        <v>106</v>
      </c>
      <c r="E61" s="60">
        <v>203.5</v>
      </c>
      <c r="F61" s="63">
        <f>E61*12</f>
        <v>2442</v>
      </c>
      <c r="G61" s="64">
        <v>2.6</v>
      </c>
      <c r="H61" s="61">
        <f>F61*G61/1000</f>
        <v>6.3491999999999997</v>
      </c>
      <c r="I61" s="37">
        <f>F61/12*G61</f>
        <v>529.1</v>
      </c>
      <c r="J61" s="37">
        <f>F61/12*G61</f>
        <v>529.1</v>
      </c>
      <c r="K61" s="37">
        <f>F61/12*G61</f>
        <v>529.1</v>
      </c>
      <c r="L61" s="37">
        <f>F61/12*G61</f>
        <v>529.1</v>
      </c>
      <c r="M61" s="37">
        <f>F61/12*G61</f>
        <v>529.1</v>
      </c>
      <c r="N61" s="37">
        <f>F61/12*G61</f>
        <v>529.1</v>
      </c>
      <c r="O61" s="37">
        <f>F61/12*G61</f>
        <v>529.1</v>
      </c>
      <c r="P61" s="37">
        <f>F61/12*G61</f>
        <v>529.1</v>
      </c>
      <c r="Q61" s="37">
        <f>F61/12*G61</f>
        <v>529.1</v>
      </c>
      <c r="R61" s="37">
        <f>F61/12*G61</f>
        <v>529.1</v>
      </c>
      <c r="S61" s="37">
        <f>F61/12*G61</f>
        <v>529.1</v>
      </c>
      <c r="T61" s="37">
        <f>F61/12*G61</f>
        <v>529.1</v>
      </c>
      <c r="U61" s="37">
        <f>SUM(I61:T61)</f>
        <v>6349.2000000000016</v>
      </c>
    </row>
    <row r="62" spans="1:21">
      <c r="A62" s="150"/>
      <c r="B62" s="14" t="s">
        <v>70</v>
      </c>
      <c r="C62" s="59"/>
      <c r="D62" s="23"/>
      <c r="E62" s="60"/>
      <c r="F62" s="63"/>
      <c r="G62" s="63"/>
      <c r="H62" s="61" t="s">
        <v>44</v>
      </c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</row>
    <row r="63" spans="1:21" ht="12.75" customHeight="1">
      <c r="A63" s="65" t="s">
        <v>215</v>
      </c>
      <c r="B63" s="15" t="s">
        <v>71</v>
      </c>
      <c r="C63" s="65" t="s">
        <v>62</v>
      </c>
      <c r="D63" s="8" t="s">
        <v>40</v>
      </c>
      <c r="E63" s="66">
        <v>10</v>
      </c>
      <c r="F63" s="35">
        <v>10</v>
      </c>
      <c r="G63" s="53">
        <v>237.75</v>
      </c>
      <c r="H63" s="128">
        <f t="shared" ref="H63:H76" si="13">SUM(F63*G63/1000)</f>
        <v>2.3774999999999999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f>G63*2</f>
        <v>475.5</v>
      </c>
      <c r="R63" s="37">
        <f>G63</f>
        <v>237.75</v>
      </c>
      <c r="S63" s="37">
        <v>0</v>
      </c>
      <c r="T63" s="37">
        <v>0</v>
      </c>
      <c r="U63" s="37">
        <f>SUM(I63:T63)</f>
        <v>713.25</v>
      </c>
    </row>
    <row r="64" spans="1:21" ht="12.75" customHeight="1">
      <c r="A64" s="65" t="s">
        <v>216</v>
      </c>
      <c r="B64" s="15" t="s">
        <v>72</v>
      </c>
      <c r="C64" s="65" t="s">
        <v>62</v>
      </c>
      <c r="D64" s="8" t="s">
        <v>40</v>
      </c>
      <c r="E64" s="66">
        <v>5</v>
      </c>
      <c r="F64" s="35">
        <v>5</v>
      </c>
      <c r="G64" s="53">
        <v>81.510000000000005</v>
      </c>
      <c r="H64" s="128">
        <f t="shared" si="13"/>
        <v>0.40755000000000002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f t="shared" ref="U64:U70" si="14">SUM(I64:T64)</f>
        <v>0</v>
      </c>
    </row>
    <row r="65" spans="1:21" s="1" customFormat="1">
      <c r="A65" s="67" t="s">
        <v>217</v>
      </c>
      <c r="B65" s="15" t="s">
        <v>73</v>
      </c>
      <c r="C65" s="67" t="s">
        <v>74</v>
      </c>
      <c r="D65" s="8" t="s">
        <v>33</v>
      </c>
      <c r="E65" s="34">
        <v>14347</v>
      </c>
      <c r="F65" s="54">
        <f>SUM(E65/100)</f>
        <v>143.47</v>
      </c>
      <c r="G65" s="53">
        <v>226.79</v>
      </c>
      <c r="H65" s="128">
        <f t="shared" si="13"/>
        <v>32.5375613</v>
      </c>
      <c r="I65" s="52">
        <v>0</v>
      </c>
      <c r="J65" s="52">
        <v>0</v>
      </c>
      <c r="K65" s="52">
        <v>0</v>
      </c>
      <c r="L65" s="52">
        <v>0</v>
      </c>
      <c r="M65" s="52">
        <f>F65*G65</f>
        <v>32537.561299999998</v>
      </c>
      <c r="N65" s="52">
        <v>0</v>
      </c>
      <c r="O65" s="52">
        <v>0</v>
      </c>
      <c r="P65" s="52">
        <v>0</v>
      </c>
      <c r="Q65" s="52">
        <v>0</v>
      </c>
      <c r="R65" s="52">
        <v>0</v>
      </c>
      <c r="S65" s="52">
        <v>0</v>
      </c>
      <c r="T65" s="52">
        <v>0</v>
      </c>
      <c r="U65" s="37">
        <f t="shared" si="14"/>
        <v>32537.561299999998</v>
      </c>
    </row>
    <row r="66" spans="1:21" ht="12.75" customHeight="1">
      <c r="A66" s="65" t="s">
        <v>218</v>
      </c>
      <c r="B66" s="15" t="s">
        <v>75</v>
      </c>
      <c r="C66" s="65" t="s">
        <v>76</v>
      </c>
      <c r="D66" s="8"/>
      <c r="E66" s="34">
        <v>14347</v>
      </c>
      <c r="F66" s="53">
        <f>SUM(E66/1000)</f>
        <v>14.347</v>
      </c>
      <c r="G66" s="53">
        <v>176.61</v>
      </c>
      <c r="H66" s="128">
        <f t="shared" si="13"/>
        <v>2.5338236700000003</v>
      </c>
      <c r="I66" s="37">
        <v>0</v>
      </c>
      <c r="J66" s="37">
        <v>0</v>
      </c>
      <c r="K66" s="37">
        <v>0</v>
      </c>
      <c r="L66" s="37">
        <v>0</v>
      </c>
      <c r="M66" s="37">
        <f>F66*G66</f>
        <v>2533.8236700000002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f t="shared" si="14"/>
        <v>2533.8236700000002</v>
      </c>
    </row>
    <row r="67" spans="1:21">
      <c r="A67" s="65" t="s">
        <v>219</v>
      </c>
      <c r="B67" s="15" t="s">
        <v>77</v>
      </c>
      <c r="C67" s="65" t="s">
        <v>78</v>
      </c>
      <c r="D67" s="8" t="s">
        <v>33</v>
      </c>
      <c r="E67" s="34">
        <v>2244</v>
      </c>
      <c r="F67" s="53">
        <f>SUM(E67/100)</f>
        <v>22.44</v>
      </c>
      <c r="G67" s="53">
        <v>2217.7800000000002</v>
      </c>
      <c r="H67" s="128">
        <f t="shared" si="13"/>
        <v>49.766983200000013</v>
      </c>
      <c r="I67" s="37">
        <v>0</v>
      </c>
      <c r="J67" s="37">
        <v>0</v>
      </c>
      <c r="K67" s="37">
        <v>0</v>
      </c>
      <c r="L67" s="37">
        <v>0</v>
      </c>
      <c r="M67" s="37">
        <f>F67*G67</f>
        <v>49766.98320000001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f t="shared" si="14"/>
        <v>49766.98320000001</v>
      </c>
    </row>
    <row r="68" spans="1:21">
      <c r="A68" s="65"/>
      <c r="B68" s="16" t="s">
        <v>100</v>
      </c>
      <c r="C68" s="65" t="s">
        <v>38</v>
      </c>
      <c r="D68" s="8"/>
      <c r="E68" s="34">
        <v>12.48</v>
      </c>
      <c r="F68" s="53">
        <f>SUM(E68)</f>
        <v>12.48</v>
      </c>
      <c r="G68" s="53">
        <v>42.67</v>
      </c>
      <c r="H68" s="128">
        <f t="shared" si="13"/>
        <v>0.53252160000000004</v>
      </c>
      <c r="I68" s="37">
        <v>0</v>
      </c>
      <c r="J68" s="37">
        <v>0</v>
      </c>
      <c r="K68" s="37">
        <v>0</v>
      </c>
      <c r="L68" s="37">
        <v>0</v>
      </c>
      <c r="M68" s="37">
        <f>F68*G68</f>
        <v>532.52160000000003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f t="shared" si="14"/>
        <v>532.52160000000003</v>
      </c>
    </row>
    <row r="69" spans="1:21" ht="12.75" customHeight="1">
      <c r="A69" s="151"/>
      <c r="B69" s="16" t="s">
        <v>101</v>
      </c>
      <c r="C69" s="65" t="s">
        <v>38</v>
      </c>
      <c r="D69" s="8"/>
      <c r="E69" s="34">
        <v>12.48</v>
      </c>
      <c r="F69" s="53">
        <f>SUM(E69)</f>
        <v>12.48</v>
      </c>
      <c r="G69" s="53">
        <v>39.81</v>
      </c>
      <c r="H69" s="128">
        <f t="shared" si="13"/>
        <v>0.49682880000000007</v>
      </c>
      <c r="I69" s="37">
        <v>0</v>
      </c>
      <c r="J69" s="37">
        <v>0</v>
      </c>
      <c r="K69" s="37">
        <v>0</v>
      </c>
      <c r="L69" s="37">
        <v>0</v>
      </c>
      <c r="M69" s="37">
        <f>F69*G69</f>
        <v>496.82880000000006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f t="shared" si="14"/>
        <v>496.82880000000006</v>
      </c>
    </row>
    <row r="70" spans="1:21">
      <c r="A70" s="65" t="s">
        <v>220</v>
      </c>
      <c r="B70" s="8" t="s">
        <v>79</v>
      </c>
      <c r="C70" s="65" t="s">
        <v>80</v>
      </c>
      <c r="D70" s="8" t="s">
        <v>33</v>
      </c>
      <c r="E70" s="66">
        <v>5</v>
      </c>
      <c r="F70" s="35">
        <v>5</v>
      </c>
      <c r="G70" s="53">
        <v>53.32</v>
      </c>
      <c r="H70" s="128">
        <f t="shared" si="13"/>
        <v>0.2666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f>F70*G70</f>
        <v>266.60000000000002</v>
      </c>
      <c r="R70" s="37">
        <v>0</v>
      </c>
      <c r="S70" s="37">
        <v>0</v>
      </c>
      <c r="T70" s="37">
        <v>0</v>
      </c>
      <c r="U70" s="37">
        <f t="shared" si="14"/>
        <v>266.60000000000002</v>
      </c>
    </row>
    <row r="71" spans="1:21">
      <c r="A71" s="151"/>
      <c r="B71" s="17" t="s">
        <v>81</v>
      </c>
      <c r="C71" s="65"/>
      <c r="D71" s="8"/>
      <c r="E71" s="66"/>
      <c r="F71" s="53"/>
      <c r="G71" s="53"/>
      <c r="H71" s="128" t="s">
        <v>44</v>
      </c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</row>
    <row r="72" spans="1:21">
      <c r="A72" s="65" t="s">
        <v>221</v>
      </c>
      <c r="B72" s="8" t="s">
        <v>82</v>
      </c>
      <c r="C72" s="65" t="s">
        <v>83</v>
      </c>
      <c r="D72" s="8"/>
      <c r="E72" s="66">
        <v>2</v>
      </c>
      <c r="F72" s="53">
        <v>0.2</v>
      </c>
      <c r="G72" s="53">
        <v>536.23</v>
      </c>
      <c r="H72" s="128">
        <f t="shared" si="13"/>
        <v>0.10724600000000001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f>G72*0.3</f>
        <v>160.869</v>
      </c>
      <c r="T72" s="37">
        <v>0</v>
      </c>
      <c r="U72" s="37">
        <f>SUM(I72:T72)</f>
        <v>160.869</v>
      </c>
    </row>
    <row r="73" spans="1:21">
      <c r="A73" s="65" t="s">
        <v>222</v>
      </c>
      <c r="B73" s="8" t="s">
        <v>102</v>
      </c>
      <c r="C73" s="65" t="s">
        <v>35</v>
      </c>
      <c r="D73" s="8"/>
      <c r="E73" s="66">
        <v>1</v>
      </c>
      <c r="F73" s="64">
        <v>1</v>
      </c>
      <c r="G73" s="53">
        <v>911.85</v>
      </c>
      <c r="H73" s="128">
        <f>F73*G73/1000</f>
        <v>0.91185000000000005</v>
      </c>
      <c r="I73" s="37">
        <f>G73</f>
        <v>911.85</v>
      </c>
      <c r="J73" s="37">
        <f>G73</f>
        <v>911.85</v>
      </c>
      <c r="K73" s="37">
        <v>0</v>
      </c>
      <c r="L73" s="37">
        <f>G73</f>
        <v>911.85</v>
      </c>
      <c r="M73" s="37">
        <f>G73*2</f>
        <v>1823.7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f t="shared" ref="U73:U74" si="15">SUM(I73:T73)</f>
        <v>4559.25</v>
      </c>
    </row>
    <row r="74" spans="1:21">
      <c r="A74" s="65" t="s">
        <v>223</v>
      </c>
      <c r="B74" s="8" t="s">
        <v>104</v>
      </c>
      <c r="C74" s="65" t="s">
        <v>35</v>
      </c>
      <c r="D74" s="8"/>
      <c r="E74" s="66">
        <v>1</v>
      </c>
      <c r="F74" s="53">
        <v>1</v>
      </c>
      <c r="G74" s="53">
        <v>383.25</v>
      </c>
      <c r="H74" s="128">
        <f>G74*F74/1000</f>
        <v>0.38324999999999998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f t="shared" si="15"/>
        <v>0</v>
      </c>
    </row>
    <row r="75" spans="1:21">
      <c r="A75" s="151"/>
      <c r="B75" s="69" t="s">
        <v>84</v>
      </c>
      <c r="C75" s="65"/>
      <c r="D75" s="8"/>
      <c r="E75" s="66"/>
      <c r="F75" s="53"/>
      <c r="G75" s="53" t="s">
        <v>44</v>
      </c>
      <c r="H75" s="128" t="s">
        <v>44</v>
      </c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</row>
    <row r="76" spans="1:21" s="1" customFormat="1">
      <c r="A76" s="67" t="s">
        <v>85</v>
      </c>
      <c r="B76" s="70" t="s">
        <v>86</v>
      </c>
      <c r="C76" s="67" t="s">
        <v>78</v>
      </c>
      <c r="D76" s="15"/>
      <c r="E76" s="71"/>
      <c r="F76" s="54">
        <v>1</v>
      </c>
      <c r="G76" s="54">
        <v>2949.84</v>
      </c>
      <c r="H76" s="128">
        <f t="shared" si="13"/>
        <v>2.94984</v>
      </c>
      <c r="I76" s="52">
        <v>0</v>
      </c>
      <c r="J76" s="52">
        <v>0</v>
      </c>
      <c r="K76" s="52">
        <v>0</v>
      </c>
      <c r="L76" s="52">
        <v>0</v>
      </c>
      <c r="M76" s="52">
        <v>0</v>
      </c>
      <c r="N76" s="52">
        <v>0</v>
      </c>
      <c r="O76" s="52">
        <v>0</v>
      </c>
      <c r="P76" s="52">
        <v>0</v>
      </c>
      <c r="Q76" s="52">
        <v>0</v>
      </c>
      <c r="R76" s="52">
        <v>0</v>
      </c>
      <c r="S76" s="52">
        <v>0</v>
      </c>
      <c r="T76" s="52">
        <v>0</v>
      </c>
      <c r="U76" s="37">
        <f>SUM(I76:T76)</f>
        <v>0</v>
      </c>
    </row>
    <row r="77" spans="1:21" s="20" customFormat="1">
      <c r="A77" s="152"/>
      <c r="B77" s="19" t="s">
        <v>27</v>
      </c>
      <c r="C77" s="72"/>
      <c r="D77" s="73"/>
      <c r="E77" s="74"/>
      <c r="F77" s="58"/>
      <c r="G77" s="58"/>
      <c r="H77" s="75">
        <f>SUM(H55:H76)</f>
        <v>133.59511326200004</v>
      </c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>
        <f>SUM(U55:U76)</f>
        <v>121730.89728200003</v>
      </c>
    </row>
    <row r="78" spans="1:21">
      <c r="A78" s="153" t="s">
        <v>143</v>
      </c>
      <c r="B78" s="10" t="s">
        <v>144</v>
      </c>
      <c r="C78" s="77"/>
      <c r="D78" s="78"/>
      <c r="E78" s="127"/>
      <c r="F78" s="79">
        <v>1</v>
      </c>
      <c r="G78" s="80">
        <v>27922</v>
      </c>
      <c r="H78" s="128">
        <f>G78*F78/1000</f>
        <v>27.922000000000001</v>
      </c>
      <c r="I78" s="37">
        <v>0</v>
      </c>
      <c r="J78" s="37">
        <v>0</v>
      </c>
      <c r="K78" s="37">
        <f>G78</f>
        <v>27922</v>
      </c>
      <c r="L78" s="37">
        <v>0</v>
      </c>
      <c r="M78" s="38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f>SUM(I78:T78)</f>
        <v>27922</v>
      </c>
    </row>
    <row r="79" spans="1:21" ht="12.75" customHeight="1">
      <c r="A79" s="65"/>
      <c r="B79" s="76" t="s">
        <v>87</v>
      </c>
      <c r="C79" s="65" t="s">
        <v>88</v>
      </c>
      <c r="D79" s="81"/>
      <c r="E79" s="53">
        <v>3931</v>
      </c>
      <c r="F79" s="53">
        <f>SUM(E79*12)</f>
        <v>47172</v>
      </c>
      <c r="G79" s="82">
        <v>2.2400000000000002</v>
      </c>
      <c r="H79" s="128">
        <f>SUM(F79*G79/1000)</f>
        <v>105.66528000000001</v>
      </c>
      <c r="I79" s="37">
        <f>F79/12*G79</f>
        <v>8805.44</v>
      </c>
      <c r="J79" s="37">
        <f>F79/12*G79</f>
        <v>8805.44</v>
      </c>
      <c r="K79" s="37">
        <f>F79/12*G79</f>
        <v>8805.44</v>
      </c>
      <c r="L79" s="37">
        <f>F79/12*G79</f>
        <v>8805.44</v>
      </c>
      <c r="M79" s="37">
        <f>F79/12*G79</f>
        <v>8805.44</v>
      </c>
      <c r="N79" s="37">
        <f>F79/12*G79</f>
        <v>8805.44</v>
      </c>
      <c r="O79" s="37">
        <f>F79/12*G79</f>
        <v>8805.44</v>
      </c>
      <c r="P79" s="37">
        <f>F79/12*G79</f>
        <v>8805.44</v>
      </c>
      <c r="Q79" s="37">
        <f>F79/12*G79</f>
        <v>8805.44</v>
      </c>
      <c r="R79" s="37">
        <f>F79/12*G79</f>
        <v>8805.44</v>
      </c>
      <c r="S79" s="37">
        <f>F79/12*G79</f>
        <v>8805.44</v>
      </c>
      <c r="T79" s="37">
        <f>F79/12*G79</f>
        <v>8805.44</v>
      </c>
      <c r="U79" s="37">
        <f>SUM(I79:T79)</f>
        <v>105665.28000000001</v>
      </c>
    </row>
    <row r="80" spans="1:21" s="18" customFormat="1">
      <c r="A80" s="83"/>
      <c r="B80" s="19" t="s">
        <v>27</v>
      </c>
      <c r="C80" s="84"/>
      <c r="D80" s="85"/>
      <c r="E80" s="86"/>
      <c r="F80" s="44"/>
      <c r="G80" s="87"/>
      <c r="H80" s="45">
        <f>SUM(H78:H79)</f>
        <v>133.58728000000002</v>
      </c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>
        <f>SUM(U78:U79)</f>
        <v>133587.28000000003</v>
      </c>
    </row>
    <row r="81" spans="1:28" ht="25.5" customHeight="1">
      <c r="A81" s="151"/>
      <c r="B81" s="8" t="s">
        <v>89</v>
      </c>
      <c r="C81" s="65"/>
      <c r="D81" s="88"/>
      <c r="E81" s="34">
        <f>E79</f>
        <v>3931</v>
      </c>
      <c r="F81" s="53">
        <f>E81*12</f>
        <v>47172</v>
      </c>
      <c r="G81" s="53">
        <v>1.74</v>
      </c>
      <c r="H81" s="128">
        <f>F81*G81/1000</f>
        <v>82.079279999999997</v>
      </c>
      <c r="I81" s="37">
        <f>F81/12*G81</f>
        <v>6839.94</v>
      </c>
      <c r="J81" s="37">
        <f>F81/12*G81</f>
        <v>6839.94</v>
      </c>
      <c r="K81" s="37">
        <f>F81/12*G81</f>
        <v>6839.94</v>
      </c>
      <c r="L81" s="37">
        <f>F81/12*G81</f>
        <v>6839.94</v>
      </c>
      <c r="M81" s="37">
        <f>F81/12*G81</f>
        <v>6839.94</v>
      </c>
      <c r="N81" s="37">
        <f>F81/12*G81</f>
        <v>6839.94</v>
      </c>
      <c r="O81" s="37">
        <f>F81/12*G81</f>
        <v>6839.94</v>
      </c>
      <c r="P81" s="37">
        <f>F81/12*G81</f>
        <v>6839.94</v>
      </c>
      <c r="Q81" s="37">
        <f>F81/12*G81</f>
        <v>6839.94</v>
      </c>
      <c r="R81" s="37">
        <f>F81/12*G81</f>
        <v>6839.94</v>
      </c>
      <c r="S81" s="37">
        <f>F81/12*G81</f>
        <v>6839.94</v>
      </c>
      <c r="T81" s="37">
        <f>F81/12*G81</f>
        <v>6839.94</v>
      </c>
      <c r="U81" s="37">
        <f>SUM(I81:T81)</f>
        <v>82079.280000000013</v>
      </c>
    </row>
    <row r="82" spans="1:28" s="18" customFormat="1">
      <c r="A82" s="83"/>
      <c r="B82" s="89" t="s">
        <v>90</v>
      </c>
      <c r="C82" s="90"/>
      <c r="D82" s="89"/>
      <c r="E82" s="44"/>
      <c r="F82" s="44"/>
      <c r="G82" s="44"/>
      <c r="H82" s="75">
        <f>H81</f>
        <v>82.079279999999997</v>
      </c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123">
        <f>U81</f>
        <v>82079.280000000013</v>
      </c>
    </row>
    <row r="83" spans="1:28" s="18" customFormat="1">
      <c r="A83" s="83"/>
      <c r="B83" s="89" t="s">
        <v>91</v>
      </c>
      <c r="C83" s="91"/>
      <c r="D83" s="92"/>
      <c r="E83" s="93"/>
      <c r="F83" s="93"/>
      <c r="G83" s="93"/>
      <c r="H83" s="75">
        <f>SUM(H82+H80+H77+H53+H41+H31+H20)</f>
        <v>1002.6917260562001</v>
      </c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123">
        <f>SUM(U82+U80+U77+U53+U41+U31+U20)*1.094</f>
        <v>1033537.2642813631</v>
      </c>
    </row>
    <row r="84" spans="1:28" s="120" customFormat="1" ht="51" customHeight="1">
      <c r="A84" s="154"/>
      <c r="B84" s="69"/>
      <c r="C84" s="65"/>
      <c r="D84" s="88"/>
      <c r="E84" s="53"/>
      <c r="F84" s="53"/>
      <c r="G84" s="53"/>
      <c r="H84" s="119"/>
      <c r="I84" s="53"/>
      <c r="J84" s="53"/>
      <c r="K84" s="53"/>
      <c r="L84" s="53"/>
      <c r="M84" s="53"/>
      <c r="N84" s="53"/>
      <c r="O84" s="53"/>
      <c r="P84" s="53"/>
      <c r="Q84" s="53"/>
      <c r="R84" s="130"/>
      <c r="S84" s="130"/>
      <c r="T84" s="130"/>
      <c r="U84" s="129" t="s">
        <v>157</v>
      </c>
    </row>
    <row r="85" spans="1:28">
      <c r="A85" s="155"/>
      <c r="B85" s="88" t="s">
        <v>92</v>
      </c>
      <c r="C85" s="65"/>
      <c r="D85" s="88"/>
      <c r="E85" s="53"/>
      <c r="F85" s="53"/>
      <c r="G85" s="53" t="s">
        <v>93</v>
      </c>
      <c r="H85" s="94">
        <f>E81</f>
        <v>3931</v>
      </c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</row>
    <row r="86" spans="1:28" s="18" customFormat="1">
      <c r="A86" s="83"/>
      <c r="B86" s="92" t="s">
        <v>94</v>
      </c>
      <c r="C86" s="91"/>
      <c r="D86" s="92"/>
      <c r="E86" s="93"/>
      <c r="F86" s="93"/>
      <c r="G86" s="93"/>
      <c r="H86" s="95">
        <f>SUM(H83/H85/12*1000)</f>
        <v>21.256078310357839</v>
      </c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124"/>
      <c r="X86" s="175"/>
      <c r="Y86" s="175"/>
      <c r="Z86" s="175"/>
      <c r="AA86" s="175"/>
      <c r="AB86" s="175"/>
    </row>
    <row r="87" spans="1:28">
      <c r="A87" s="96"/>
      <c r="B87" s="88"/>
      <c r="C87" s="65"/>
      <c r="D87" s="88"/>
      <c r="E87" s="53"/>
      <c r="F87" s="53"/>
      <c r="G87" s="53"/>
      <c r="H87" s="9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125"/>
    </row>
    <row r="88" spans="1:28">
      <c r="A88" s="151"/>
      <c r="B88" s="69" t="s">
        <v>95</v>
      </c>
      <c r="C88" s="65"/>
      <c r="D88" s="88"/>
      <c r="E88" s="53"/>
      <c r="F88" s="53"/>
      <c r="G88" s="53"/>
      <c r="H88" s="53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</row>
    <row r="89" spans="1:28" ht="25.5">
      <c r="A89" s="134" t="s">
        <v>210</v>
      </c>
      <c r="B89" s="135" t="s">
        <v>148</v>
      </c>
      <c r="C89" s="132" t="s">
        <v>59</v>
      </c>
      <c r="D89" s="8"/>
      <c r="E89" s="66"/>
      <c r="F89" s="53">
        <v>0.04</v>
      </c>
      <c r="G89" s="53">
        <v>3397.65</v>
      </c>
      <c r="H89" s="128">
        <f t="shared" ref="H89:H97" si="16">G89*F89/1000</f>
        <v>0.135906</v>
      </c>
      <c r="I89" s="98">
        <f>G89*0.01</f>
        <v>33.976500000000001</v>
      </c>
      <c r="J89" s="98">
        <v>0</v>
      </c>
      <c r="K89" s="98">
        <v>0</v>
      </c>
      <c r="L89" s="98">
        <v>0</v>
      </c>
      <c r="M89" s="98">
        <v>0</v>
      </c>
      <c r="N89" s="98">
        <v>0</v>
      </c>
      <c r="O89" s="98">
        <f>G89*0.02</f>
        <v>67.953000000000003</v>
      </c>
      <c r="P89" s="98">
        <v>0</v>
      </c>
      <c r="Q89" s="98">
        <v>0</v>
      </c>
      <c r="R89" s="98">
        <f>G89*0.01</f>
        <v>33.976500000000001</v>
      </c>
      <c r="S89" s="98">
        <v>0</v>
      </c>
      <c r="T89" s="98">
        <v>0</v>
      </c>
      <c r="U89" s="37">
        <f>SUM(I89:T89)</f>
        <v>135.90600000000001</v>
      </c>
    </row>
    <row r="90" spans="1:28" ht="25.5">
      <c r="A90" s="136" t="s">
        <v>137</v>
      </c>
      <c r="B90" s="135" t="s">
        <v>149</v>
      </c>
      <c r="C90" s="25" t="s">
        <v>138</v>
      </c>
      <c r="D90" s="8"/>
      <c r="E90" s="66"/>
      <c r="F90" s="53">
        <v>10</v>
      </c>
      <c r="G90" s="53">
        <v>2057</v>
      </c>
      <c r="H90" s="128">
        <f t="shared" si="16"/>
        <v>20.57</v>
      </c>
      <c r="I90" s="98">
        <v>0</v>
      </c>
      <c r="J90" s="98">
        <f>G90*10</f>
        <v>20570</v>
      </c>
      <c r="K90" s="98">
        <v>0</v>
      </c>
      <c r="L90" s="98">
        <v>0</v>
      </c>
      <c r="M90" s="98">
        <v>0</v>
      </c>
      <c r="N90" s="98">
        <v>0</v>
      </c>
      <c r="O90" s="98">
        <v>0</v>
      </c>
      <c r="P90" s="98">
        <v>0</v>
      </c>
      <c r="Q90" s="98">
        <v>0</v>
      </c>
      <c r="R90" s="98">
        <v>0</v>
      </c>
      <c r="S90" s="98">
        <v>0</v>
      </c>
      <c r="T90" s="98">
        <v>0</v>
      </c>
      <c r="U90" s="37">
        <f t="shared" ref="U90:U121" si="17">SUM(I90:T90)</f>
        <v>20570</v>
      </c>
    </row>
    <row r="91" spans="1:28">
      <c r="A91" s="137" t="s">
        <v>224</v>
      </c>
      <c r="B91" s="138" t="s">
        <v>151</v>
      </c>
      <c r="C91" s="137" t="s">
        <v>152</v>
      </c>
      <c r="D91" s="8"/>
      <c r="E91" s="66"/>
      <c r="F91" s="53">
        <f>15/3</f>
        <v>5</v>
      </c>
      <c r="G91" s="53">
        <v>1063.47</v>
      </c>
      <c r="H91" s="128">
        <f t="shared" si="16"/>
        <v>5.3173500000000002</v>
      </c>
      <c r="I91" s="98">
        <v>0</v>
      </c>
      <c r="J91" s="98">
        <f>G91</f>
        <v>1063.47</v>
      </c>
      <c r="K91" s="98">
        <v>0</v>
      </c>
      <c r="L91" s="98">
        <v>0</v>
      </c>
      <c r="M91" s="98">
        <v>0</v>
      </c>
      <c r="N91" s="98">
        <f>G91</f>
        <v>1063.47</v>
      </c>
      <c r="O91" s="98">
        <f>G91*2</f>
        <v>2126.94</v>
      </c>
      <c r="P91" s="98">
        <v>0</v>
      </c>
      <c r="Q91" s="98">
        <v>0</v>
      </c>
      <c r="R91" s="98">
        <v>0</v>
      </c>
      <c r="S91" s="98">
        <f>G91</f>
        <v>1063.47</v>
      </c>
      <c r="T91" s="98">
        <v>0</v>
      </c>
      <c r="U91" s="37">
        <f t="shared" si="17"/>
        <v>5317.35</v>
      </c>
    </row>
    <row r="92" spans="1:28">
      <c r="A92" s="139" t="s">
        <v>225</v>
      </c>
      <c r="B92" s="140" t="s">
        <v>159</v>
      </c>
      <c r="C92" s="131" t="s">
        <v>83</v>
      </c>
      <c r="D92" s="8"/>
      <c r="E92" s="66"/>
      <c r="F92" s="53">
        <f>4/10</f>
        <v>0.4</v>
      </c>
      <c r="G92" s="53">
        <v>3800</v>
      </c>
      <c r="H92" s="128">
        <f t="shared" si="16"/>
        <v>1.52</v>
      </c>
      <c r="I92" s="98">
        <v>0</v>
      </c>
      <c r="J92" s="98">
        <v>0</v>
      </c>
      <c r="K92" s="98">
        <v>0</v>
      </c>
      <c r="L92" s="98">
        <f>G92*0.1</f>
        <v>380</v>
      </c>
      <c r="M92" s="98">
        <v>0</v>
      </c>
      <c r="N92" s="98">
        <v>0</v>
      </c>
      <c r="O92" s="98">
        <v>0</v>
      </c>
      <c r="P92" s="98">
        <v>0</v>
      </c>
      <c r="Q92" s="98">
        <v>0</v>
      </c>
      <c r="R92" s="98">
        <v>0</v>
      </c>
      <c r="S92" s="98">
        <f>G92*0.2</f>
        <v>760</v>
      </c>
      <c r="T92" s="98">
        <f>G92*0.1</f>
        <v>380</v>
      </c>
      <c r="U92" s="37">
        <f t="shared" si="17"/>
        <v>1520</v>
      </c>
    </row>
    <row r="93" spans="1:28" ht="25.5">
      <c r="A93" s="134" t="s">
        <v>226</v>
      </c>
      <c r="B93" s="135" t="s">
        <v>160</v>
      </c>
      <c r="C93" s="134" t="s">
        <v>62</v>
      </c>
      <c r="D93" s="8"/>
      <c r="E93" s="66"/>
      <c r="F93" s="53">
        <v>8</v>
      </c>
      <c r="G93" s="53">
        <v>180.15</v>
      </c>
      <c r="H93" s="128">
        <f t="shared" si="16"/>
        <v>1.4412</v>
      </c>
      <c r="I93" s="98">
        <v>0</v>
      </c>
      <c r="J93" s="98">
        <v>0</v>
      </c>
      <c r="K93" s="98">
        <v>0</v>
      </c>
      <c r="L93" s="98">
        <f>G93</f>
        <v>180.15</v>
      </c>
      <c r="M93" s="98">
        <f>G93</f>
        <v>180.15</v>
      </c>
      <c r="N93" s="98">
        <v>0</v>
      </c>
      <c r="O93" s="98">
        <f>G93</f>
        <v>180.15</v>
      </c>
      <c r="P93" s="98">
        <f>G93</f>
        <v>180.15</v>
      </c>
      <c r="Q93" s="98">
        <v>0</v>
      </c>
      <c r="R93" s="98">
        <v>0</v>
      </c>
      <c r="S93" s="98">
        <f>G93*3</f>
        <v>540.45000000000005</v>
      </c>
      <c r="T93" s="98">
        <f>G93</f>
        <v>180.15</v>
      </c>
      <c r="U93" s="37">
        <f t="shared" si="17"/>
        <v>1441.2000000000003</v>
      </c>
    </row>
    <row r="94" spans="1:28">
      <c r="A94" s="134" t="s">
        <v>137</v>
      </c>
      <c r="B94" s="135" t="s">
        <v>161</v>
      </c>
      <c r="C94" s="134" t="s">
        <v>162</v>
      </c>
      <c r="D94" s="8"/>
      <c r="E94" s="66"/>
      <c r="F94" s="53">
        <v>1</v>
      </c>
      <c r="G94" s="53">
        <v>45448</v>
      </c>
      <c r="H94" s="128">
        <f t="shared" si="16"/>
        <v>45.448</v>
      </c>
      <c r="I94" s="98">
        <v>0</v>
      </c>
      <c r="J94" s="98">
        <v>0</v>
      </c>
      <c r="K94" s="98">
        <v>0</v>
      </c>
      <c r="L94" s="98">
        <f>G94</f>
        <v>45448</v>
      </c>
      <c r="M94" s="98">
        <v>0</v>
      </c>
      <c r="N94" s="98">
        <v>0</v>
      </c>
      <c r="O94" s="98">
        <v>0</v>
      </c>
      <c r="P94" s="98">
        <v>0</v>
      </c>
      <c r="Q94" s="98">
        <v>0</v>
      </c>
      <c r="R94" s="98">
        <v>0</v>
      </c>
      <c r="S94" s="98">
        <v>0</v>
      </c>
      <c r="T94" s="98">
        <v>0</v>
      </c>
      <c r="U94" s="37">
        <f t="shared" si="17"/>
        <v>45448</v>
      </c>
    </row>
    <row r="95" spans="1:28" ht="25.5">
      <c r="A95" s="139" t="s">
        <v>150</v>
      </c>
      <c r="B95" s="141" t="s">
        <v>173</v>
      </c>
      <c r="C95" s="142" t="s">
        <v>174</v>
      </c>
      <c r="D95" s="8"/>
      <c r="E95" s="66"/>
      <c r="F95" s="53">
        <v>1</v>
      </c>
      <c r="G95" s="53">
        <v>383.01</v>
      </c>
      <c r="H95" s="128">
        <f t="shared" si="16"/>
        <v>0.38301000000000002</v>
      </c>
      <c r="I95" s="98">
        <v>0</v>
      </c>
      <c r="J95" s="98">
        <v>0</v>
      </c>
      <c r="K95" s="98">
        <v>0</v>
      </c>
      <c r="L95" s="98">
        <v>0</v>
      </c>
      <c r="M95" s="98">
        <f>G95</f>
        <v>383.01</v>
      </c>
      <c r="N95" s="98">
        <v>0</v>
      </c>
      <c r="O95" s="98">
        <v>0</v>
      </c>
      <c r="P95" s="98">
        <v>0</v>
      </c>
      <c r="Q95" s="98">
        <v>0</v>
      </c>
      <c r="R95" s="98">
        <v>0</v>
      </c>
      <c r="S95" s="98">
        <v>0</v>
      </c>
      <c r="T95" s="98">
        <v>0</v>
      </c>
      <c r="U95" s="37">
        <f t="shared" si="17"/>
        <v>383.01</v>
      </c>
    </row>
    <row r="96" spans="1:28" ht="25.5">
      <c r="A96" s="136" t="s">
        <v>227</v>
      </c>
      <c r="B96" s="135" t="s">
        <v>123</v>
      </c>
      <c r="C96" s="25" t="s">
        <v>62</v>
      </c>
      <c r="D96" s="8"/>
      <c r="E96" s="66"/>
      <c r="F96" s="53">
        <v>8</v>
      </c>
      <c r="G96" s="53">
        <v>79.09</v>
      </c>
      <c r="H96" s="128">
        <f t="shared" si="16"/>
        <v>0.63272000000000006</v>
      </c>
      <c r="I96" s="98">
        <v>0</v>
      </c>
      <c r="J96" s="98">
        <v>0</v>
      </c>
      <c r="K96" s="98">
        <v>0</v>
      </c>
      <c r="L96" s="98">
        <v>0</v>
      </c>
      <c r="M96" s="98">
        <f>G96*2</f>
        <v>158.18</v>
      </c>
      <c r="N96" s="98">
        <v>0</v>
      </c>
      <c r="O96" s="98">
        <f>G96*2</f>
        <v>158.18</v>
      </c>
      <c r="P96" s="98">
        <v>0</v>
      </c>
      <c r="Q96" s="98">
        <f>G96*3</f>
        <v>237.27</v>
      </c>
      <c r="R96" s="98">
        <f>G96</f>
        <v>79.09</v>
      </c>
      <c r="S96" s="98">
        <v>0</v>
      </c>
      <c r="T96" s="98">
        <v>0</v>
      </c>
      <c r="U96" s="37">
        <f t="shared" si="17"/>
        <v>632.72</v>
      </c>
    </row>
    <row r="97" spans="1:25" ht="25.5">
      <c r="A97" s="131" t="s">
        <v>228</v>
      </c>
      <c r="B97" s="133" t="s">
        <v>175</v>
      </c>
      <c r="C97" s="132" t="s">
        <v>62</v>
      </c>
      <c r="D97" s="8"/>
      <c r="E97" s="66"/>
      <c r="F97" s="53">
        <v>1</v>
      </c>
      <c r="G97" s="53">
        <v>2179.33</v>
      </c>
      <c r="H97" s="128">
        <f t="shared" si="16"/>
        <v>2.1793299999999998</v>
      </c>
      <c r="I97" s="98">
        <v>0</v>
      </c>
      <c r="J97" s="98">
        <v>0</v>
      </c>
      <c r="K97" s="98">
        <v>0</v>
      </c>
      <c r="L97" s="98">
        <v>0</v>
      </c>
      <c r="M97" s="98">
        <f>G97</f>
        <v>2179.33</v>
      </c>
      <c r="N97" s="98">
        <v>0</v>
      </c>
      <c r="O97" s="98">
        <v>0</v>
      </c>
      <c r="P97" s="98">
        <v>0</v>
      </c>
      <c r="Q97" s="98">
        <v>0</v>
      </c>
      <c r="R97" s="98">
        <v>0</v>
      </c>
      <c r="S97" s="98">
        <v>0</v>
      </c>
      <c r="T97" s="98">
        <v>0</v>
      </c>
      <c r="U97" s="37">
        <f t="shared" si="17"/>
        <v>2179.33</v>
      </c>
    </row>
    <row r="98" spans="1:25" ht="25.5">
      <c r="A98" s="136" t="s">
        <v>137</v>
      </c>
      <c r="B98" s="135" t="s">
        <v>237</v>
      </c>
      <c r="C98" s="25" t="s">
        <v>138</v>
      </c>
      <c r="D98" s="8"/>
      <c r="E98" s="66"/>
      <c r="F98" s="53">
        <v>2.5</v>
      </c>
      <c r="G98" s="53">
        <v>1272</v>
      </c>
      <c r="H98" s="128">
        <f t="shared" ref="H98" si="18">G98*F98/1000</f>
        <v>3.18</v>
      </c>
      <c r="I98" s="98">
        <v>0</v>
      </c>
      <c r="J98" s="98">
        <v>0</v>
      </c>
      <c r="K98" s="98">
        <v>0</v>
      </c>
      <c r="L98" s="98">
        <v>0</v>
      </c>
      <c r="M98" s="98">
        <v>0</v>
      </c>
      <c r="N98" s="98">
        <v>0</v>
      </c>
      <c r="O98" s="98">
        <f>G98*2.5</f>
        <v>3180</v>
      </c>
      <c r="P98" s="98">
        <v>0</v>
      </c>
      <c r="Q98" s="98">
        <v>0</v>
      </c>
      <c r="R98" s="98">
        <v>0</v>
      </c>
      <c r="S98" s="98">
        <v>0</v>
      </c>
      <c r="T98" s="98">
        <v>0</v>
      </c>
      <c r="U98" s="37">
        <f t="shared" si="17"/>
        <v>3180</v>
      </c>
    </row>
    <row r="99" spans="1:25" ht="25.5">
      <c r="A99" s="136" t="s">
        <v>229</v>
      </c>
      <c r="B99" s="135" t="s">
        <v>145</v>
      </c>
      <c r="C99" s="25" t="s">
        <v>146</v>
      </c>
      <c r="D99" s="8"/>
      <c r="E99" s="66"/>
      <c r="F99" s="53">
        <v>1</v>
      </c>
      <c r="G99" s="53">
        <v>559.62</v>
      </c>
      <c r="H99" s="128">
        <f>G99*F99/1000</f>
        <v>0.55962000000000001</v>
      </c>
      <c r="I99" s="98">
        <v>0</v>
      </c>
      <c r="J99" s="98">
        <v>0</v>
      </c>
      <c r="K99" s="98">
        <v>0</v>
      </c>
      <c r="L99" s="98">
        <v>0</v>
      </c>
      <c r="M99" s="98">
        <v>0</v>
      </c>
      <c r="N99" s="98">
        <v>0</v>
      </c>
      <c r="O99" s="98">
        <f>G99</f>
        <v>559.62</v>
      </c>
      <c r="P99" s="98">
        <v>0</v>
      </c>
      <c r="Q99" s="98">
        <v>0</v>
      </c>
      <c r="R99" s="98">
        <v>0</v>
      </c>
      <c r="S99" s="98">
        <v>0</v>
      </c>
      <c r="T99" s="98">
        <v>0</v>
      </c>
      <c r="U99" s="37">
        <f t="shared" si="17"/>
        <v>559.62</v>
      </c>
    </row>
    <row r="100" spans="1:25" ht="25.5">
      <c r="A100" s="134" t="s">
        <v>230</v>
      </c>
      <c r="B100" s="135" t="s">
        <v>139</v>
      </c>
      <c r="C100" s="25" t="s">
        <v>140</v>
      </c>
      <c r="D100" s="8"/>
      <c r="E100" s="66"/>
      <c r="F100" s="53">
        <v>3</v>
      </c>
      <c r="G100" s="53">
        <v>195.95</v>
      </c>
      <c r="H100" s="128">
        <f t="shared" ref="H100:H101" si="19">G100*F100/1000</f>
        <v>0.58784999999999987</v>
      </c>
      <c r="I100" s="98">
        <v>0</v>
      </c>
      <c r="J100" s="98">
        <v>0</v>
      </c>
      <c r="K100" s="98">
        <v>0</v>
      </c>
      <c r="L100" s="98">
        <v>0</v>
      </c>
      <c r="M100" s="98">
        <v>0</v>
      </c>
      <c r="N100" s="98">
        <v>0</v>
      </c>
      <c r="O100" s="98">
        <f>G100</f>
        <v>195.95</v>
      </c>
      <c r="P100" s="98">
        <v>0</v>
      </c>
      <c r="Q100" s="98">
        <f>G100*2</f>
        <v>391.9</v>
      </c>
      <c r="R100" s="98">
        <v>0</v>
      </c>
      <c r="S100" s="98">
        <v>0</v>
      </c>
      <c r="T100" s="98">
        <v>0</v>
      </c>
      <c r="U100" s="37">
        <f t="shared" si="17"/>
        <v>587.84999999999991</v>
      </c>
    </row>
    <row r="101" spans="1:25" ht="51">
      <c r="A101" s="132" t="s">
        <v>231</v>
      </c>
      <c r="B101" s="133" t="s">
        <v>177</v>
      </c>
      <c r="C101" s="132" t="s">
        <v>178</v>
      </c>
      <c r="D101" s="8"/>
      <c r="E101" s="66"/>
      <c r="F101" s="53">
        <f>30/10</f>
        <v>3</v>
      </c>
      <c r="G101" s="53">
        <v>3875.44</v>
      </c>
      <c r="H101" s="128">
        <f t="shared" si="19"/>
        <v>11.62632</v>
      </c>
      <c r="I101" s="98">
        <v>0</v>
      </c>
      <c r="J101" s="98">
        <v>0</v>
      </c>
      <c r="K101" s="98">
        <v>0</v>
      </c>
      <c r="L101" s="98">
        <v>0</v>
      </c>
      <c r="M101" s="98">
        <v>0</v>
      </c>
      <c r="N101" s="98">
        <v>0</v>
      </c>
      <c r="O101" s="98">
        <f>G101*3</f>
        <v>11626.32</v>
      </c>
      <c r="P101" s="98">
        <v>0</v>
      </c>
      <c r="Q101" s="98">
        <v>0</v>
      </c>
      <c r="R101" s="98">
        <v>0</v>
      </c>
      <c r="S101" s="98">
        <v>0</v>
      </c>
      <c r="T101" s="98">
        <v>0</v>
      </c>
      <c r="U101" s="37">
        <f t="shared" si="17"/>
        <v>11626.32</v>
      </c>
    </row>
    <row r="102" spans="1:25">
      <c r="A102" s="147" t="s">
        <v>232</v>
      </c>
      <c r="B102" s="10" t="s">
        <v>252</v>
      </c>
      <c r="C102" s="27" t="s">
        <v>62</v>
      </c>
      <c r="D102" s="88"/>
      <c r="E102" s="53"/>
      <c r="F102" s="53">
        <v>2</v>
      </c>
      <c r="G102" s="160">
        <v>81.73</v>
      </c>
      <c r="H102" s="128">
        <f>G102*F102/1000</f>
        <v>0.16345999999999999</v>
      </c>
      <c r="I102" s="98">
        <v>0</v>
      </c>
      <c r="J102" s="98">
        <v>0</v>
      </c>
      <c r="K102" s="98">
        <v>0</v>
      </c>
      <c r="L102" s="98">
        <v>0</v>
      </c>
      <c r="M102" s="98">
        <v>0</v>
      </c>
      <c r="N102" s="98">
        <v>0</v>
      </c>
      <c r="O102" s="98">
        <f>G102*2</f>
        <v>163.46</v>
      </c>
      <c r="P102" s="98">
        <v>0</v>
      </c>
      <c r="Q102" s="98">
        <v>0</v>
      </c>
      <c r="R102" s="98">
        <v>0</v>
      </c>
      <c r="S102" s="98">
        <v>0</v>
      </c>
      <c r="T102" s="98">
        <v>0</v>
      </c>
      <c r="U102" s="37">
        <f t="shared" si="17"/>
        <v>163.46</v>
      </c>
      <c r="V102" s="157"/>
      <c r="W102" s="157"/>
      <c r="X102" s="157"/>
      <c r="Y102" s="157"/>
    </row>
    <row r="103" spans="1:25">
      <c r="A103" s="147" t="s">
        <v>233</v>
      </c>
      <c r="B103" s="10" t="s">
        <v>246</v>
      </c>
      <c r="C103" s="27" t="s">
        <v>62</v>
      </c>
      <c r="D103" s="88"/>
      <c r="E103" s="53"/>
      <c r="F103" s="53">
        <v>2</v>
      </c>
      <c r="G103" s="160">
        <v>175.6</v>
      </c>
      <c r="H103" s="128">
        <f>G103*F103/1000</f>
        <v>0.35120000000000001</v>
      </c>
      <c r="I103" s="98">
        <v>0</v>
      </c>
      <c r="J103" s="98">
        <v>0</v>
      </c>
      <c r="K103" s="98">
        <v>0</v>
      </c>
      <c r="L103" s="98">
        <v>0</v>
      </c>
      <c r="M103" s="98">
        <v>0</v>
      </c>
      <c r="N103" s="98">
        <v>0</v>
      </c>
      <c r="O103" s="98">
        <f>G103</f>
        <v>175.6</v>
      </c>
      <c r="P103" s="98">
        <v>0</v>
      </c>
      <c r="Q103" s="98">
        <v>0</v>
      </c>
      <c r="R103" s="98">
        <v>0</v>
      </c>
      <c r="S103" s="98">
        <f>G103</f>
        <v>175.6</v>
      </c>
      <c r="T103" s="98">
        <v>0</v>
      </c>
      <c r="U103" s="37">
        <f t="shared" si="17"/>
        <v>351.2</v>
      </c>
      <c r="V103" s="157"/>
      <c r="W103" s="157"/>
      <c r="X103" s="157"/>
      <c r="Y103" s="157"/>
    </row>
    <row r="104" spans="1:25">
      <c r="A104" s="159" t="s">
        <v>234</v>
      </c>
      <c r="B104" s="158" t="s">
        <v>176</v>
      </c>
      <c r="C104" s="25" t="s">
        <v>62</v>
      </c>
      <c r="D104" s="88"/>
      <c r="E104" s="53"/>
      <c r="F104" s="53">
        <v>2</v>
      </c>
      <c r="G104" s="53">
        <v>179.96</v>
      </c>
      <c r="H104" s="128">
        <f>G104*F104/1000</f>
        <v>0.35992000000000002</v>
      </c>
      <c r="I104" s="98">
        <v>0</v>
      </c>
      <c r="J104" s="98">
        <v>0</v>
      </c>
      <c r="K104" s="98">
        <v>0</v>
      </c>
      <c r="L104" s="98">
        <v>0</v>
      </c>
      <c r="M104" s="98">
        <v>0</v>
      </c>
      <c r="N104" s="98">
        <v>0</v>
      </c>
      <c r="O104" s="98">
        <f>G104</f>
        <v>179.96</v>
      </c>
      <c r="P104" s="98">
        <v>0</v>
      </c>
      <c r="Q104" s="98">
        <v>0</v>
      </c>
      <c r="R104" s="98">
        <v>0</v>
      </c>
      <c r="S104" s="98">
        <f>G104</f>
        <v>179.96</v>
      </c>
      <c r="T104" s="98">
        <v>0</v>
      </c>
      <c r="U104" s="37">
        <f t="shared" si="17"/>
        <v>359.92</v>
      </c>
      <c r="V104" s="157"/>
      <c r="W104" s="157"/>
      <c r="X104" s="157"/>
      <c r="Y104" s="157"/>
    </row>
    <row r="105" spans="1:25" ht="25.5">
      <c r="A105" s="132" t="s">
        <v>235</v>
      </c>
      <c r="B105" s="133" t="s">
        <v>179</v>
      </c>
      <c r="C105" s="132" t="s">
        <v>138</v>
      </c>
      <c r="D105" s="88"/>
      <c r="E105" s="53"/>
      <c r="F105" s="53">
        <v>2</v>
      </c>
      <c r="G105" s="53">
        <v>778.86</v>
      </c>
      <c r="H105" s="128">
        <f t="shared" ref="H105:H107" si="20">G105*F105/1000</f>
        <v>1.55772</v>
      </c>
      <c r="I105" s="98">
        <v>0</v>
      </c>
      <c r="J105" s="98">
        <v>0</v>
      </c>
      <c r="K105" s="98">
        <v>0</v>
      </c>
      <c r="L105" s="98">
        <v>0</v>
      </c>
      <c r="M105" s="98">
        <v>0</v>
      </c>
      <c r="N105" s="98">
        <v>0</v>
      </c>
      <c r="O105" s="98">
        <v>0</v>
      </c>
      <c r="P105" s="98">
        <f>G105*2</f>
        <v>1557.72</v>
      </c>
      <c r="Q105" s="98">
        <v>0</v>
      </c>
      <c r="R105" s="98">
        <v>0</v>
      </c>
      <c r="S105" s="98">
        <v>0</v>
      </c>
      <c r="T105" s="98">
        <v>0</v>
      </c>
      <c r="U105" s="37">
        <f t="shared" si="17"/>
        <v>1557.72</v>
      </c>
      <c r="V105" s="157"/>
      <c r="W105" s="157"/>
      <c r="X105" s="157"/>
      <c r="Y105" s="157"/>
    </row>
    <row r="106" spans="1:25">
      <c r="A106" s="132" t="s">
        <v>180</v>
      </c>
      <c r="B106" s="133" t="s">
        <v>181</v>
      </c>
      <c r="C106" s="132" t="s">
        <v>62</v>
      </c>
      <c r="D106" s="88"/>
      <c r="E106" s="53"/>
      <c r="F106" s="53">
        <v>1</v>
      </c>
      <c r="G106" s="53">
        <v>109.73</v>
      </c>
      <c r="H106" s="128">
        <f t="shared" si="20"/>
        <v>0.10973000000000001</v>
      </c>
      <c r="I106" s="98">
        <v>0</v>
      </c>
      <c r="J106" s="98">
        <v>0</v>
      </c>
      <c r="K106" s="98">
        <v>0</v>
      </c>
      <c r="L106" s="98">
        <v>0</v>
      </c>
      <c r="M106" s="98">
        <v>0</v>
      </c>
      <c r="N106" s="98">
        <v>0</v>
      </c>
      <c r="O106" s="98">
        <v>0</v>
      </c>
      <c r="P106" s="98">
        <f>G106</f>
        <v>109.73</v>
      </c>
      <c r="Q106" s="98">
        <v>0</v>
      </c>
      <c r="R106" s="98">
        <v>0</v>
      </c>
      <c r="S106" s="98">
        <v>0</v>
      </c>
      <c r="T106" s="98">
        <v>0</v>
      </c>
      <c r="U106" s="37">
        <f t="shared" si="17"/>
        <v>109.73</v>
      </c>
      <c r="V106" s="157"/>
      <c r="W106" s="157"/>
      <c r="X106" s="157"/>
      <c r="Y106" s="157"/>
    </row>
    <row r="107" spans="1:25">
      <c r="A107" s="132" t="s">
        <v>180</v>
      </c>
      <c r="B107" s="133" t="s">
        <v>182</v>
      </c>
      <c r="C107" s="132" t="s">
        <v>62</v>
      </c>
      <c r="D107" s="88"/>
      <c r="E107" s="53"/>
      <c r="F107" s="53">
        <v>1</v>
      </c>
      <c r="G107" s="53">
        <v>78.89</v>
      </c>
      <c r="H107" s="128">
        <f t="shared" si="20"/>
        <v>7.8890000000000002E-2</v>
      </c>
      <c r="I107" s="98">
        <v>0</v>
      </c>
      <c r="J107" s="98">
        <v>0</v>
      </c>
      <c r="K107" s="98">
        <v>0</v>
      </c>
      <c r="L107" s="98">
        <v>0</v>
      </c>
      <c r="M107" s="98">
        <v>0</v>
      </c>
      <c r="N107" s="98">
        <v>0</v>
      </c>
      <c r="O107" s="98">
        <v>0</v>
      </c>
      <c r="P107" s="98">
        <f>G107</f>
        <v>78.89</v>
      </c>
      <c r="Q107" s="98">
        <v>0</v>
      </c>
      <c r="R107" s="98">
        <v>0</v>
      </c>
      <c r="S107" s="98">
        <v>0</v>
      </c>
      <c r="T107" s="98">
        <v>0</v>
      </c>
      <c r="U107" s="37">
        <f t="shared" si="17"/>
        <v>78.89</v>
      </c>
      <c r="V107" s="157"/>
      <c r="W107" s="157"/>
      <c r="X107" s="157"/>
      <c r="Y107" s="157"/>
    </row>
    <row r="108" spans="1:25" ht="25.5">
      <c r="A108" s="132" t="s">
        <v>236</v>
      </c>
      <c r="B108" s="133" t="s">
        <v>183</v>
      </c>
      <c r="C108" s="131" t="s">
        <v>184</v>
      </c>
      <c r="D108" s="88"/>
      <c r="E108" s="53"/>
      <c r="F108" s="53">
        <v>0.5</v>
      </c>
      <c r="G108" s="53">
        <f>228.27</f>
        <v>228.27</v>
      </c>
      <c r="H108" s="128">
        <f>G108*F108/1000</f>
        <v>0.114135</v>
      </c>
      <c r="I108" s="98">
        <v>0</v>
      </c>
      <c r="J108" s="98">
        <v>0</v>
      </c>
      <c r="K108" s="98">
        <v>0</v>
      </c>
      <c r="L108" s="98">
        <v>0</v>
      </c>
      <c r="M108" s="98">
        <v>0</v>
      </c>
      <c r="N108" s="98">
        <v>0</v>
      </c>
      <c r="O108" s="98">
        <v>0</v>
      </c>
      <c r="P108" s="98">
        <f>G108*F108</f>
        <v>114.13500000000001</v>
      </c>
      <c r="Q108" s="98">
        <v>0</v>
      </c>
      <c r="R108" s="98">
        <v>0</v>
      </c>
      <c r="S108" s="98">
        <v>0</v>
      </c>
      <c r="T108" s="98">
        <v>0</v>
      </c>
      <c r="U108" s="37">
        <f t="shared" si="17"/>
        <v>114.13500000000001</v>
      </c>
      <c r="V108" s="157"/>
      <c r="W108" s="157"/>
      <c r="X108" s="157"/>
      <c r="Y108" s="157"/>
    </row>
    <row r="109" spans="1:25">
      <c r="A109" s="132" t="s">
        <v>223</v>
      </c>
      <c r="B109" s="133" t="s">
        <v>238</v>
      </c>
      <c r="C109" s="132" t="s">
        <v>62</v>
      </c>
      <c r="D109" s="88"/>
      <c r="E109" s="53"/>
      <c r="F109" s="53">
        <v>2</v>
      </c>
      <c r="G109" s="160">
        <v>446.12</v>
      </c>
      <c r="H109" s="128">
        <f>G109*F109/1000</f>
        <v>0.89224000000000003</v>
      </c>
      <c r="I109" s="98">
        <v>0</v>
      </c>
      <c r="J109" s="98">
        <v>0</v>
      </c>
      <c r="K109" s="98">
        <v>0</v>
      </c>
      <c r="L109" s="98">
        <v>0</v>
      </c>
      <c r="M109" s="98">
        <v>0</v>
      </c>
      <c r="N109" s="98">
        <v>0</v>
      </c>
      <c r="O109" s="98">
        <v>0</v>
      </c>
      <c r="P109" s="98">
        <f>G109*2</f>
        <v>892.24</v>
      </c>
      <c r="Q109" s="98">
        <v>0</v>
      </c>
      <c r="R109" s="98">
        <v>0</v>
      </c>
      <c r="S109" s="98">
        <v>0</v>
      </c>
      <c r="T109" s="98">
        <v>0</v>
      </c>
      <c r="U109" s="37">
        <f t="shared" si="17"/>
        <v>892.24</v>
      </c>
      <c r="V109" s="157"/>
      <c r="W109" s="157"/>
      <c r="X109" s="157"/>
      <c r="Y109" s="157"/>
    </row>
    <row r="110" spans="1:25">
      <c r="A110" s="132" t="s">
        <v>150</v>
      </c>
      <c r="B110" s="133" t="s">
        <v>239</v>
      </c>
      <c r="C110" s="132" t="s">
        <v>240</v>
      </c>
      <c r="D110" s="88"/>
      <c r="E110" s="53"/>
      <c r="F110" s="53">
        <v>0.5</v>
      </c>
      <c r="G110" s="160">
        <v>1501</v>
      </c>
      <c r="H110" s="128">
        <f>G110*F110/1000</f>
        <v>0.75049999999999994</v>
      </c>
      <c r="I110" s="98">
        <v>0</v>
      </c>
      <c r="J110" s="98">
        <v>0</v>
      </c>
      <c r="K110" s="98">
        <v>0</v>
      </c>
      <c r="L110" s="98">
        <v>0</v>
      </c>
      <c r="M110" s="98">
        <v>0</v>
      </c>
      <c r="N110" s="98">
        <v>0</v>
      </c>
      <c r="O110" s="98">
        <v>0</v>
      </c>
      <c r="P110" s="98">
        <f>G110*0.5</f>
        <v>750.5</v>
      </c>
      <c r="Q110" s="98">
        <v>0</v>
      </c>
      <c r="R110" s="98">
        <v>0</v>
      </c>
      <c r="S110" s="98">
        <v>0</v>
      </c>
      <c r="T110" s="98">
        <v>0</v>
      </c>
      <c r="U110" s="37">
        <f t="shared" si="17"/>
        <v>750.5</v>
      </c>
      <c r="V110" s="157"/>
      <c r="W110" s="157"/>
      <c r="X110" s="157"/>
      <c r="Y110" s="157"/>
    </row>
    <row r="111" spans="1:25" ht="38.25">
      <c r="A111" s="134" t="s">
        <v>245</v>
      </c>
      <c r="B111" s="135" t="s">
        <v>243</v>
      </c>
      <c r="C111" s="134" t="s">
        <v>244</v>
      </c>
      <c r="D111" s="88"/>
      <c r="E111" s="53"/>
      <c r="F111" s="53">
        <v>2</v>
      </c>
      <c r="G111" s="160">
        <v>51.39</v>
      </c>
      <c r="H111" s="128">
        <f>G111*F111/1000</f>
        <v>0.10278</v>
      </c>
      <c r="I111" s="98">
        <v>0</v>
      </c>
      <c r="J111" s="98">
        <v>0</v>
      </c>
      <c r="K111" s="98">
        <v>0</v>
      </c>
      <c r="L111" s="98">
        <v>0</v>
      </c>
      <c r="M111" s="98">
        <v>0</v>
      </c>
      <c r="N111" s="98">
        <v>0</v>
      </c>
      <c r="O111" s="98">
        <v>0</v>
      </c>
      <c r="P111" s="98">
        <v>0</v>
      </c>
      <c r="Q111" s="98">
        <f>G111</f>
        <v>51.39</v>
      </c>
      <c r="R111" s="98">
        <v>0</v>
      </c>
      <c r="S111" s="98">
        <v>0</v>
      </c>
      <c r="T111" s="98">
        <f>G111</f>
        <v>51.39</v>
      </c>
      <c r="U111" s="37">
        <f t="shared" si="17"/>
        <v>102.78</v>
      </c>
      <c r="V111" s="157"/>
      <c r="W111" s="157"/>
      <c r="X111" s="157"/>
      <c r="Y111" s="157"/>
    </row>
    <row r="112" spans="1:25" ht="25.5">
      <c r="A112" s="134" t="s">
        <v>241</v>
      </c>
      <c r="B112" s="135" t="s">
        <v>242</v>
      </c>
      <c r="C112" s="25" t="s">
        <v>146</v>
      </c>
      <c r="D112" s="8"/>
      <c r="E112" s="66"/>
      <c r="F112" s="53">
        <v>1</v>
      </c>
      <c r="G112" s="53">
        <v>195.95</v>
      </c>
      <c r="H112" s="128">
        <f t="shared" ref="H112:H122" si="21">G112*F112/1000</f>
        <v>0.19594999999999999</v>
      </c>
      <c r="I112" s="98">
        <v>0</v>
      </c>
      <c r="J112" s="98">
        <v>0</v>
      </c>
      <c r="K112" s="98">
        <v>0</v>
      </c>
      <c r="L112" s="98">
        <v>0</v>
      </c>
      <c r="M112" s="98">
        <v>0</v>
      </c>
      <c r="N112" s="98">
        <v>0</v>
      </c>
      <c r="O112" s="98">
        <v>0</v>
      </c>
      <c r="P112" s="98">
        <v>0</v>
      </c>
      <c r="Q112" s="98">
        <f>G112</f>
        <v>195.95</v>
      </c>
      <c r="R112" s="98">
        <v>0</v>
      </c>
      <c r="S112" s="98">
        <v>0</v>
      </c>
      <c r="T112" s="98">
        <v>0</v>
      </c>
      <c r="U112" s="37">
        <f t="shared" si="17"/>
        <v>195.95</v>
      </c>
    </row>
    <row r="113" spans="1:21">
      <c r="A113" s="132" t="s">
        <v>180</v>
      </c>
      <c r="B113" s="135" t="s">
        <v>265</v>
      </c>
      <c r="C113" s="132" t="s">
        <v>62</v>
      </c>
      <c r="D113" s="8"/>
      <c r="E113" s="66"/>
      <c r="F113" s="53">
        <v>1</v>
      </c>
      <c r="G113" s="53">
        <v>50</v>
      </c>
      <c r="H113" s="128">
        <f t="shared" si="21"/>
        <v>0.05</v>
      </c>
      <c r="I113" s="98">
        <v>0</v>
      </c>
      <c r="J113" s="98">
        <v>0</v>
      </c>
      <c r="K113" s="98">
        <v>0</v>
      </c>
      <c r="L113" s="98">
        <v>0</v>
      </c>
      <c r="M113" s="98">
        <v>0</v>
      </c>
      <c r="N113" s="98">
        <v>0</v>
      </c>
      <c r="O113" s="98">
        <v>0</v>
      </c>
      <c r="P113" s="98">
        <v>0</v>
      </c>
      <c r="Q113" s="98">
        <v>0</v>
      </c>
      <c r="R113" s="98">
        <v>0</v>
      </c>
      <c r="S113" s="98">
        <f>G113</f>
        <v>50</v>
      </c>
      <c r="T113" s="98">
        <v>0</v>
      </c>
      <c r="U113" s="37">
        <f t="shared" ref="U113:U115" si="22">SUM(I113:T113)</f>
        <v>50</v>
      </c>
    </row>
    <row r="114" spans="1:21">
      <c r="A114" s="132" t="s">
        <v>180</v>
      </c>
      <c r="B114" s="133" t="s">
        <v>264</v>
      </c>
      <c r="C114" s="132" t="s">
        <v>62</v>
      </c>
      <c r="D114" s="8"/>
      <c r="E114" s="66"/>
      <c r="F114" s="53">
        <v>1</v>
      </c>
      <c r="G114" s="53">
        <v>27.36</v>
      </c>
      <c r="H114" s="128">
        <f t="shared" ref="H114" si="23">G114*F114/1000</f>
        <v>2.7359999999999999E-2</v>
      </c>
      <c r="I114" s="98">
        <v>0</v>
      </c>
      <c r="J114" s="98">
        <v>0</v>
      </c>
      <c r="K114" s="98">
        <v>0</v>
      </c>
      <c r="L114" s="98">
        <v>0</v>
      </c>
      <c r="M114" s="98">
        <v>0</v>
      </c>
      <c r="N114" s="98">
        <v>0</v>
      </c>
      <c r="O114" s="98">
        <v>0</v>
      </c>
      <c r="P114" s="98">
        <v>0</v>
      </c>
      <c r="Q114" s="98">
        <v>0</v>
      </c>
      <c r="R114" s="98">
        <v>0</v>
      </c>
      <c r="S114" s="98">
        <f>G114</f>
        <v>27.36</v>
      </c>
      <c r="T114" s="98">
        <v>0</v>
      </c>
      <c r="U114" s="37">
        <f t="shared" si="22"/>
        <v>27.36</v>
      </c>
    </row>
    <row r="115" spans="1:21">
      <c r="A115" s="132" t="s">
        <v>180</v>
      </c>
      <c r="B115" s="135" t="s">
        <v>266</v>
      </c>
      <c r="C115" s="132" t="s">
        <v>62</v>
      </c>
      <c r="D115" s="8"/>
      <c r="E115" s="66"/>
      <c r="F115" s="53">
        <v>1</v>
      </c>
      <c r="G115" s="53">
        <v>112</v>
      </c>
      <c r="H115" s="128">
        <f t="shared" si="21"/>
        <v>0.112</v>
      </c>
      <c r="I115" s="98">
        <v>0</v>
      </c>
      <c r="J115" s="98">
        <v>0</v>
      </c>
      <c r="K115" s="98">
        <v>0</v>
      </c>
      <c r="L115" s="98">
        <v>0</v>
      </c>
      <c r="M115" s="98">
        <v>0</v>
      </c>
      <c r="N115" s="98">
        <v>0</v>
      </c>
      <c r="O115" s="98">
        <v>0</v>
      </c>
      <c r="P115" s="98">
        <v>0</v>
      </c>
      <c r="Q115" s="98">
        <v>0</v>
      </c>
      <c r="R115" s="98">
        <v>0</v>
      </c>
      <c r="S115" s="98">
        <f>G115</f>
        <v>112</v>
      </c>
      <c r="T115" s="98">
        <v>0</v>
      </c>
      <c r="U115" s="37">
        <f t="shared" si="22"/>
        <v>112</v>
      </c>
    </row>
    <row r="116" spans="1:21" ht="25.5">
      <c r="A116" s="136" t="s">
        <v>137</v>
      </c>
      <c r="B116" s="135" t="s">
        <v>257</v>
      </c>
      <c r="C116" s="25" t="s">
        <v>138</v>
      </c>
      <c r="D116" s="8"/>
      <c r="E116" s="66"/>
      <c r="F116" s="53">
        <v>8</v>
      </c>
      <c r="G116" s="53">
        <v>1206</v>
      </c>
      <c r="H116" s="128">
        <f t="shared" si="21"/>
        <v>9.6479999999999997</v>
      </c>
      <c r="I116" s="98">
        <v>0</v>
      </c>
      <c r="J116" s="98">
        <v>0</v>
      </c>
      <c r="K116" s="98">
        <v>0</v>
      </c>
      <c r="L116" s="98">
        <v>0</v>
      </c>
      <c r="M116" s="98">
        <v>0</v>
      </c>
      <c r="N116" s="98">
        <v>0</v>
      </c>
      <c r="O116" s="98">
        <v>0</v>
      </c>
      <c r="P116" s="98">
        <v>0</v>
      </c>
      <c r="Q116" s="98">
        <v>0</v>
      </c>
      <c r="R116" s="98">
        <v>0</v>
      </c>
      <c r="S116" s="98">
        <f>G116*8</f>
        <v>9648</v>
      </c>
      <c r="T116" s="98">
        <v>0</v>
      </c>
      <c r="U116" s="37">
        <f t="shared" si="17"/>
        <v>9648</v>
      </c>
    </row>
    <row r="117" spans="1:21">
      <c r="A117" s="139" t="s">
        <v>248</v>
      </c>
      <c r="B117" s="133" t="s">
        <v>249</v>
      </c>
      <c r="C117" s="142" t="s">
        <v>178</v>
      </c>
      <c r="D117" s="8"/>
      <c r="E117" s="66"/>
      <c r="F117" s="53">
        <f>0.2/10</f>
        <v>0.02</v>
      </c>
      <c r="G117" s="53">
        <v>19775.830000000002</v>
      </c>
      <c r="H117" s="128">
        <f t="shared" si="21"/>
        <v>0.39551660000000005</v>
      </c>
      <c r="I117" s="98">
        <v>0</v>
      </c>
      <c r="J117" s="98">
        <v>0</v>
      </c>
      <c r="K117" s="98">
        <v>0</v>
      </c>
      <c r="L117" s="98">
        <v>0</v>
      </c>
      <c r="M117" s="98">
        <v>0</v>
      </c>
      <c r="N117" s="98">
        <v>0</v>
      </c>
      <c r="O117" s="98">
        <v>0</v>
      </c>
      <c r="P117" s="98">
        <v>0</v>
      </c>
      <c r="Q117" s="98">
        <v>0</v>
      </c>
      <c r="R117" s="98">
        <v>0</v>
      </c>
      <c r="S117" s="98">
        <f>G117*F117</f>
        <v>395.51660000000004</v>
      </c>
      <c r="T117" s="98">
        <v>0</v>
      </c>
      <c r="U117" s="37">
        <f t="shared" si="17"/>
        <v>395.51660000000004</v>
      </c>
    </row>
    <row r="118" spans="1:21">
      <c r="A118" s="159" t="s">
        <v>250</v>
      </c>
      <c r="B118" s="135" t="s">
        <v>251</v>
      </c>
      <c r="C118" s="136" t="s">
        <v>247</v>
      </c>
      <c r="D118" s="8"/>
      <c r="E118" s="66"/>
      <c r="F118" s="53">
        <v>1</v>
      </c>
      <c r="G118" s="53">
        <v>2041.36</v>
      </c>
      <c r="H118" s="128">
        <f t="shared" si="21"/>
        <v>2.0413600000000001</v>
      </c>
      <c r="I118" s="98">
        <v>0</v>
      </c>
      <c r="J118" s="98">
        <v>0</v>
      </c>
      <c r="K118" s="98">
        <v>0</v>
      </c>
      <c r="L118" s="98">
        <v>0</v>
      </c>
      <c r="M118" s="98">
        <v>0</v>
      </c>
      <c r="N118" s="98">
        <v>0</v>
      </c>
      <c r="O118" s="98">
        <v>0</v>
      </c>
      <c r="P118" s="98">
        <v>0</v>
      </c>
      <c r="Q118" s="98">
        <v>0</v>
      </c>
      <c r="R118" s="98">
        <v>0</v>
      </c>
      <c r="S118" s="98">
        <f>G118</f>
        <v>2041.36</v>
      </c>
      <c r="T118" s="98">
        <v>0</v>
      </c>
      <c r="U118" s="37">
        <f t="shared" si="17"/>
        <v>2041.36</v>
      </c>
    </row>
    <row r="119" spans="1:21">
      <c r="A119" s="159" t="s">
        <v>254</v>
      </c>
      <c r="B119" s="158" t="s">
        <v>253</v>
      </c>
      <c r="C119" s="136" t="s">
        <v>62</v>
      </c>
      <c r="D119" s="8"/>
      <c r="E119" s="66"/>
      <c r="F119" s="53">
        <v>2</v>
      </c>
      <c r="G119" s="53">
        <v>154.51</v>
      </c>
      <c r="H119" s="128">
        <f t="shared" si="21"/>
        <v>0.30901999999999996</v>
      </c>
      <c r="I119" s="98">
        <v>0</v>
      </c>
      <c r="J119" s="98">
        <v>0</v>
      </c>
      <c r="K119" s="98">
        <v>0</v>
      </c>
      <c r="L119" s="98">
        <v>0</v>
      </c>
      <c r="M119" s="98">
        <v>0</v>
      </c>
      <c r="N119" s="98">
        <v>0</v>
      </c>
      <c r="O119" s="98">
        <v>0</v>
      </c>
      <c r="P119" s="98">
        <v>0</v>
      </c>
      <c r="Q119" s="98">
        <v>0</v>
      </c>
      <c r="R119" s="98">
        <v>0</v>
      </c>
      <c r="S119" s="98">
        <f>G119*2</f>
        <v>309.02</v>
      </c>
      <c r="T119" s="98">
        <v>0</v>
      </c>
      <c r="U119" s="37">
        <f t="shared" si="17"/>
        <v>309.02</v>
      </c>
    </row>
    <row r="120" spans="1:21">
      <c r="A120" s="139" t="s">
        <v>256</v>
      </c>
      <c r="B120" s="140" t="s">
        <v>255</v>
      </c>
      <c r="C120" s="131" t="s">
        <v>83</v>
      </c>
      <c r="D120" s="8"/>
      <c r="E120" s="66"/>
      <c r="F120" s="53">
        <f>2/10</f>
        <v>0.2</v>
      </c>
      <c r="G120" s="53">
        <v>3800</v>
      </c>
      <c r="H120" s="128">
        <f t="shared" si="21"/>
        <v>0.76</v>
      </c>
      <c r="I120" s="98">
        <v>0</v>
      </c>
      <c r="J120" s="98">
        <v>0</v>
      </c>
      <c r="K120" s="98">
        <v>0</v>
      </c>
      <c r="L120" s="98">
        <v>0</v>
      </c>
      <c r="M120" s="98">
        <v>0</v>
      </c>
      <c r="N120" s="98">
        <v>0</v>
      </c>
      <c r="O120" s="98">
        <v>0</v>
      </c>
      <c r="P120" s="98">
        <v>0</v>
      </c>
      <c r="Q120" s="98">
        <v>0</v>
      </c>
      <c r="R120" s="98">
        <v>0</v>
      </c>
      <c r="S120" s="98">
        <f>G120*0.2</f>
        <v>760</v>
      </c>
      <c r="T120" s="98">
        <v>0</v>
      </c>
      <c r="U120" s="37">
        <f t="shared" si="17"/>
        <v>760</v>
      </c>
    </row>
    <row r="121" spans="1:21">
      <c r="A121" s="134" t="s">
        <v>261</v>
      </c>
      <c r="B121" s="135" t="s">
        <v>262</v>
      </c>
      <c r="C121" s="25" t="s">
        <v>263</v>
      </c>
      <c r="D121" s="88"/>
      <c r="E121" s="53"/>
      <c r="F121" s="53">
        <v>1</v>
      </c>
      <c r="G121" s="53">
        <v>185.81</v>
      </c>
      <c r="H121" s="128">
        <f t="shared" si="21"/>
        <v>0.18581</v>
      </c>
      <c r="I121" s="98">
        <v>0</v>
      </c>
      <c r="J121" s="98">
        <v>0</v>
      </c>
      <c r="K121" s="98">
        <v>0</v>
      </c>
      <c r="L121" s="98">
        <v>0</v>
      </c>
      <c r="M121" s="98">
        <v>0</v>
      </c>
      <c r="N121" s="98">
        <v>0</v>
      </c>
      <c r="O121" s="98">
        <v>0</v>
      </c>
      <c r="P121" s="98">
        <v>0</v>
      </c>
      <c r="Q121" s="98">
        <v>0</v>
      </c>
      <c r="R121" s="98">
        <v>0</v>
      </c>
      <c r="S121" s="98">
        <v>0</v>
      </c>
      <c r="T121" s="98">
        <f>G121</f>
        <v>185.81</v>
      </c>
      <c r="U121" s="37">
        <f t="shared" si="17"/>
        <v>185.81</v>
      </c>
    </row>
    <row r="122" spans="1:21">
      <c r="A122" s="147" t="s">
        <v>212</v>
      </c>
      <c r="B122" s="10" t="s">
        <v>258</v>
      </c>
      <c r="C122" s="27" t="s">
        <v>13</v>
      </c>
      <c r="D122" s="8"/>
      <c r="E122" s="66"/>
      <c r="F122" s="53">
        <f>(0.1*18)/100</f>
        <v>1.8000000000000002E-2</v>
      </c>
      <c r="G122" s="53">
        <v>1925.33</v>
      </c>
      <c r="H122" s="128">
        <f t="shared" si="21"/>
        <v>3.4655940000000003E-2</v>
      </c>
      <c r="I122" s="98">
        <v>0</v>
      </c>
      <c r="J122" s="98">
        <v>0</v>
      </c>
      <c r="K122" s="98">
        <v>0</v>
      </c>
      <c r="L122" s="98">
        <v>0</v>
      </c>
      <c r="M122" s="98">
        <v>0</v>
      </c>
      <c r="N122" s="98">
        <v>0</v>
      </c>
      <c r="O122" s="98">
        <v>0</v>
      </c>
      <c r="P122" s="98">
        <v>0</v>
      </c>
      <c r="Q122" s="98">
        <v>0</v>
      </c>
      <c r="R122" s="98">
        <v>0</v>
      </c>
      <c r="S122" s="98">
        <v>0</v>
      </c>
      <c r="T122" s="98">
        <f>G122*F122</f>
        <v>34.655940000000001</v>
      </c>
      <c r="U122" s="37">
        <f t="shared" ref="U122" si="24">SUM(I122:T122)</f>
        <v>34.655940000000001</v>
      </c>
    </row>
    <row r="123" spans="1:21" s="18" customFormat="1">
      <c r="A123" s="99"/>
      <c r="B123" s="100" t="s">
        <v>96</v>
      </c>
      <c r="C123" s="99"/>
      <c r="D123" s="99"/>
      <c r="E123" s="93"/>
      <c r="F123" s="93"/>
      <c r="G123" s="93"/>
      <c r="H123" s="45">
        <f>SUM(H89:H122)</f>
        <v>111.82155354000001</v>
      </c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44">
        <f>SUM(U89:U122)</f>
        <v>111821.55354000001</v>
      </c>
    </row>
    <row r="124" spans="1:21">
      <c r="A124" s="96"/>
      <c r="B124" s="101"/>
      <c r="C124" s="102"/>
      <c r="D124" s="102"/>
      <c r="E124" s="53"/>
      <c r="F124" s="53"/>
      <c r="G124" s="53"/>
      <c r="H124" s="103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126"/>
    </row>
    <row r="125" spans="1:21" ht="12" customHeight="1">
      <c r="A125" s="151"/>
      <c r="B125" s="17" t="s">
        <v>97</v>
      </c>
      <c r="C125" s="65"/>
      <c r="D125" s="88"/>
      <c r="E125" s="53"/>
      <c r="F125" s="53"/>
      <c r="G125" s="53"/>
      <c r="H125" s="104">
        <f>H123/E126/12*1000</f>
        <v>2.3705069435258204</v>
      </c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126"/>
    </row>
    <row r="126" spans="1:21" s="18" customFormat="1">
      <c r="A126" s="83"/>
      <c r="B126" s="105" t="s">
        <v>98</v>
      </c>
      <c r="C126" s="106"/>
      <c r="D126" s="105"/>
      <c r="E126" s="156">
        <v>3931</v>
      </c>
      <c r="F126" s="107">
        <f>SUM(E126*12)</f>
        <v>47172</v>
      </c>
      <c r="G126" s="108">
        <f>H86+H125</f>
        <v>23.626585253883661</v>
      </c>
      <c r="H126" s="109">
        <f>SUM(F126*G126/1000)</f>
        <v>1114.5132795961999</v>
      </c>
      <c r="I126" s="93">
        <f t="shared" ref="I126:R126" si="25">SUM(I11:I125)</f>
        <v>93707.991798783361</v>
      </c>
      <c r="J126" s="93">
        <f t="shared" si="25"/>
        <v>87548.085298783335</v>
      </c>
      <c r="K126" s="93">
        <f t="shared" si="25"/>
        <v>91665.204198783351</v>
      </c>
      <c r="L126" s="93">
        <f t="shared" si="25"/>
        <v>139011.83229878335</v>
      </c>
      <c r="M126" s="93">
        <f>SUM(M11:M125)</f>
        <v>159405.84578490001</v>
      </c>
      <c r="N126" s="93">
        <f t="shared" si="25"/>
        <v>56898.605640200003</v>
      </c>
      <c r="O126" s="93">
        <f t="shared" si="25"/>
        <v>74449.268640200025</v>
      </c>
      <c r="P126" s="93">
        <f t="shared" si="25"/>
        <v>85731.900640200009</v>
      </c>
      <c r="Q126" s="93">
        <f t="shared" si="25"/>
        <v>66208.124437800012</v>
      </c>
      <c r="R126" s="93">
        <f t="shared" si="25"/>
        <v>56185.952140199995</v>
      </c>
      <c r="S126" s="93">
        <f>SUM(S11:S125)</f>
        <v>79906.388498783359</v>
      </c>
      <c r="T126" s="93">
        <f>SUM(T11:T125)</f>
        <v>65834.771238783331</v>
      </c>
      <c r="U126" s="44">
        <f>U83+U123</f>
        <v>1145358.8178213632</v>
      </c>
    </row>
    <row r="127" spans="1:21">
      <c r="A127" s="68"/>
      <c r="B127" s="68"/>
      <c r="C127" s="68"/>
      <c r="D127" s="68"/>
      <c r="E127" s="110"/>
      <c r="F127" s="110"/>
      <c r="G127" s="110"/>
      <c r="H127" s="110"/>
      <c r="I127" s="110"/>
      <c r="J127" s="110"/>
      <c r="K127" s="110"/>
      <c r="L127" s="110"/>
      <c r="M127" s="68"/>
      <c r="N127" s="110"/>
      <c r="O127" s="68"/>
      <c r="P127" s="68"/>
      <c r="Q127" s="68"/>
      <c r="R127" s="68"/>
      <c r="S127" s="68"/>
      <c r="T127" s="68"/>
      <c r="U127" s="68"/>
    </row>
    <row r="128" spans="1:21">
      <c r="A128" s="68"/>
      <c r="B128" s="68"/>
      <c r="C128" s="68"/>
      <c r="D128" s="68"/>
      <c r="E128" s="110"/>
      <c r="F128" s="110"/>
      <c r="G128" s="110"/>
      <c r="H128" s="110"/>
      <c r="I128" s="110"/>
      <c r="J128" s="111"/>
      <c r="K128" s="112"/>
      <c r="L128" s="111"/>
      <c r="M128" s="110"/>
      <c r="N128" s="68"/>
      <c r="O128" s="68"/>
      <c r="P128" s="68"/>
      <c r="Q128" s="68"/>
      <c r="R128" s="68"/>
      <c r="S128" s="68"/>
      <c r="T128" s="68"/>
      <c r="U128" s="68"/>
    </row>
    <row r="129" spans="1:21" ht="45">
      <c r="A129" s="68"/>
      <c r="B129" s="113" t="s">
        <v>147</v>
      </c>
      <c r="C129" s="161">
        <v>-286411.94</v>
      </c>
      <c r="D129" s="162"/>
      <c r="E129" s="162"/>
      <c r="F129" s="163"/>
      <c r="G129" s="110"/>
      <c r="H129" s="110"/>
      <c r="I129" s="110"/>
      <c r="J129" s="111"/>
      <c r="K129" s="112"/>
      <c r="L129" s="111"/>
      <c r="M129" s="110"/>
      <c r="N129" s="68"/>
      <c r="O129" s="68"/>
      <c r="P129" s="68"/>
      <c r="Q129" s="68"/>
      <c r="R129" s="68"/>
      <c r="S129" s="68"/>
      <c r="T129" s="68"/>
      <c r="U129" s="68"/>
    </row>
    <row r="130" spans="1:21" ht="30">
      <c r="A130" s="68"/>
      <c r="B130" s="21" t="s">
        <v>153</v>
      </c>
      <c r="C130" s="165">
        <f>94504.34*12</f>
        <v>1134052.08</v>
      </c>
      <c r="D130" s="166"/>
      <c r="E130" s="166"/>
      <c r="F130" s="167"/>
      <c r="G130" s="110"/>
      <c r="H130" s="110"/>
      <c r="I130" s="110"/>
      <c r="J130" s="111"/>
      <c r="K130" s="112"/>
      <c r="L130" s="111"/>
      <c r="M130" s="110"/>
      <c r="N130" s="68"/>
      <c r="O130" s="68"/>
      <c r="P130" s="68"/>
      <c r="Q130" s="68"/>
      <c r="R130" s="68"/>
      <c r="S130" s="68"/>
      <c r="T130" s="68"/>
      <c r="U130" s="68"/>
    </row>
    <row r="131" spans="1:21" ht="30">
      <c r="A131" s="68"/>
      <c r="B131" s="21" t="s">
        <v>158</v>
      </c>
      <c r="C131" s="165">
        <f>SUM(U126-U123)</f>
        <v>1033537.2642813632</v>
      </c>
      <c r="D131" s="166"/>
      <c r="E131" s="166"/>
      <c r="F131" s="167"/>
      <c r="G131" s="110"/>
      <c r="H131" s="110"/>
      <c r="I131" s="110"/>
      <c r="J131" s="111"/>
      <c r="K131" s="112"/>
      <c r="L131" s="111"/>
      <c r="M131" s="110"/>
      <c r="N131" s="68"/>
      <c r="O131" s="68"/>
      <c r="P131" s="68"/>
      <c r="Q131" s="68"/>
      <c r="R131" s="68"/>
      <c r="S131" s="68"/>
      <c r="T131" s="68"/>
      <c r="U131" s="68"/>
    </row>
    <row r="132" spans="1:21" ht="30">
      <c r="A132" s="68"/>
      <c r="B132" s="21" t="s">
        <v>154</v>
      </c>
      <c r="C132" s="165">
        <f>SUM(U123)</f>
        <v>111821.55354000001</v>
      </c>
      <c r="D132" s="166"/>
      <c r="E132" s="166"/>
      <c r="F132" s="167"/>
      <c r="G132" s="110"/>
      <c r="H132" s="110"/>
      <c r="I132" s="110"/>
      <c r="J132" s="111"/>
      <c r="K132" s="112"/>
      <c r="L132" s="111"/>
      <c r="M132" s="110"/>
      <c r="N132" s="68"/>
      <c r="O132" s="68"/>
      <c r="P132" s="68"/>
      <c r="Q132" s="68"/>
      <c r="R132" s="68"/>
      <c r="S132" s="68"/>
      <c r="T132" s="68"/>
      <c r="U132" s="68"/>
    </row>
    <row r="133" spans="1:21" ht="18">
      <c r="A133" s="68"/>
      <c r="B133" s="121" t="s">
        <v>155</v>
      </c>
      <c r="C133" s="165">
        <f>80084.98+84491.39+94296.48+82434.14+87133.93+103274.38+99403.53+90257.28+74039.64+71826.82+93695.71+83856.46</f>
        <v>1044794.74</v>
      </c>
      <c r="D133" s="166"/>
      <c r="E133" s="166"/>
      <c r="F133" s="167"/>
      <c r="G133" s="68"/>
      <c r="I133" s="114" t="s">
        <v>103</v>
      </c>
      <c r="J133" s="115"/>
      <c r="K133" s="116"/>
      <c r="L133" s="117"/>
      <c r="M133" s="114"/>
      <c r="N133" s="114"/>
      <c r="O133" s="68"/>
      <c r="P133" s="68"/>
      <c r="Q133" s="68"/>
      <c r="R133" s="68"/>
      <c r="S133" s="68"/>
      <c r="T133" s="68"/>
      <c r="U133" s="68"/>
    </row>
    <row r="134" spans="1:21" ht="78.75" customHeight="1">
      <c r="A134" s="68"/>
      <c r="B134" s="22" t="s">
        <v>259</v>
      </c>
      <c r="C134" s="168">
        <v>496991.35</v>
      </c>
      <c r="D134" s="169"/>
      <c r="E134" s="169"/>
      <c r="F134" s="170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</row>
    <row r="135" spans="1:21" ht="45">
      <c r="A135" s="68"/>
      <c r="B135" s="118" t="s">
        <v>260</v>
      </c>
      <c r="C135" s="164">
        <f>SUM(U126-C130)+C129</f>
        <v>-275105.20217863686</v>
      </c>
      <c r="D135" s="162"/>
      <c r="E135" s="162"/>
      <c r="F135" s="163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</row>
    <row r="137" spans="1:21">
      <c r="J137" s="3"/>
      <c r="K137" s="4"/>
      <c r="L137" s="4"/>
      <c r="M137" s="2"/>
    </row>
    <row r="138" spans="1:21">
      <c r="G138" s="5"/>
      <c r="H138" s="5"/>
    </row>
    <row r="139" spans="1:21">
      <c r="G139" s="6"/>
    </row>
  </sheetData>
  <mergeCells count="12">
    <mergeCell ref="B3:L3"/>
    <mergeCell ref="B4:L4"/>
    <mergeCell ref="B5:L5"/>
    <mergeCell ref="B6:L6"/>
    <mergeCell ref="X86:AB86"/>
    <mergeCell ref="C129:F129"/>
    <mergeCell ref="C135:F135"/>
    <mergeCell ref="C130:F130"/>
    <mergeCell ref="C131:F131"/>
    <mergeCell ref="C132:F132"/>
    <mergeCell ref="C133:F133"/>
    <mergeCell ref="C134:F134"/>
  </mergeCells>
  <pageMargins left="0.31496062992125984" right="0.31496062992125984" top="0.15748031496062992" bottom="0.19685039370078741" header="0.15748031496062992" footer="0.15748031496062992"/>
  <pageSetup paperSize="9" scale="34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Косм.,8</vt:lpstr>
      <vt:lpstr>'Косм.,8'!Область_печати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2017-04-10T06:00:35Z</dcterms:modified>
</cp:coreProperties>
</file>