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0130" windowHeight="7650"/>
  </bookViews>
  <sheets>
    <sheet name="Нефт.,11" sheetId="1" r:id="rId1"/>
  </sheets>
  <definedNames>
    <definedName name="_xlnm.Print_Area" localSheetId="0">'Нефт.,11'!$A$1:$U$132</definedName>
  </definedNames>
  <calcPr calcId="124519"/>
</workbook>
</file>

<file path=xl/calcChain.xml><?xml version="1.0" encoding="utf-8"?>
<calcChain xmlns="http://schemas.openxmlformats.org/spreadsheetml/2006/main">
  <c r="R100" i="1"/>
  <c r="R62"/>
  <c r="Q108"/>
  <c r="F108"/>
  <c r="R111"/>
  <c r="R108"/>
  <c r="T117"/>
  <c r="U117"/>
  <c r="H117"/>
  <c r="T116"/>
  <c r="U116" s="1"/>
  <c r="H115"/>
  <c r="H116"/>
  <c r="U115"/>
  <c r="T115"/>
  <c r="T118" l="1"/>
  <c r="F118"/>
  <c r="U118"/>
  <c r="H118"/>
  <c r="T62"/>
  <c r="C130" l="1"/>
  <c r="C127"/>
  <c r="T119"/>
  <c r="F119"/>
  <c r="U119"/>
  <c r="H119"/>
  <c r="T91" l="1"/>
  <c r="T90"/>
  <c r="T42"/>
  <c r="T35"/>
  <c r="S35"/>
  <c r="S108"/>
  <c r="S114"/>
  <c r="H114"/>
  <c r="U114" l="1"/>
  <c r="S113"/>
  <c r="U113" s="1"/>
  <c r="H113"/>
  <c r="S110"/>
  <c r="R109"/>
  <c r="U109" s="1"/>
  <c r="H109"/>
  <c r="R110"/>
  <c r="U110" s="1"/>
  <c r="H110"/>
  <c r="H111" l="1"/>
  <c r="F112"/>
  <c r="H112" s="1"/>
  <c r="R112" l="1"/>
  <c r="U112" s="1"/>
  <c r="S101"/>
  <c r="R94"/>
  <c r="R91"/>
  <c r="R101"/>
  <c r="U108"/>
  <c r="H108"/>
  <c r="U111" l="1"/>
  <c r="Q91" l="1"/>
  <c r="Q69"/>
  <c r="R53"/>
  <c r="S42"/>
  <c r="R27"/>
  <c r="Q27"/>
  <c r="P71" l="1"/>
  <c r="U107"/>
  <c r="P107"/>
  <c r="H107"/>
  <c r="P106"/>
  <c r="U106" s="1"/>
  <c r="H106"/>
  <c r="P100"/>
  <c r="P54"/>
  <c r="P27"/>
  <c r="O27" l="1"/>
  <c r="N103"/>
  <c r="U103" s="1"/>
  <c r="H103"/>
  <c r="N93"/>
  <c r="F102"/>
  <c r="N102" s="1"/>
  <c r="U102" s="1"/>
  <c r="F104"/>
  <c r="N104" s="1"/>
  <c r="N105"/>
  <c r="U105" s="1"/>
  <c r="F105"/>
  <c r="H105" s="1"/>
  <c r="H102" l="1"/>
  <c r="H104"/>
  <c r="U104"/>
  <c r="N91"/>
  <c r="N101"/>
  <c r="U101" s="1"/>
  <c r="H101"/>
  <c r="N100"/>
  <c r="M91"/>
  <c r="M75"/>
  <c r="N27"/>
  <c r="M53"/>
  <c r="L63"/>
  <c r="U100"/>
  <c r="M100"/>
  <c r="H100"/>
  <c r="I54"/>
  <c r="M27"/>
  <c r="M19"/>
  <c r="M20"/>
  <c r="L99"/>
  <c r="U99" s="1"/>
  <c r="H99"/>
  <c r="L71" l="1"/>
  <c r="L98"/>
  <c r="U98" s="1"/>
  <c r="H98"/>
  <c r="L62"/>
  <c r="L54"/>
  <c r="L53"/>
  <c r="L42"/>
  <c r="L35"/>
  <c r="K35"/>
  <c r="K95" l="1"/>
  <c r="U95" s="1"/>
  <c r="H95"/>
  <c r="I63"/>
  <c r="K63"/>
  <c r="K91"/>
  <c r="K97"/>
  <c r="U97" s="1"/>
  <c r="H97"/>
  <c r="K96"/>
  <c r="U96" s="1"/>
  <c r="H96"/>
  <c r="K62"/>
  <c r="H38"/>
  <c r="K42" l="1"/>
  <c r="J35"/>
  <c r="J93" l="1"/>
  <c r="J94"/>
  <c r="U94" s="1"/>
  <c r="H94"/>
  <c r="U93" l="1"/>
  <c r="H93"/>
  <c r="G92" l="1"/>
  <c r="H92" s="1"/>
  <c r="J92" l="1"/>
  <c r="U92" s="1"/>
  <c r="J91"/>
  <c r="U91" s="1"/>
  <c r="H91"/>
  <c r="J90" l="1"/>
  <c r="U90" s="1"/>
  <c r="U120" s="1"/>
  <c r="H90"/>
  <c r="H120" s="1"/>
  <c r="S79" l="1"/>
  <c r="U79" s="1"/>
  <c r="F123" l="1"/>
  <c r="H122" l="1"/>
  <c r="C129"/>
  <c r="E82"/>
  <c r="F82" s="1"/>
  <c r="T82" s="1"/>
  <c r="R82" l="1"/>
  <c r="S82"/>
  <c r="Q82"/>
  <c r="P82"/>
  <c r="O82"/>
  <c r="N82"/>
  <c r="M82"/>
  <c r="L82"/>
  <c r="K82"/>
  <c r="J82"/>
  <c r="I82"/>
  <c r="H82"/>
  <c r="F80"/>
  <c r="H79"/>
  <c r="U77"/>
  <c r="H77"/>
  <c r="U75"/>
  <c r="T80" l="1"/>
  <c r="S80"/>
  <c r="Q80"/>
  <c r="R80"/>
  <c r="O80"/>
  <c r="P80"/>
  <c r="N80"/>
  <c r="M80"/>
  <c r="L80"/>
  <c r="K80"/>
  <c r="J80"/>
  <c r="U82"/>
  <c r="U83" s="1"/>
  <c r="I80"/>
  <c r="U80" s="1"/>
  <c r="U81" s="1"/>
  <c r="H80"/>
  <c r="H81" s="1"/>
  <c r="H83"/>
  <c r="H75"/>
  <c r="U74"/>
  <c r="F74"/>
  <c r="U73"/>
  <c r="U72"/>
  <c r="U71"/>
  <c r="U69"/>
  <c r="F69"/>
  <c r="H69" s="1"/>
  <c r="F68"/>
  <c r="M68" s="1"/>
  <c r="U68" s="1"/>
  <c r="F67"/>
  <c r="F66"/>
  <c r="F65"/>
  <c r="F64"/>
  <c r="U63"/>
  <c r="H63"/>
  <c r="U62"/>
  <c r="H62"/>
  <c r="F60"/>
  <c r="U59"/>
  <c r="T60" l="1"/>
  <c r="S60"/>
  <c r="Q60"/>
  <c r="R60"/>
  <c r="P60"/>
  <c r="O60"/>
  <c r="N60"/>
  <c r="M60"/>
  <c r="L60"/>
  <c r="H64"/>
  <c r="M64"/>
  <c r="U64" s="1"/>
  <c r="H65"/>
  <c r="M65"/>
  <c r="U65" s="1"/>
  <c r="H66"/>
  <c r="M66"/>
  <c r="U66" s="1"/>
  <c r="H67"/>
  <c r="M67"/>
  <c r="U67" s="1"/>
  <c r="K60"/>
  <c r="H68"/>
  <c r="J60"/>
  <c r="I60"/>
  <c r="H60" s="1"/>
  <c r="H74"/>
  <c r="F59"/>
  <c r="H59" s="1"/>
  <c r="F57"/>
  <c r="T57" l="1"/>
  <c r="S57"/>
  <c r="L57"/>
  <c r="K57"/>
  <c r="U60"/>
  <c r="J57"/>
  <c r="I57"/>
  <c r="H57"/>
  <c r="H78" s="1"/>
  <c r="U54"/>
  <c r="F54"/>
  <c r="H54" s="1"/>
  <c r="U53"/>
  <c r="H53"/>
  <c r="F52"/>
  <c r="F51"/>
  <c r="H51" s="1"/>
  <c r="F50"/>
  <c r="T50" l="1"/>
  <c r="Q50"/>
  <c r="R51"/>
  <c r="M51"/>
  <c r="U51" s="1"/>
  <c r="R52"/>
  <c r="M52"/>
  <c r="U52" s="1"/>
  <c r="J50"/>
  <c r="M50"/>
  <c r="U57"/>
  <c r="U78" s="1"/>
  <c r="H52"/>
  <c r="I50"/>
  <c r="H50"/>
  <c r="F49"/>
  <c r="F48"/>
  <c r="F47"/>
  <c r="F46"/>
  <c r="F45"/>
  <c r="J42"/>
  <c r="I42"/>
  <c r="H42"/>
  <c r="F41"/>
  <c r="T41" s="1"/>
  <c r="F40"/>
  <c r="T40" s="1"/>
  <c r="F39"/>
  <c r="T39" s="1"/>
  <c r="U38"/>
  <c r="U50" l="1"/>
  <c r="L39"/>
  <c r="S39"/>
  <c r="L41"/>
  <c r="S41"/>
  <c r="Q48"/>
  <c r="M48"/>
  <c r="L40"/>
  <c r="S40"/>
  <c r="Q45"/>
  <c r="M45"/>
  <c r="Q47"/>
  <c r="M47"/>
  <c r="Q49"/>
  <c r="M49"/>
  <c r="I41"/>
  <c r="H41" s="1"/>
  <c r="U42"/>
  <c r="Q46"/>
  <c r="M46"/>
  <c r="H45"/>
  <c r="H46"/>
  <c r="H47"/>
  <c r="H48"/>
  <c r="H49"/>
  <c r="I39"/>
  <c r="K39"/>
  <c r="J41"/>
  <c r="K41"/>
  <c r="J40"/>
  <c r="K40"/>
  <c r="H39"/>
  <c r="J39"/>
  <c r="I40"/>
  <c r="H40"/>
  <c r="H55"/>
  <c r="F37"/>
  <c r="T37" s="1"/>
  <c r="F36"/>
  <c r="I35"/>
  <c r="H35"/>
  <c r="F32"/>
  <c r="T32" s="1"/>
  <c r="U31"/>
  <c r="H31"/>
  <c r="U30"/>
  <c r="H30"/>
  <c r="F29"/>
  <c r="H28"/>
  <c r="F28"/>
  <c r="U27"/>
  <c r="F26"/>
  <c r="F25"/>
  <c r="F24"/>
  <c r="S29" l="1"/>
  <c r="T29"/>
  <c r="S36"/>
  <c r="T36"/>
  <c r="U46"/>
  <c r="U49"/>
  <c r="U47"/>
  <c r="U45"/>
  <c r="U48"/>
  <c r="U41"/>
  <c r="R29"/>
  <c r="Q29"/>
  <c r="P29"/>
  <c r="O29"/>
  <c r="N29"/>
  <c r="R25"/>
  <c r="Q25"/>
  <c r="P25"/>
  <c r="O25"/>
  <c r="N25"/>
  <c r="S32"/>
  <c r="Q32"/>
  <c r="R32"/>
  <c r="P32"/>
  <c r="O32"/>
  <c r="N32"/>
  <c r="L37"/>
  <c r="S37"/>
  <c r="U40"/>
  <c r="R24"/>
  <c r="Q24"/>
  <c r="P24"/>
  <c r="O24"/>
  <c r="N24"/>
  <c r="M24"/>
  <c r="M28"/>
  <c r="R28"/>
  <c r="Q28"/>
  <c r="P28"/>
  <c r="O28"/>
  <c r="N28"/>
  <c r="U55"/>
  <c r="H25"/>
  <c r="M25"/>
  <c r="U25" s="1"/>
  <c r="H26"/>
  <c r="M26"/>
  <c r="U26" s="1"/>
  <c r="M29"/>
  <c r="K29"/>
  <c r="L29"/>
  <c r="H36"/>
  <c r="L36"/>
  <c r="H24"/>
  <c r="M32"/>
  <c r="K32"/>
  <c r="L32"/>
  <c r="J32"/>
  <c r="U39"/>
  <c r="I29"/>
  <c r="J29"/>
  <c r="I36"/>
  <c r="K36"/>
  <c r="J37"/>
  <c r="K37"/>
  <c r="I32"/>
  <c r="H32" s="1"/>
  <c r="U35"/>
  <c r="J36"/>
  <c r="H29"/>
  <c r="I37"/>
  <c r="F21"/>
  <c r="U20"/>
  <c r="H20"/>
  <c r="U19"/>
  <c r="H19"/>
  <c r="F18"/>
  <c r="F17"/>
  <c r="M17" s="1"/>
  <c r="U17" s="1"/>
  <c r="F16"/>
  <c r="H17" l="1"/>
  <c r="U24"/>
  <c r="U29"/>
  <c r="U28"/>
  <c r="U33" s="1"/>
  <c r="H21"/>
  <c r="M21"/>
  <c r="U21" s="1"/>
  <c r="H33"/>
  <c r="U32" s="1"/>
  <c r="H16"/>
  <c r="M16"/>
  <c r="H18"/>
  <c r="M18"/>
  <c r="U18" s="1"/>
  <c r="U36"/>
  <c r="H37"/>
  <c r="H43" s="1"/>
  <c r="U37"/>
  <c r="U16"/>
  <c r="F15"/>
  <c r="F14"/>
  <c r="M14" s="1"/>
  <c r="E13"/>
  <c r="F12"/>
  <c r="T12" s="1"/>
  <c r="F11"/>
  <c r="S11" l="1"/>
  <c r="T11"/>
  <c r="R12"/>
  <c r="S12"/>
  <c r="Q12"/>
  <c r="P12"/>
  <c r="O12"/>
  <c r="N12"/>
  <c r="Q11"/>
  <c r="R11"/>
  <c r="P11"/>
  <c r="O11"/>
  <c r="N11"/>
  <c r="M11"/>
  <c r="U43"/>
  <c r="K11"/>
  <c r="L11"/>
  <c r="M12"/>
  <c r="L12"/>
  <c r="H14"/>
  <c r="U14"/>
  <c r="H15"/>
  <c r="M15"/>
  <c r="U15" s="1"/>
  <c r="J12"/>
  <c r="K12"/>
  <c r="I11"/>
  <c r="J11"/>
  <c r="H11"/>
  <c r="I12"/>
  <c r="H12"/>
  <c r="F13"/>
  <c r="T13" s="1"/>
  <c r="H86"/>
  <c r="T123" l="1"/>
  <c r="S13"/>
  <c r="Q13"/>
  <c r="R13"/>
  <c r="P13"/>
  <c r="O13"/>
  <c r="N13"/>
  <c r="J13"/>
  <c r="J123" s="1"/>
  <c r="U11"/>
  <c r="O123"/>
  <c r="R123"/>
  <c r="S123"/>
  <c r="N123"/>
  <c r="P123"/>
  <c r="Q123"/>
  <c r="M13"/>
  <c r="M123" s="1"/>
  <c r="L13"/>
  <c r="L123"/>
  <c r="I13"/>
  <c r="K13"/>
  <c r="K123" s="1"/>
  <c r="U12"/>
  <c r="H13"/>
  <c r="H22" s="1"/>
  <c r="H84" s="1"/>
  <c r="H87" s="1"/>
  <c r="G123" s="1"/>
  <c r="H123" s="1"/>
  <c r="U13" l="1"/>
  <c r="U22"/>
  <c r="U84" s="1"/>
  <c r="U123" s="1"/>
  <c r="I123"/>
  <c r="C128" l="1"/>
  <c r="C132"/>
</calcChain>
</file>

<file path=xl/sharedStrings.xml><?xml version="1.0" encoding="utf-8"?>
<sst xmlns="http://schemas.openxmlformats.org/spreadsheetml/2006/main" count="361" uniqueCount="268">
  <si>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</si>
  <si>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</si>
  <si>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</si>
  <si>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</si>
  <si>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</si>
  <si>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</si>
  <si>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</si>
  <si>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</si>
  <si>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</si>
  <si>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</si>
  <si>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</si>
  <si>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</si>
  <si>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</si>
  <si>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</si>
  <si>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</si>
  <si>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</si>
  <si>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</si>
  <si>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</si>
  <si>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</si>
  <si>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</si>
  <si>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</si>
  <si>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</si>
  <si>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</si>
  <si>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</si>
  <si>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</si>
  <si>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</si>
  <si>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</si>
  <si>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</si>
  <si>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</si>
  <si>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</si>
  <si>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</si>
  <si>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</si>
  <si>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</si>
  <si>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</si>
  <si>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</si>
  <si>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</si>
  <si>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</si>
  <si>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</si>
  <si>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</si>
  <si>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</si>
  <si>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</si>
  <si>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</si>
  <si>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</si>
  <si>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</si>
  <si>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</si>
  <si>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</si>
  <si>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</si>
  <si>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</si>
  <si>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</si>
  <si>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</si>
  <si>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</si>
  <si>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</si>
  <si>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</si>
  <si>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</si>
  <si>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</si>
  <si>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</si>
  <si>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</si>
  <si>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</si>
  <si>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</si>
  <si>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</si>
  <si>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</si>
  <si>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</si>
  <si>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</si>
  <si>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</si>
  <si>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</si>
  <si>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</si>
  <si>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</si>
  <si>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</si>
  <si>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</si>
  <si>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</si>
  <si>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</si>
  <si>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</si>
  <si>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</si>
  <si>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</si>
  <si>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</si>
  <si>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</si>
  <si>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</si>
  <si>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</si>
  <si>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</si>
  <si>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</si>
  <si>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</si>
  <si>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выключателей</t>
  </si>
  <si>
    <t>Смена патронов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</si>
  <si>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</si>
  <si>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</si>
  <si>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</si>
  <si>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</si>
  <si>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</si>
  <si>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</si>
  <si>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</si>
  <si>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</si>
  <si>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</si>
  <si>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</si>
  <si>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</si>
  <si>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</si>
  <si>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</si>
  <si>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</si>
  <si>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</si>
  <si>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</si>
  <si>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</si>
  <si>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</si>
  <si>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</si>
  <si>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</si>
  <si>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</si>
  <si>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</si>
  <si>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</si>
  <si>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водосток</t>
  </si>
  <si>
    <t>Влажная протирка подоконников</t>
  </si>
  <si>
    <t>Влажная протирка шкафов для щитов и слаботочн.устройств</t>
  </si>
  <si>
    <t>Осмотр деревянных конструкций стропил</t>
  </si>
  <si>
    <t>100 м3</t>
  </si>
  <si>
    <t>6 раз за сезон</t>
  </si>
  <si>
    <t>Очистка от мусора</t>
  </si>
  <si>
    <t>10 шт.</t>
  </si>
  <si>
    <t>Смена ламп накаливания</t>
  </si>
  <si>
    <t>12 раз за сезон</t>
  </si>
  <si>
    <t>Очистка урн от мусора</t>
  </si>
  <si>
    <t>30 раз за сезон</t>
  </si>
  <si>
    <t>24 раза за сезон</t>
  </si>
  <si>
    <t>Дератизация</t>
  </si>
  <si>
    <t>2 раз в год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</si>
  <si>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</si>
  <si>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</si>
  <si>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</si>
  <si>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</si>
  <si>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</si>
  <si>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</si>
  <si>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</si>
  <si>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</si>
  <si>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</si>
  <si>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</si>
  <si>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</si>
  <si>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Стоимость (руб.)</t>
  </si>
  <si>
    <t>5 этажей, 4 подъезда</t>
  </si>
  <si>
    <t>договор</t>
  </si>
  <si>
    <t>ТО внутридомового газ.оборудования</t>
  </si>
  <si>
    <t>Выполне ние        май</t>
  </si>
  <si>
    <t>Баланс выполненных работ на 01.01.2016 г. ( -долг за предприятием, +долг за населением)</t>
  </si>
  <si>
    <t>Выполнено работ по содержанию за       2016 г.</t>
  </si>
  <si>
    <t>Выполнено работ по текущему ремонту за 2016 г.</t>
  </si>
  <si>
    <t>Фактически оплачено за 2016 г.</t>
  </si>
  <si>
    <t>калькуляция</t>
  </si>
  <si>
    <t>Ремонт и регулировка доводчика (со стоимостью доводчика)</t>
  </si>
  <si>
    <t>1шт.</t>
  </si>
  <si>
    <t>Ремонт групповых щитков на лестничной клетке без ремонта автоматов</t>
  </si>
  <si>
    <t>Смена автомата на ток до 25А</t>
  </si>
  <si>
    <t>Работа автовышки</t>
  </si>
  <si>
    <t>маш/час</t>
  </si>
  <si>
    <t>Смена дверных приборов (замки навесные)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</si>
  <si>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11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</si>
  <si>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С учетом показателя инфляции (К=1,094)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</si>
  <si>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</si>
  <si>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</si>
  <si>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Мелкий ремонт электропроводки</t>
  </si>
  <si>
    <t>1 м</t>
  </si>
  <si>
    <t>смета</t>
  </si>
  <si>
    <t>Монтаж освещения в подсобке уборщицы</t>
  </si>
  <si>
    <t>тыс.руб.</t>
  </si>
  <si>
    <t>Ремонт и регулировка доводчика (без стоимости доводчика)</t>
  </si>
  <si>
    <t xml:space="preserve">смета </t>
  </si>
  <si>
    <t>Установка скамейки (I, IV под.)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</si>
  <si>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</si>
  <si>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</si>
  <si>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</si>
  <si>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</si>
  <si>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(проезды)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</si>
  <si>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</si>
  <si>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</si>
  <si>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</si>
  <si>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</si>
  <si>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</si>
  <si>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</si>
  <si>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место</t>
  </si>
  <si>
    <t>Установка хомута диаметром до 50 мм</t>
  </si>
  <si>
    <t>Подключение и отключение сварочного аппарата</t>
  </si>
  <si>
    <t>Начислено за содержание и текущий ремонт за 2016 г.</t>
  </si>
  <si>
    <t>10 м2</t>
  </si>
  <si>
    <t>Ремонт поверхности кирпичных стен при глубине заделки в 0,5 кирпича площадью в одном месте до 1 м2 (ремонт кирпичной кладки цоколя I-II под.)</t>
  </si>
  <si>
    <t>Ремонт штукатурки гладких фасадов по камню и бетону с земли цементно-известковым раствором площадью до 5 м2 толщиной слоя до 20 мм (штукатурка цоколя I-II под.)</t>
  </si>
  <si>
    <t>Ремонт отдельных мест покрытия из асбоцементных листов обыкновенного профиля</t>
  </si>
  <si>
    <t>Ремонт разделки</t>
  </si>
  <si>
    <t>руб.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</si>
  <si>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</si>
  <si>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</si>
  <si>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</si>
  <si>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</si>
  <si>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</si>
  <si>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</si>
  <si>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</si>
  <si>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</si>
  <si>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</si>
  <si>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</si>
  <si>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</si>
  <si>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</si>
  <si>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</si>
  <si>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</si>
  <si>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</si>
  <si>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</si>
  <si>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</si>
  <si>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</si>
  <si>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</si>
  <si>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</si>
  <si>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</si>
  <si>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Осмотр шиферной кровли</t>
  </si>
  <si>
    <t>ТЕР 3-7-1в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</si>
  <si>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</si>
  <si>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</si>
  <si>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</si>
  <si>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</si>
  <si>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</si>
  <si>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</si>
  <si>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</si>
  <si>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42-003</t>
  </si>
  <si>
    <t>ТЕР 54-041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</si>
  <si>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</si>
  <si>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</si>
  <si>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</si>
  <si>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</si>
  <si>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</si>
  <si>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</si>
  <si>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</si>
  <si>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</si>
  <si>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33-025</t>
  </si>
  <si>
    <t>ТЕР 33-028</t>
  </si>
  <si>
    <t>ТЕР 33-049</t>
  </si>
  <si>
    <t>ТЕР 33-043</t>
  </si>
  <si>
    <t>ТЕР 33-030</t>
  </si>
  <si>
    <t>ТЕР 33-046</t>
  </si>
  <si>
    <t>ТЕР 15-051</t>
  </si>
  <si>
    <t>ТЕР 2-2-1-2-7</t>
  </si>
  <si>
    <t>ТЕР Q2-2-1-3-3</t>
  </si>
  <si>
    <t>пр.ТЕР 32-098</t>
  </si>
  <si>
    <t>ТЕР 33-060</t>
  </si>
  <si>
    <t>ТЕР 17-006</t>
  </si>
  <si>
    <t>ТЕР 12-005</t>
  </si>
  <si>
    <t>ТЕР 21-030</t>
  </si>
  <si>
    <t xml:space="preserve">Смена сгонов у трубопроводов диаметром до 20 мм </t>
  </si>
  <si>
    <t>1 сгон</t>
  </si>
  <si>
    <t>ТЕР 31-009</t>
  </si>
  <si>
    <t>Заделка стыков соединений стояков внутренних водостоков</t>
  </si>
  <si>
    <t>пр.ТЕР 2-2-2-2-30</t>
  </si>
  <si>
    <t>ТЕР 2-1-1б</t>
  </si>
  <si>
    <t>Внеплановая проверка вентканалов</t>
  </si>
  <si>
    <t>ТЕР 32-101</t>
  </si>
  <si>
    <t>Прочистка засоров ГВС, XВC</t>
  </si>
  <si>
    <t>3м</t>
  </si>
  <si>
    <t>10 шт</t>
  </si>
  <si>
    <t>ТЕР 15-028</t>
  </si>
  <si>
    <t>Герметизация входной двери (III подъезд)</t>
  </si>
  <si>
    <t>Дезинфекция подвала</t>
  </si>
  <si>
    <t>Устройство подстилающих слоев щебеночных</t>
  </si>
  <si>
    <t>1 мЗ</t>
  </si>
  <si>
    <t>пр.ТЕР 11-01-002-4</t>
  </si>
  <si>
    <t>Установка заглушек диаметром трубопроводов до 100 мм</t>
  </si>
  <si>
    <t>заглушка</t>
  </si>
  <si>
    <t>ТЕР 31-012</t>
  </si>
  <si>
    <t>счёт</t>
  </si>
  <si>
    <t>Манжета 110 мм</t>
  </si>
  <si>
    <t>Внеплановый осмотр электросетей, армазуры и электрооборудования на лестничных клетках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</si>
  <si>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</si>
  <si>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</si>
  <si>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пр.ТЕР 32-101</t>
  </si>
  <si>
    <t>Прогрев ГВС</t>
  </si>
  <si>
    <t>Смена трубопроводов на полипропиленовые трубы PN25 диаметром 25 мм</t>
  </si>
  <si>
    <t>Смена трубопроводов на полипропиленовые трубы PN25 диаметром 20 мм</t>
  </si>
  <si>
    <t xml:space="preserve">Вывертывание и ввертывание радиаторной пробки.   </t>
  </si>
  <si>
    <t>1 пробка</t>
  </si>
  <si>
    <t>ТЕР 2-2-1-1-6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</si>
</sst>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8" borderId="3" xfId="0" applyFont="1" applyFill="1" applyBorder="1"/>
    <xf numFmtId="0" fontId="1" fillId="8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4" fontId="1" fillId="4" borderId="7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13" borderId="3" xfId="0" applyNumberFormat="1" applyFont="1" applyFill="1" applyBorder="1" applyAlignment="1" applyProtection="1">
      <alignment horizontal="center" vertical="center"/>
    </xf>
    <xf numFmtId="0" fontId="1" fillId="13" borderId="3" xfId="0" applyNumberFormat="1" applyFont="1" applyFill="1" applyBorder="1" applyAlignment="1" applyProtection="1">
      <alignment horizontal="left" vertical="center" wrapText="1"/>
    </xf>
    <xf numFmtId="0" fontId="1" fillId="13" borderId="3" xfId="0" applyNumberFormat="1" applyFont="1" applyFill="1" applyBorder="1" applyAlignment="1" applyProtection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4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2" fontId="1" fillId="13" borderId="3" xfId="0" applyNumberFormat="1" applyFont="1" applyFill="1" applyBorder="1" applyAlignment="1" applyProtection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36"/>
  <sheetViews>
    <sheetView tabSelected="1" view="pageBreakPreview" zoomScaleNormal="75" zoomScaleSheetLayoutView="100" workbookViewId="0">
      <pane ySplit="7" topLeftCell="A8" activePane="bottomLeft" state="frozen"/>
      <selection activeCell="B1" sqref="B1"/>
      <selection pane="bottomLeft" activeCell="I17" sqref="I17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/>
    <row r="3" spans="1:21" ht="18">
      <c r="A3" s="131"/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29"/>
      <c r="N3" s="29"/>
      <c r="O3" s="29"/>
      <c r="P3" s="29"/>
      <c r="Q3" s="29"/>
      <c r="R3" s="29"/>
      <c r="S3" s="29"/>
      <c r="T3" s="29"/>
      <c r="U3" s="29"/>
    </row>
    <row r="4" spans="1:21" ht="32.25" customHeight="1">
      <c r="A4" s="29"/>
      <c r="B4" s="177" t="s">
        <v>1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29"/>
      <c r="N4" s="29"/>
      <c r="O4" s="29"/>
      <c r="P4" s="29"/>
      <c r="Q4" s="29"/>
      <c r="R4" s="29"/>
      <c r="S4" s="29"/>
      <c r="T4" s="29"/>
      <c r="U4" s="29"/>
    </row>
    <row r="5" spans="1:21" ht="18">
      <c r="A5" s="29"/>
      <c r="B5" s="177" t="s">
        <v>149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29"/>
      <c r="N5" s="29"/>
      <c r="O5" s="29"/>
      <c r="P5" s="29"/>
      <c r="Q5" s="29"/>
      <c r="R5" s="29"/>
      <c r="S5" s="29"/>
      <c r="T5" s="29"/>
      <c r="U5" s="29"/>
    </row>
    <row r="6" spans="1:21" ht="15">
      <c r="A6" s="29"/>
      <c r="B6" s="178" t="s">
        <v>133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29"/>
      <c r="N6" s="29"/>
      <c r="O6" s="29"/>
      <c r="P6" s="29"/>
      <c r="Q6" s="29"/>
      <c r="R6" s="29"/>
      <c r="S6" s="29"/>
      <c r="T6" s="29"/>
      <c r="U6" s="29"/>
    </row>
    <row r="7" spans="1:21" ht="45.75" customHeight="1">
      <c r="A7" s="151" t="s">
        <v>2</v>
      </c>
      <c r="B7" s="152" t="s">
        <v>3</v>
      </c>
      <c r="C7" s="152" t="s">
        <v>4</v>
      </c>
      <c r="D7" s="152" t="s">
        <v>5</v>
      </c>
      <c r="E7" s="152" t="s">
        <v>6</v>
      </c>
      <c r="F7" s="152" t="s">
        <v>7</v>
      </c>
      <c r="G7" s="152" t="s">
        <v>8</v>
      </c>
      <c r="H7" s="153" t="s">
        <v>9</v>
      </c>
      <c r="I7" s="28" t="s">
        <v>121</v>
      </c>
      <c r="J7" s="28" t="s">
        <v>122</v>
      </c>
      <c r="K7" s="28" t="s">
        <v>123</v>
      </c>
      <c r="L7" s="28" t="s">
        <v>124</v>
      </c>
      <c r="M7" s="28" t="s">
        <v>136</v>
      </c>
      <c r="N7" s="28" t="s">
        <v>125</v>
      </c>
      <c r="O7" s="28" t="s">
        <v>126</v>
      </c>
      <c r="P7" s="28" t="s">
        <v>127</v>
      </c>
      <c r="Q7" s="28" t="s">
        <v>128</v>
      </c>
      <c r="R7" s="28" t="s">
        <v>129</v>
      </c>
      <c r="S7" s="28" t="s">
        <v>130</v>
      </c>
      <c r="T7" s="28" t="s">
        <v>131</v>
      </c>
      <c r="U7" s="28" t="s">
        <v>132</v>
      </c>
    </row>
    <row r="8" spans="1:21">
      <c r="A8" s="154">
        <v>1</v>
      </c>
      <c r="B8" s="8">
        <v>2</v>
      </c>
      <c r="C8" s="33">
        <v>3</v>
      </c>
      <c r="D8" s="8">
        <v>4</v>
      </c>
      <c r="E8" s="8">
        <v>5</v>
      </c>
      <c r="F8" s="33">
        <v>6</v>
      </c>
      <c r="G8" s="33">
        <v>7</v>
      </c>
      <c r="H8" s="34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</row>
    <row r="9" spans="1:21" ht="38.25">
      <c r="A9" s="154"/>
      <c r="B9" s="10" t="s">
        <v>10</v>
      </c>
      <c r="C9" s="33"/>
      <c r="D9" s="11"/>
      <c r="E9" s="11"/>
      <c r="F9" s="33"/>
      <c r="G9" s="33"/>
      <c r="H9" s="35"/>
      <c r="I9" s="31"/>
      <c r="J9" s="31"/>
      <c r="K9" s="31"/>
      <c r="L9" s="31"/>
      <c r="M9" s="36"/>
      <c r="N9" s="30"/>
      <c r="O9" s="30"/>
      <c r="P9" s="30"/>
      <c r="Q9" s="30"/>
      <c r="R9" s="30"/>
      <c r="S9" s="30"/>
      <c r="T9" s="30"/>
      <c r="U9" s="30"/>
    </row>
    <row r="10" spans="1:21">
      <c r="A10" s="154"/>
      <c r="B10" s="10" t="s">
        <v>11</v>
      </c>
      <c r="C10" s="33"/>
      <c r="D10" s="11"/>
      <c r="E10" s="11"/>
      <c r="F10" s="33"/>
      <c r="G10" s="33"/>
      <c r="H10" s="35"/>
      <c r="I10" s="31"/>
      <c r="J10" s="31"/>
      <c r="K10" s="31"/>
      <c r="L10" s="31"/>
      <c r="M10" s="36"/>
      <c r="N10" s="30"/>
      <c r="O10" s="30"/>
      <c r="P10" s="30"/>
      <c r="Q10" s="30"/>
      <c r="R10" s="30"/>
      <c r="S10" s="30"/>
      <c r="T10" s="30"/>
      <c r="U10" s="30"/>
    </row>
    <row r="11" spans="1:21" ht="25.5">
      <c r="A11" s="154" t="s">
        <v>182</v>
      </c>
      <c r="B11" s="11" t="s">
        <v>12</v>
      </c>
      <c r="C11" s="33" t="s">
        <v>13</v>
      </c>
      <c r="D11" s="11" t="s">
        <v>14</v>
      </c>
      <c r="E11" s="37">
        <v>59.96</v>
      </c>
      <c r="F11" s="38">
        <f>SUM(E11*156/100)</f>
        <v>93.537599999999998</v>
      </c>
      <c r="G11" s="38">
        <v>175.38</v>
      </c>
      <c r="H11" s="39">
        <f t="shared" ref="H11:H21" si="0">SUM(F11*G11/1000)</f>
        <v>16.404624288000001</v>
      </c>
      <c r="I11" s="40">
        <f>F11/12*G11</f>
        <v>1367.0520239999998</v>
      </c>
      <c r="J11" s="40">
        <f>F11/12*G11</f>
        <v>1367.0520239999998</v>
      </c>
      <c r="K11" s="40">
        <f>F11/12*G11</f>
        <v>1367.0520239999998</v>
      </c>
      <c r="L11" s="40">
        <f>F11/12*G11</f>
        <v>1367.0520239999998</v>
      </c>
      <c r="M11" s="40">
        <f>F11/12*G11</f>
        <v>1367.0520239999998</v>
      </c>
      <c r="N11" s="40">
        <f>F11/12*G11</f>
        <v>1367.0520239999998</v>
      </c>
      <c r="O11" s="40">
        <f>F11/12*G11</f>
        <v>1367.0520239999998</v>
      </c>
      <c r="P11" s="40">
        <f>F11/12*G11</f>
        <v>1367.0520239999998</v>
      </c>
      <c r="Q11" s="40">
        <f>F11/12*G11</f>
        <v>1367.0520239999998</v>
      </c>
      <c r="R11" s="40">
        <f>F11/12*G11</f>
        <v>1367.0520239999998</v>
      </c>
      <c r="S11" s="40">
        <f>F11/12*G11</f>
        <v>1367.0520239999998</v>
      </c>
      <c r="T11" s="40">
        <f>F11/12*G11</f>
        <v>1367.0520239999998</v>
      </c>
      <c r="U11" s="40">
        <f>SUM(I11:T11)</f>
        <v>16404.624288000003</v>
      </c>
    </row>
    <row r="12" spans="1:21" ht="25.5">
      <c r="A12" s="154" t="s">
        <v>182</v>
      </c>
      <c r="B12" s="11" t="s">
        <v>15</v>
      </c>
      <c r="C12" s="33" t="s">
        <v>13</v>
      </c>
      <c r="D12" s="11" t="s">
        <v>16</v>
      </c>
      <c r="E12" s="37">
        <v>239.84</v>
      </c>
      <c r="F12" s="38">
        <f>SUM(E12*104/100)</f>
        <v>249.43360000000001</v>
      </c>
      <c r="G12" s="38">
        <v>175.38</v>
      </c>
      <c r="H12" s="39">
        <f t="shared" si="0"/>
        <v>43.745664768000005</v>
      </c>
      <c r="I12" s="40">
        <f>F12/12*G12</f>
        <v>3645.4720640000005</v>
      </c>
      <c r="J12" s="40">
        <f>F12/12*G12</f>
        <v>3645.4720640000005</v>
      </c>
      <c r="K12" s="40">
        <f t="shared" ref="K12:K13" si="1">F12/12*G12</f>
        <v>3645.4720640000005</v>
      </c>
      <c r="L12" s="40">
        <f t="shared" ref="L12:L13" si="2">F12/12*G12</f>
        <v>3645.4720640000005</v>
      </c>
      <c r="M12" s="40">
        <f t="shared" ref="M12:M13" si="3">F12/12*G12</f>
        <v>3645.4720640000005</v>
      </c>
      <c r="N12" s="40">
        <f t="shared" ref="N12:N13" si="4">F12/12*G12</f>
        <v>3645.4720640000005</v>
      </c>
      <c r="O12" s="40">
        <f t="shared" ref="O12:O13" si="5">F12/12*G12</f>
        <v>3645.4720640000005</v>
      </c>
      <c r="P12" s="40">
        <f t="shared" ref="P12:P13" si="6">F12/12*G12</f>
        <v>3645.4720640000005</v>
      </c>
      <c r="Q12" s="40">
        <f t="shared" ref="Q12:Q13" si="7">F12/12*G12</f>
        <v>3645.4720640000005</v>
      </c>
      <c r="R12" s="40">
        <f t="shared" ref="R12:R13" si="8">F12/12*G12</f>
        <v>3645.4720640000005</v>
      </c>
      <c r="S12" s="40">
        <f t="shared" ref="S12:S13" si="9">F12/12*G12</f>
        <v>3645.4720640000005</v>
      </c>
      <c r="T12" s="40">
        <f t="shared" ref="T12:T13" si="10">F12/12*G12</f>
        <v>3645.4720640000005</v>
      </c>
      <c r="U12" s="40">
        <f t="shared" ref="U12:U21" si="11">SUM(I12:T12)</f>
        <v>43745.66476800001</v>
      </c>
    </row>
    <row r="13" spans="1:21" ht="25.5">
      <c r="A13" s="154" t="s">
        <v>183</v>
      </c>
      <c r="B13" s="11" t="s">
        <v>17</v>
      </c>
      <c r="C13" s="33" t="s">
        <v>13</v>
      </c>
      <c r="D13" s="11" t="s">
        <v>18</v>
      </c>
      <c r="E13" s="37">
        <f>SUM(E11+E12)</f>
        <v>299.8</v>
      </c>
      <c r="F13" s="38">
        <f>SUM(E13*24/100)</f>
        <v>71.952000000000012</v>
      </c>
      <c r="G13" s="38">
        <v>504.5</v>
      </c>
      <c r="H13" s="39">
        <f t="shared" si="0"/>
        <v>36.29978400000001</v>
      </c>
      <c r="I13" s="40">
        <f>F13/12*G13</f>
        <v>3024.9820000000009</v>
      </c>
      <c r="J13" s="40">
        <f>F13/12*G13</f>
        <v>3024.9820000000009</v>
      </c>
      <c r="K13" s="40">
        <f t="shared" si="1"/>
        <v>3024.9820000000009</v>
      </c>
      <c r="L13" s="40">
        <f t="shared" si="2"/>
        <v>3024.9820000000009</v>
      </c>
      <c r="M13" s="40">
        <f t="shared" si="3"/>
        <v>3024.9820000000009</v>
      </c>
      <c r="N13" s="40">
        <f t="shared" si="4"/>
        <v>3024.9820000000009</v>
      </c>
      <c r="O13" s="40">
        <f t="shared" si="5"/>
        <v>3024.9820000000009</v>
      </c>
      <c r="P13" s="40">
        <f t="shared" si="6"/>
        <v>3024.9820000000009</v>
      </c>
      <c r="Q13" s="40">
        <f t="shared" si="7"/>
        <v>3024.9820000000009</v>
      </c>
      <c r="R13" s="40">
        <f t="shared" si="8"/>
        <v>3024.9820000000009</v>
      </c>
      <c r="S13" s="40">
        <f t="shared" si="9"/>
        <v>3024.9820000000009</v>
      </c>
      <c r="T13" s="40">
        <f t="shared" si="10"/>
        <v>3024.9820000000009</v>
      </c>
      <c r="U13" s="40">
        <f t="shared" si="11"/>
        <v>36299.784000000007</v>
      </c>
    </row>
    <row r="14" spans="1:21">
      <c r="A14" s="154" t="s">
        <v>184</v>
      </c>
      <c r="B14" s="11" t="s">
        <v>19</v>
      </c>
      <c r="C14" s="33" t="s">
        <v>20</v>
      </c>
      <c r="D14" s="11" t="s">
        <v>99</v>
      </c>
      <c r="E14" s="37">
        <v>40.799999999999997</v>
      </c>
      <c r="F14" s="38">
        <f>SUM(E14/10)</f>
        <v>4.08</v>
      </c>
      <c r="G14" s="38">
        <v>170.16</v>
      </c>
      <c r="H14" s="39">
        <f t="shared" si="0"/>
        <v>0.6942528</v>
      </c>
      <c r="I14" s="40">
        <v>0</v>
      </c>
      <c r="J14" s="40">
        <v>0</v>
      </c>
      <c r="K14" s="40">
        <v>0</v>
      </c>
      <c r="L14" s="40">
        <v>0</v>
      </c>
      <c r="M14" s="40">
        <f>F14/2*G14</f>
        <v>347.12639999999999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f t="shared" si="11"/>
        <v>347.12639999999999</v>
      </c>
    </row>
    <row r="15" spans="1:21">
      <c r="A15" s="154" t="s">
        <v>185</v>
      </c>
      <c r="B15" s="11" t="s">
        <v>21</v>
      </c>
      <c r="C15" s="33" t="s">
        <v>13</v>
      </c>
      <c r="D15" s="11" t="s">
        <v>33</v>
      </c>
      <c r="E15" s="37">
        <v>43.2</v>
      </c>
      <c r="F15" s="38">
        <f>SUM(E15/100)</f>
        <v>0.43200000000000005</v>
      </c>
      <c r="G15" s="38">
        <v>217.88</v>
      </c>
      <c r="H15" s="39">
        <f t="shared" si="0"/>
        <v>9.4124159999999998E-2</v>
      </c>
      <c r="I15" s="40">
        <v>0</v>
      </c>
      <c r="J15" s="40">
        <v>0</v>
      </c>
      <c r="K15" s="40">
        <v>0</v>
      </c>
      <c r="L15" s="40">
        <v>0</v>
      </c>
      <c r="M15" s="40">
        <f t="shared" ref="M15:M21" si="12">F15*G15</f>
        <v>94.124160000000003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f t="shared" si="11"/>
        <v>94.124160000000003</v>
      </c>
    </row>
    <row r="16" spans="1:21">
      <c r="A16" s="154" t="s">
        <v>186</v>
      </c>
      <c r="B16" s="11" t="s">
        <v>22</v>
      </c>
      <c r="C16" s="33" t="s">
        <v>13</v>
      </c>
      <c r="D16" s="11" t="s">
        <v>33</v>
      </c>
      <c r="E16" s="37">
        <v>10.08</v>
      </c>
      <c r="F16" s="38">
        <f>E16/100</f>
        <v>0.1008</v>
      </c>
      <c r="G16" s="38">
        <v>216.12</v>
      </c>
      <c r="H16" s="39">
        <f>SUM(F16*G16)/1000</f>
        <v>2.1784896000000002E-2</v>
      </c>
      <c r="I16" s="40">
        <v>0</v>
      </c>
      <c r="J16" s="40">
        <v>0</v>
      </c>
      <c r="K16" s="40">
        <v>0</v>
      </c>
      <c r="L16" s="40">
        <v>0</v>
      </c>
      <c r="M16" s="40">
        <f t="shared" si="12"/>
        <v>21.784896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f t="shared" si="11"/>
        <v>21.784896</v>
      </c>
    </row>
    <row r="17" spans="1:21">
      <c r="A17" s="154" t="s">
        <v>187</v>
      </c>
      <c r="B17" s="11" t="s">
        <v>23</v>
      </c>
      <c r="C17" s="33" t="s">
        <v>24</v>
      </c>
      <c r="D17" s="11" t="s">
        <v>99</v>
      </c>
      <c r="E17" s="37">
        <v>403.84</v>
      </c>
      <c r="F17" s="38">
        <f>SUM(E17/100)</f>
        <v>4.0383999999999993</v>
      </c>
      <c r="G17" s="38">
        <v>269.26</v>
      </c>
      <c r="H17" s="39">
        <f t="shared" si="0"/>
        <v>1.0873795839999998</v>
      </c>
      <c r="I17" s="40">
        <v>0</v>
      </c>
      <c r="J17" s="40">
        <v>0</v>
      </c>
      <c r="K17" s="40">
        <v>0</v>
      </c>
      <c r="L17" s="40">
        <v>0</v>
      </c>
      <c r="M17" s="40">
        <f t="shared" si="12"/>
        <v>1087.3795839999998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f t="shared" si="11"/>
        <v>1087.3795839999998</v>
      </c>
    </row>
    <row r="18" spans="1:21">
      <c r="A18" s="154" t="s">
        <v>188</v>
      </c>
      <c r="B18" s="11" t="s">
        <v>25</v>
      </c>
      <c r="C18" s="33" t="s">
        <v>24</v>
      </c>
      <c r="D18" s="11" t="s">
        <v>99</v>
      </c>
      <c r="E18" s="42">
        <v>70.56</v>
      </c>
      <c r="F18" s="38">
        <f>SUM(E18/100)</f>
        <v>0.7056</v>
      </c>
      <c r="G18" s="38">
        <v>44.29</v>
      </c>
      <c r="H18" s="39">
        <f t="shared" si="0"/>
        <v>3.1251024000000002E-2</v>
      </c>
      <c r="I18" s="40">
        <v>0</v>
      </c>
      <c r="J18" s="40">
        <v>0</v>
      </c>
      <c r="K18" s="40">
        <v>0</v>
      </c>
      <c r="L18" s="40">
        <v>0</v>
      </c>
      <c r="M18" s="40">
        <f t="shared" si="12"/>
        <v>31.251024000000001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f t="shared" si="11"/>
        <v>31.251024000000001</v>
      </c>
    </row>
    <row r="19" spans="1:21">
      <c r="A19" s="154" t="s">
        <v>189</v>
      </c>
      <c r="B19" s="11" t="s">
        <v>107</v>
      </c>
      <c r="C19" s="33" t="s">
        <v>24</v>
      </c>
      <c r="D19" s="11" t="s">
        <v>99</v>
      </c>
      <c r="E19" s="43">
        <v>14.4</v>
      </c>
      <c r="F19" s="44">
        <v>0.14000000000000001</v>
      </c>
      <c r="G19" s="38">
        <v>398.72</v>
      </c>
      <c r="H19" s="39">
        <f>F19*G19/1000</f>
        <v>5.5820800000000011E-2</v>
      </c>
      <c r="I19" s="40">
        <v>0</v>
      </c>
      <c r="J19" s="40">
        <v>0</v>
      </c>
      <c r="K19" s="40">
        <v>0</v>
      </c>
      <c r="L19" s="40">
        <v>0</v>
      </c>
      <c r="M19" s="40">
        <f t="shared" si="12"/>
        <v>55.820800000000013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f t="shared" si="11"/>
        <v>55.820800000000013</v>
      </c>
    </row>
    <row r="20" spans="1:21" ht="25.5">
      <c r="A20" s="154" t="s">
        <v>190</v>
      </c>
      <c r="B20" s="11" t="s">
        <v>108</v>
      </c>
      <c r="C20" s="33" t="s">
        <v>24</v>
      </c>
      <c r="D20" s="11" t="s">
        <v>99</v>
      </c>
      <c r="E20" s="42">
        <v>31.5</v>
      </c>
      <c r="F20" s="38">
        <v>0.32</v>
      </c>
      <c r="G20" s="38">
        <v>216.12</v>
      </c>
      <c r="H20" s="39">
        <f>F20*G20/1000</f>
        <v>6.9158399999999995E-2</v>
      </c>
      <c r="I20" s="40">
        <v>0</v>
      </c>
      <c r="J20" s="40">
        <v>0</v>
      </c>
      <c r="K20" s="40">
        <v>0</v>
      </c>
      <c r="L20" s="40">
        <v>0</v>
      </c>
      <c r="M20" s="40">
        <f t="shared" si="12"/>
        <v>69.1584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f t="shared" si="11"/>
        <v>69.1584</v>
      </c>
    </row>
    <row r="21" spans="1:21">
      <c r="A21" s="154" t="s">
        <v>191</v>
      </c>
      <c r="B21" s="11" t="s">
        <v>26</v>
      </c>
      <c r="C21" s="33" t="s">
        <v>24</v>
      </c>
      <c r="D21" s="11" t="s">
        <v>99</v>
      </c>
      <c r="E21" s="37">
        <v>28.22</v>
      </c>
      <c r="F21" s="38">
        <f>SUM(E21/100)</f>
        <v>0.28220000000000001</v>
      </c>
      <c r="G21" s="38">
        <v>520.79999999999995</v>
      </c>
      <c r="H21" s="39">
        <f t="shared" si="0"/>
        <v>0.14696975999999998</v>
      </c>
      <c r="I21" s="40">
        <v>0</v>
      </c>
      <c r="J21" s="40">
        <v>0</v>
      </c>
      <c r="K21" s="40">
        <v>0</v>
      </c>
      <c r="L21" s="40">
        <v>0</v>
      </c>
      <c r="M21" s="40">
        <f t="shared" si="12"/>
        <v>146.96975999999998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f t="shared" si="11"/>
        <v>146.96975999999998</v>
      </c>
    </row>
    <row r="22" spans="1:21" s="19" customFormat="1">
      <c r="A22" s="155"/>
      <c r="B22" s="20" t="s">
        <v>27</v>
      </c>
      <c r="C22" s="45"/>
      <c r="D22" s="20"/>
      <c r="E22" s="46"/>
      <c r="F22" s="47"/>
      <c r="G22" s="47"/>
      <c r="H22" s="48">
        <f>SUM(H11:H21)</f>
        <v>98.650814480000037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>
        <f>SUM(U11:U21)</f>
        <v>98303.688080000022</v>
      </c>
    </row>
    <row r="23" spans="1:21">
      <c r="A23" s="154"/>
      <c r="B23" s="12" t="s">
        <v>28</v>
      </c>
      <c r="C23" s="33"/>
      <c r="D23" s="11"/>
      <c r="E23" s="37"/>
      <c r="F23" s="38"/>
      <c r="G23" s="38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1" ht="25.5" customHeight="1">
      <c r="A24" s="154" t="s">
        <v>192</v>
      </c>
      <c r="B24" s="11" t="s">
        <v>161</v>
      </c>
      <c r="C24" s="33" t="s">
        <v>30</v>
      </c>
      <c r="D24" s="11" t="s">
        <v>29</v>
      </c>
      <c r="E24" s="38">
        <v>709.53</v>
      </c>
      <c r="F24" s="38">
        <f>SUM(E24*52/1000)</f>
        <v>36.895559999999996</v>
      </c>
      <c r="G24" s="38">
        <v>155.88999999999999</v>
      </c>
      <c r="H24" s="39">
        <f t="shared" ref="H24:H32" si="13">SUM(F24*G24/1000)</f>
        <v>5.7516488483999995</v>
      </c>
      <c r="I24" s="40">
        <v>0</v>
      </c>
      <c r="J24" s="40">
        <v>0</v>
      </c>
      <c r="K24" s="40">
        <v>0</v>
      </c>
      <c r="L24" s="40">
        <v>0</v>
      </c>
      <c r="M24" s="40">
        <f>F24/6*G24</f>
        <v>958.60814139999979</v>
      </c>
      <c r="N24" s="40">
        <f>F24/6*G24</f>
        <v>958.60814139999979</v>
      </c>
      <c r="O24" s="40">
        <f>F24/6*G24</f>
        <v>958.60814139999979</v>
      </c>
      <c r="P24" s="40">
        <f>F24/6*G24</f>
        <v>958.60814139999979</v>
      </c>
      <c r="Q24" s="40">
        <f>F24/6*G24</f>
        <v>958.60814139999979</v>
      </c>
      <c r="R24" s="40">
        <f>F24/6*G24</f>
        <v>958.60814139999979</v>
      </c>
      <c r="S24" s="40">
        <v>0</v>
      </c>
      <c r="T24" s="40">
        <v>0</v>
      </c>
      <c r="U24" s="40">
        <f>SUM(I24:T24)</f>
        <v>5751.6488483999992</v>
      </c>
    </row>
    <row r="25" spans="1:21" ht="38.25" customHeight="1">
      <c r="A25" s="154" t="s">
        <v>193</v>
      </c>
      <c r="B25" s="11" t="s">
        <v>162</v>
      </c>
      <c r="C25" s="33" t="s">
        <v>30</v>
      </c>
      <c r="D25" s="11" t="s">
        <v>31</v>
      </c>
      <c r="E25" s="38">
        <v>68</v>
      </c>
      <c r="F25" s="38">
        <f>SUM(E25*78/1000)</f>
        <v>5.3040000000000003</v>
      </c>
      <c r="G25" s="38">
        <v>258.63</v>
      </c>
      <c r="H25" s="39">
        <f t="shared" si="13"/>
        <v>1.3717735199999999</v>
      </c>
      <c r="I25" s="40">
        <v>0</v>
      </c>
      <c r="J25" s="40">
        <v>0</v>
      </c>
      <c r="K25" s="40">
        <v>0</v>
      </c>
      <c r="L25" s="40">
        <v>0</v>
      </c>
      <c r="M25" s="40">
        <f t="shared" ref="M25:M28" si="14">F25/6*G25</f>
        <v>228.62891999999999</v>
      </c>
      <c r="N25" s="40">
        <f t="shared" ref="N25:N28" si="15">F25/6*G25</f>
        <v>228.62891999999999</v>
      </c>
      <c r="O25" s="40">
        <f t="shared" ref="O25:O28" si="16">F25/6*G25</f>
        <v>228.62891999999999</v>
      </c>
      <c r="P25" s="40">
        <f t="shared" ref="P25:P28" si="17">F25/6*G25</f>
        <v>228.62891999999999</v>
      </c>
      <c r="Q25" s="40">
        <f t="shared" ref="Q25:Q28" si="18">F25/6*G25</f>
        <v>228.62891999999999</v>
      </c>
      <c r="R25" s="40">
        <f t="shared" ref="R25:R28" si="19">F25/6*G25</f>
        <v>228.62891999999999</v>
      </c>
      <c r="S25" s="40">
        <v>0</v>
      </c>
      <c r="T25" s="40">
        <v>0</v>
      </c>
      <c r="U25" s="40">
        <f t="shared" ref="U25:U32" si="20">SUM(I25:T25)</f>
        <v>1371.7735200000002</v>
      </c>
    </row>
    <row r="26" spans="1:21">
      <c r="A26" s="154" t="s">
        <v>194</v>
      </c>
      <c r="B26" s="11" t="s">
        <v>32</v>
      </c>
      <c r="C26" s="33" t="s">
        <v>30</v>
      </c>
      <c r="D26" s="11" t="s">
        <v>33</v>
      </c>
      <c r="E26" s="38">
        <v>709.53</v>
      </c>
      <c r="F26" s="38">
        <f>SUM(E26/1000)</f>
        <v>0.70952999999999999</v>
      </c>
      <c r="G26" s="38">
        <v>3020.33</v>
      </c>
      <c r="H26" s="39">
        <f t="shared" si="13"/>
        <v>2.1430147448999999</v>
      </c>
      <c r="I26" s="40">
        <v>0</v>
      </c>
      <c r="J26" s="40">
        <v>0</v>
      </c>
      <c r="K26" s="40">
        <v>0</v>
      </c>
      <c r="L26" s="40">
        <v>0</v>
      </c>
      <c r="M26" s="40">
        <f>F26*G26</f>
        <v>2143.0147449000001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f t="shared" si="20"/>
        <v>2143.0147449000001</v>
      </c>
    </row>
    <row r="27" spans="1:21">
      <c r="A27" s="154" t="s">
        <v>195</v>
      </c>
      <c r="B27" s="11" t="s">
        <v>116</v>
      </c>
      <c r="C27" s="33" t="s">
        <v>61</v>
      </c>
      <c r="D27" s="11" t="s">
        <v>36</v>
      </c>
      <c r="E27" s="38">
        <v>4</v>
      </c>
      <c r="F27" s="38">
        <v>6.2</v>
      </c>
      <c r="G27" s="38">
        <v>1302.02</v>
      </c>
      <c r="H27" s="39">
        <v>8.0730000000000004</v>
      </c>
      <c r="I27" s="40">
        <v>0</v>
      </c>
      <c r="J27" s="40">
        <v>0</v>
      </c>
      <c r="K27" s="40">
        <v>0</v>
      </c>
      <c r="L27" s="40">
        <v>0</v>
      </c>
      <c r="M27" s="40">
        <f t="shared" si="14"/>
        <v>1345.4206666666669</v>
      </c>
      <c r="N27" s="40">
        <f t="shared" si="15"/>
        <v>1345.4206666666669</v>
      </c>
      <c r="O27" s="40">
        <f t="shared" si="16"/>
        <v>1345.4206666666669</v>
      </c>
      <c r="P27" s="40">
        <f t="shared" si="17"/>
        <v>1345.4206666666669</v>
      </c>
      <c r="Q27" s="40">
        <f t="shared" si="18"/>
        <v>1345.4206666666669</v>
      </c>
      <c r="R27" s="40">
        <f t="shared" si="19"/>
        <v>1345.4206666666669</v>
      </c>
      <c r="S27" s="40">
        <v>0</v>
      </c>
      <c r="T27" s="40">
        <v>0</v>
      </c>
      <c r="U27" s="40">
        <f t="shared" si="20"/>
        <v>8072.5240000000013</v>
      </c>
    </row>
    <row r="28" spans="1:21">
      <c r="A28" s="154" t="s">
        <v>196</v>
      </c>
      <c r="B28" s="11" t="s">
        <v>34</v>
      </c>
      <c r="C28" s="33" t="s">
        <v>35</v>
      </c>
      <c r="D28" s="11" t="s">
        <v>36</v>
      </c>
      <c r="E28" s="51">
        <v>0.33333333333333331</v>
      </c>
      <c r="F28" s="38">
        <f>155/3</f>
        <v>51.666666666666664</v>
      </c>
      <c r="G28" s="38">
        <v>56.69</v>
      </c>
      <c r="H28" s="39">
        <f>SUM(G28*155/3/1000)</f>
        <v>2.9289833333333331</v>
      </c>
      <c r="I28" s="40">
        <v>0</v>
      </c>
      <c r="J28" s="40">
        <v>0</v>
      </c>
      <c r="K28" s="40">
        <v>0</v>
      </c>
      <c r="L28" s="40">
        <v>0</v>
      </c>
      <c r="M28" s="40">
        <f t="shared" si="14"/>
        <v>488.16388888888883</v>
      </c>
      <c r="N28" s="40">
        <f t="shared" si="15"/>
        <v>488.16388888888883</v>
      </c>
      <c r="O28" s="40">
        <f t="shared" si="16"/>
        <v>488.16388888888883</v>
      </c>
      <c r="P28" s="40">
        <f t="shared" si="17"/>
        <v>488.16388888888883</v>
      </c>
      <c r="Q28" s="40">
        <f t="shared" si="18"/>
        <v>488.16388888888883</v>
      </c>
      <c r="R28" s="40">
        <f t="shared" si="19"/>
        <v>488.16388888888883</v>
      </c>
      <c r="S28" s="40">
        <v>0</v>
      </c>
      <c r="T28" s="40">
        <v>0</v>
      </c>
      <c r="U28" s="40">
        <f t="shared" si="20"/>
        <v>2928.9833333333331</v>
      </c>
    </row>
    <row r="29" spans="1:21" ht="12.75" customHeight="1">
      <c r="A29" s="154" t="s">
        <v>197</v>
      </c>
      <c r="B29" s="11" t="s">
        <v>37</v>
      </c>
      <c r="C29" s="33" t="s">
        <v>38</v>
      </c>
      <c r="D29" s="11" t="s">
        <v>39</v>
      </c>
      <c r="E29" s="52">
        <v>0.1</v>
      </c>
      <c r="F29" s="38">
        <f>SUM(E29*365)</f>
        <v>36.5</v>
      </c>
      <c r="G29" s="38">
        <v>147.03</v>
      </c>
      <c r="H29" s="39">
        <f t="shared" si="13"/>
        <v>5.3665950000000002</v>
      </c>
      <c r="I29" s="40">
        <f>F29/12*G29</f>
        <v>447.21625</v>
      </c>
      <c r="J29" s="40">
        <f>F29/12*G29</f>
        <v>447.21625</v>
      </c>
      <c r="K29" s="40">
        <f>F29/12*G29</f>
        <v>447.21625</v>
      </c>
      <c r="L29" s="40">
        <f>F29/12*G29</f>
        <v>447.21625</v>
      </c>
      <c r="M29" s="40">
        <f>F29/12*G29</f>
        <v>447.21625</v>
      </c>
      <c r="N29" s="40">
        <f>F29/12*G29</f>
        <v>447.21625</v>
      </c>
      <c r="O29" s="40">
        <f>F29/12*G29</f>
        <v>447.21625</v>
      </c>
      <c r="P29" s="40">
        <f>F29/12*G29</f>
        <v>447.21625</v>
      </c>
      <c r="Q29" s="40">
        <f>F29/12*G29</f>
        <v>447.21625</v>
      </c>
      <c r="R29" s="40">
        <f>F29/12*G29</f>
        <v>447.21625</v>
      </c>
      <c r="S29" s="40">
        <f>F29/12*G29</f>
        <v>447.21625</v>
      </c>
      <c r="T29" s="40">
        <f>F29/12*G29</f>
        <v>447.21625</v>
      </c>
      <c r="U29" s="40">
        <f t="shared" si="20"/>
        <v>5366.5950000000012</v>
      </c>
    </row>
    <row r="30" spans="1:21" ht="12.75" customHeight="1">
      <c r="A30" s="154" t="s">
        <v>198</v>
      </c>
      <c r="B30" s="11" t="s">
        <v>163</v>
      </c>
      <c r="C30" s="33" t="s">
        <v>38</v>
      </c>
      <c r="D30" s="11" t="s">
        <v>40</v>
      </c>
      <c r="E30" s="37"/>
      <c r="F30" s="38">
        <v>3</v>
      </c>
      <c r="G30" s="38">
        <v>191.32</v>
      </c>
      <c r="H30" s="39">
        <f t="shared" si="13"/>
        <v>0.57396000000000003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f t="shared" si="20"/>
        <v>0</v>
      </c>
    </row>
    <row r="31" spans="1:21" ht="13.5" customHeight="1">
      <c r="A31" s="154" t="s">
        <v>141</v>
      </c>
      <c r="B31" s="11" t="s">
        <v>164</v>
      </c>
      <c r="C31" s="33" t="s">
        <v>41</v>
      </c>
      <c r="D31" s="11" t="s">
        <v>40</v>
      </c>
      <c r="E31" s="37"/>
      <c r="F31" s="38">
        <v>2</v>
      </c>
      <c r="G31" s="38">
        <v>1136.32</v>
      </c>
      <c r="H31" s="39">
        <f t="shared" si="13"/>
        <v>2.27264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f t="shared" si="20"/>
        <v>0</v>
      </c>
    </row>
    <row r="32" spans="1:21">
      <c r="A32" s="154"/>
      <c r="B32" s="53" t="s">
        <v>42</v>
      </c>
      <c r="C32" s="33" t="s">
        <v>43</v>
      </c>
      <c r="D32" s="53" t="s">
        <v>39</v>
      </c>
      <c r="E32" s="37">
        <v>3031.3</v>
      </c>
      <c r="F32" s="38">
        <f>SUM(E32*12)</f>
        <v>36375.600000000006</v>
      </c>
      <c r="G32" s="38">
        <v>5.47</v>
      </c>
      <c r="H32" s="39">
        <f t="shared" si="13"/>
        <v>198.97453200000004</v>
      </c>
      <c r="I32" s="40">
        <f>F32/12*G32</f>
        <v>16581.211000000003</v>
      </c>
      <c r="J32" s="40">
        <f>F32/12*G32</f>
        <v>16581.211000000003</v>
      </c>
      <c r="K32" s="40">
        <f>F32/12*G32</f>
        <v>16581.211000000003</v>
      </c>
      <c r="L32" s="40">
        <f>F32/12*G32</f>
        <v>16581.211000000003</v>
      </c>
      <c r="M32" s="40">
        <f>F32/12*G32</f>
        <v>16581.211000000003</v>
      </c>
      <c r="N32" s="40">
        <f>F32/12*G32</f>
        <v>16581.211000000003</v>
      </c>
      <c r="O32" s="40">
        <f>F32/12*G32</f>
        <v>16581.211000000003</v>
      </c>
      <c r="P32" s="40">
        <f>F32/12*G32</f>
        <v>16581.211000000003</v>
      </c>
      <c r="Q32" s="40">
        <f t="shared" ref="Q32" si="21">F32/12*G32</f>
        <v>16581.211000000003</v>
      </c>
      <c r="R32" s="40">
        <f t="shared" ref="R32" si="22">F32/12*G32</f>
        <v>16581.211000000003</v>
      </c>
      <c r="S32" s="40">
        <f t="shared" ref="S32" si="23">F32/12*G32</f>
        <v>16581.211000000003</v>
      </c>
      <c r="T32" s="40">
        <f t="shared" ref="T32" si="24">F32/12*G32</f>
        <v>16581.211000000003</v>
      </c>
      <c r="U32" s="40">
        <f t="shared" si="20"/>
        <v>198974.53200000009</v>
      </c>
    </row>
    <row r="33" spans="1:21" s="19" customFormat="1">
      <c r="A33" s="155"/>
      <c r="B33" s="20" t="s">
        <v>27</v>
      </c>
      <c r="C33" s="45"/>
      <c r="D33" s="20"/>
      <c r="E33" s="46"/>
      <c r="F33" s="47"/>
      <c r="G33" s="47"/>
      <c r="H33" s="54">
        <f>SUM(H24:H32)</f>
        <v>227.45614744663337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>
        <f>SUM(U24:U32)</f>
        <v>224609.07144663343</v>
      </c>
    </row>
    <row r="34" spans="1:21">
      <c r="A34" s="154"/>
      <c r="B34" s="12" t="s">
        <v>45</v>
      </c>
      <c r="C34" s="33"/>
      <c r="D34" s="11"/>
      <c r="E34" s="37"/>
      <c r="F34" s="38"/>
      <c r="G34" s="38"/>
      <c r="H34" s="39" t="s">
        <v>44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 ht="12.75" customHeight="1">
      <c r="A35" s="154" t="s">
        <v>141</v>
      </c>
      <c r="B35" s="13" t="s">
        <v>46</v>
      </c>
      <c r="C35" s="33" t="s">
        <v>41</v>
      </c>
      <c r="D35" s="11"/>
      <c r="E35" s="37"/>
      <c r="F35" s="38">
        <v>6</v>
      </c>
      <c r="G35" s="38">
        <v>1527.22</v>
      </c>
      <c r="H35" s="39">
        <f t="shared" ref="H35:H42" si="25">SUM(F35*G35/1000)</f>
        <v>9.1633200000000006</v>
      </c>
      <c r="I35" s="40">
        <f>F35/6*G35</f>
        <v>1527.22</v>
      </c>
      <c r="J35" s="40">
        <f>F35/6*G35</f>
        <v>1527.22</v>
      </c>
      <c r="K35" s="40">
        <f>F35/6*G35</f>
        <v>1527.22</v>
      </c>
      <c r="L35" s="40">
        <f>F35/6*G35</f>
        <v>1527.22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f>F35/6*G35</f>
        <v>1527.22</v>
      </c>
      <c r="T35" s="40">
        <f>F35/6*G35</f>
        <v>1527.22</v>
      </c>
      <c r="U35" s="40">
        <f t="shared" ref="U35:U42" si="26">SUM(I35:T35)</f>
        <v>9163.32</v>
      </c>
    </row>
    <row r="36" spans="1:21" s="1" customFormat="1">
      <c r="A36" s="156" t="s">
        <v>199</v>
      </c>
      <c r="B36" s="13" t="s">
        <v>165</v>
      </c>
      <c r="C36" s="55" t="s">
        <v>47</v>
      </c>
      <c r="D36" s="13" t="s">
        <v>115</v>
      </c>
      <c r="E36" s="56">
        <v>429.8</v>
      </c>
      <c r="F36" s="56">
        <f>SUM(E36*12/1000)</f>
        <v>5.1576000000000004</v>
      </c>
      <c r="G36" s="56">
        <v>2102.71</v>
      </c>
      <c r="H36" s="39">
        <f t="shared" si="25"/>
        <v>10.844937096000001</v>
      </c>
      <c r="I36" s="57">
        <f>F36/6*G36</f>
        <v>1807.4895160000001</v>
      </c>
      <c r="J36" s="57">
        <f>F36/6*G36</f>
        <v>1807.4895160000001</v>
      </c>
      <c r="K36" s="40">
        <f t="shared" ref="K36:K42" si="27">F36/6*G36</f>
        <v>1807.4895160000001</v>
      </c>
      <c r="L36" s="40">
        <f t="shared" ref="L36:L42" si="28">F36/6*G36</f>
        <v>1807.4895160000001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f t="shared" ref="S36:S42" si="29">F36/6*G36</f>
        <v>1807.4895160000001</v>
      </c>
      <c r="T36" s="40">
        <f t="shared" ref="T36:T42" si="30">F36/6*G36</f>
        <v>1807.4895160000001</v>
      </c>
      <c r="U36" s="40">
        <f t="shared" si="26"/>
        <v>10844.937096</v>
      </c>
    </row>
    <row r="37" spans="1:21" ht="25.5">
      <c r="A37" s="156" t="s">
        <v>199</v>
      </c>
      <c r="B37" s="13" t="s">
        <v>166</v>
      </c>
      <c r="C37" s="55" t="s">
        <v>47</v>
      </c>
      <c r="D37" s="13" t="s">
        <v>117</v>
      </c>
      <c r="E37" s="56">
        <v>68</v>
      </c>
      <c r="F37" s="56">
        <f>SUM(E37*30/1000)</f>
        <v>2.04</v>
      </c>
      <c r="G37" s="56">
        <v>2102.71</v>
      </c>
      <c r="H37" s="39">
        <f>SUM(F37*G37/1000)</f>
        <v>4.2895284</v>
      </c>
      <c r="I37" s="57">
        <f>F37/6*G37</f>
        <v>714.92140000000006</v>
      </c>
      <c r="J37" s="57">
        <f>F37/6*G37</f>
        <v>714.92140000000006</v>
      </c>
      <c r="K37" s="40">
        <f t="shared" si="27"/>
        <v>714.92140000000006</v>
      </c>
      <c r="L37" s="40">
        <f t="shared" si="28"/>
        <v>714.92140000000006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f t="shared" si="29"/>
        <v>714.92140000000006</v>
      </c>
      <c r="T37" s="40">
        <f t="shared" si="30"/>
        <v>714.92140000000006</v>
      </c>
      <c r="U37" s="40">
        <f t="shared" si="26"/>
        <v>4289.5284000000001</v>
      </c>
    </row>
    <row r="38" spans="1:21">
      <c r="A38" s="154" t="s">
        <v>141</v>
      </c>
      <c r="B38" s="11" t="s">
        <v>105</v>
      </c>
      <c r="C38" s="33" t="s">
        <v>68</v>
      </c>
      <c r="D38" s="11" t="s">
        <v>40</v>
      </c>
      <c r="E38" s="37"/>
      <c r="F38" s="56">
        <v>50</v>
      </c>
      <c r="G38" s="38">
        <v>199.44</v>
      </c>
      <c r="H38" s="39">
        <f>SUM(F38*G38/1000)</f>
        <v>9.9719999999999995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f t="shared" si="26"/>
        <v>0</v>
      </c>
    </row>
    <row r="39" spans="1:21" ht="24.75" customHeight="1">
      <c r="A39" s="154" t="s">
        <v>200</v>
      </c>
      <c r="B39" s="11" t="s">
        <v>167</v>
      </c>
      <c r="C39" s="33" t="s">
        <v>47</v>
      </c>
      <c r="D39" s="11" t="s">
        <v>48</v>
      </c>
      <c r="E39" s="38">
        <v>68</v>
      </c>
      <c r="F39" s="56">
        <f>SUM(E39*155/1000)</f>
        <v>10.54</v>
      </c>
      <c r="G39" s="38">
        <v>350.75</v>
      </c>
      <c r="H39" s="39">
        <f t="shared" si="25"/>
        <v>3.6969049999999997</v>
      </c>
      <c r="I39" s="40">
        <f>F39/6*G39</f>
        <v>616.15083333333325</v>
      </c>
      <c r="J39" s="40">
        <f>F39/6*G39</f>
        <v>616.15083333333325</v>
      </c>
      <c r="K39" s="40">
        <f t="shared" si="27"/>
        <v>616.15083333333325</v>
      </c>
      <c r="L39" s="40">
        <f t="shared" si="28"/>
        <v>616.15083333333325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f t="shared" si="29"/>
        <v>616.15083333333325</v>
      </c>
      <c r="T39" s="40">
        <f t="shared" si="30"/>
        <v>616.15083333333325</v>
      </c>
      <c r="U39" s="40">
        <f t="shared" si="26"/>
        <v>3696.9049999999993</v>
      </c>
    </row>
    <row r="40" spans="1:21" ht="51" customHeight="1">
      <c r="A40" s="154" t="s">
        <v>201</v>
      </c>
      <c r="B40" s="11" t="s">
        <v>168</v>
      </c>
      <c r="C40" s="33" t="s">
        <v>30</v>
      </c>
      <c r="D40" s="11" t="s">
        <v>118</v>
      </c>
      <c r="E40" s="38">
        <v>68</v>
      </c>
      <c r="F40" s="56">
        <f>SUM(E40*24/1000)</f>
        <v>1.6319999999999999</v>
      </c>
      <c r="G40" s="38">
        <v>5803.28</v>
      </c>
      <c r="H40" s="39">
        <f t="shared" si="25"/>
        <v>9.4709529599999982</v>
      </c>
      <c r="I40" s="40">
        <f>F40/6*G40</f>
        <v>1578.4921599999998</v>
      </c>
      <c r="J40" s="40">
        <f>F40/6*G40</f>
        <v>1578.4921599999998</v>
      </c>
      <c r="K40" s="40">
        <f t="shared" si="27"/>
        <v>1578.4921599999998</v>
      </c>
      <c r="L40" s="40">
        <f t="shared" si="28"/>
        <v>1578.4921599999998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f t="shared" si="29"/>
        <v>1578.4921599999998</v>
      </c>
      <c r="T40" s="40">
        <f t="shared" si="30"/>
        <v>1578.4921599999998</v>
      </c>
      <c r="U40" s="40">
        <f t="shared" si="26"/>
        <v>9470.9529599999987</v>
      </c>
    </row>
    <row r="41" spans="1:21" ht="12.75" customHeight="1">
      <c r="A41" s="154" t="s">
        <v>202</v>
      </c>
      <c r="B41" s="11" t="s">
        <v>169</v>
      </c>
      <c r="C41" s="33" t="s">
        <v>30</v>
      </c>
      <c r="D41" s="11" t="s">
        <v>49</v>
      </c>
      <c r="E41" s="38">
        <v>68</v>
      </c>
      <c r="F41" s="56">
        <f>SUM(E41*45/1000)</f>
        <v>3.06</v>
      </c>
      <c r="G41" s="38">
        <v>428.7</v>
      </c>
      <c r="H41" s="39">
        <f t="shared" si="25"/>
        <v>1.3118219999999998</v>
      </c>
      <c r="I41" s="40">
        <f>F41/6*G41</f>
        <v>218.637</v>
      </c>
      <c r="J41" s="40">
        <f>F41/6*G41</f>
        <v>218.637</v>
      </c>
      <c r="K41" s="40">
        <f t="shared" si="27"/>
        <v>218.637</v>
      </c>
      <c r="L41" s="40">
        <f t="shared" si="28"/>
        <v>218.637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f t="shared" si="29"/>
        <v>218.637</v>
      </c>
      <c r="T41" s="40">
        <f t="shared" si="30"/>
        <v>218.637</v>
      </c>
      <c r="U41" s="40">
        <f t="shared" si="26"/>
        <v>1311.8219999999999</v>
      </c>
    </row>
    <row r="42" spans="1:21" s="2" customFormat="1">
      <c r="A42" s="156"/>
      <c r="B42" s="13" t="s">
        <v>170</v>
      </c>
      <c r="C42" s="55" t="s">
        <v>38</v>
      </c>
      <c r="D42" s="13"/>
      <c r="E42" s="52"/>
      <c r="F42" s="56">
        <v>0.9</v>
      </c>
      <c r="G42" s="56">
        <v>798</v>
      </c>
      <c r="H42" s="39">
        <f t="shared" si="25"/>
        <v>0.71820000000000006</v>
      </c>
      <c r="I42" s="57">
        <f>F42/6*G42</f>
        <v>119.69999999999999</v>
      </c>
      <c r="J42" s="57">
        <f>F42/6*G42</f>
        <v>119.69999999999999</v>
      </c>
      <c r="K42" s="40">
        <f t="shared" si="27"/>
        <v>119.69999999999999</v>
      </c>
      <c r="L42" s="40">
        <f t="shared" si="28"/>
        <v>119.69999999999999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f t="shared" si="29"/>
        <v>119.69999999999999</v>
      </c>
      <c r="T42" s="40">
        <f t="shared" si="30"/>
        <v>119.69999999999999</v>
      </c>
      <c r="U42" s="40">
        <f t="shared" si="26"/>
        <v>718.2</v>
      </c>
    </row>
    <row r="43" spans="1:21" s="19" customFormat="1">
      <c r="A43" s="155"/>
      <c r="B43" s="20" t="s">
        <v>27</v>
      </c>
      <c r="C43" s="45"/>
      <c r="D43" s="20"/>
      <c r="E43" s="46"/>
      <c r="F43" s="47" t="s">
        <v>44</v>
      </c>
      <c r="G43" s="47"/>
      <c r="H43" s="54">
        <f>SUM(H35:H42)</f>
        <v>49.467665456000006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>
        <f>SUM(U35:U42)</f>
        <v>39495.665455999995</v>
      </c>
    </row>
    <row r="44" spans="1:21">
      <c r="A44" s="154"/>
      <c r="B44" s="14" t="s">
        <v>50</v>
      </c>
      <c r="C44" s="33"/>
      <c r="D44" s="11"/>
      <c r="E44" s="37"/>
      <c r="F44" s="38"/>
      <c r="G44" s="38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1:21">
      <c r="A45" s="154" t="s">
        <v>204</v>
      </c>
      <c r="B45" s="11" t="s">
        <v>203</v>
      </c>
      <c r="C45" s="33" t="s">
        <v>30</v>
      </c>
      <c r="D45" s="11" t="s">
        <v>51</v>
      </c>
      <c r="E45" s="37">
        <v>1061.3</v>
      </c>
      <c r="F45" s="38">
        <f>SUM(E45*2/1000)</f>
        <v>2.1225999999999998</v>
      </c>
      <c r="G45" s="58">
        <v>809.74</v>
      </c>
      <c r="H45" s="39">
        <f t="shared" ref="H45:H54" si="31">SUM(F45*G45/1000)</f>
        <v>1.7187541239999997</v>
      </c>
      <c r="I45" s="40">
        <v>0</v>
      </c>
      <c r="J45" s="40">
        <v>0</v>
      </c>
      <c r="K45" s="40">
        <v>0</v>
      </c>
      <c r="L45" s="40">
        <v>0</v>
      </c>
      <c r="M45" s="40">
        <f>F45/2*G45</f>
        <v>859.37706199999991</v>
      </c>
      <c r="N45" s="40">
        <v>0</v>
      </c>
      <c r="O45" s="40">
        <v>0</v>
      </c>
      <c r="P45" s="40">
        <v>0</v>
      </c>
      <c r="Q45" s="40">
        <f>F45/2*G45</f>
        <v>859.37706199999991</v>
      </c>
      <c r="R45" s="40">
        <v>0</v>
      </c>
      <c r="S45" s="40">
        <v>0</v>
      </c>
      <c r="T45" s="40">
        <v>0</v>
      </c>
      <c r="U45" s="40">
        <f t="shared" ref="U45:U54" si="32">SUM(I45:T45)</f>
        <v>1718.7541239999998</v>
      </c>
    </row>
    <row r="46" spans="1:21">
      <c r="A46" s="154" t="s">
        <v>205</v>
      </c>
      <c r="B46" s="11" t="s">
        <v>52</v>
      </c>
      <c r="C46" s="33" t="s">
        <v>30</v>
      </c>
      <c r="D46" s="11" t="s">
        <v>51</v>
      </c>
      <c r="E46" s="37">
        <v>52</v>
      </c>
      <c r="F46" s="38">
        <f>SUM(E46*2/1000)</f>
        <v>0.104</v>
      </c>
      <c r="G46" s="58">
        <v>579.48</v>
      </c>
      <c r="H46" s="39">
        <f t="shared" si="31"/>
        <v>6.0265920000000001E-2</v>
      </c>
      <c r="I46" s="40">
        <v>0</v>
      </c>
      <c r="J46" s="40">
        <v>0</v>
      </c>
      <c r="K46" s="40">
        <v>0</v>
      </c>
      <c r="L46" s="40">
        <v>0</v>
      </c>
      <c r="M46" s="40">
        <f t="shared" ref="M46:M49" si="33">F46/2*G46</f>
        <v>30.132960000000001</v>
      </c>
      <c r="N46" s="40">
        <v>0</v>
      </c>
      <c r="O46" s="40">
        <v>0</v>
      </c>
      <c r="P46" s="40">
        <v>0</v>
      </c>
      <c r="Q46" s="40">
        <f t="shared" ref="Q46:Q49" si="34">F46/2*G46</f>
        <v>30.132960000000001</v>
      </c>
      <c r="R46" s="40">
        <v>0</v>
      </c>
      <c r="S46" s="40">
        <v>0</v>
      </c>
      <c r="T46" s="40">
        <v>0</v>
      </c>
      <c r="U46" s="40">
        <f t="shared" si="32"/>
        <v>60.265920000000001</v>
      </c>
    </row>
    <row r="47" spans="1:21" ht="12.75" customHeight="1">
      <c r="A47" s="154" t="s">
        <v>206</v>
      </c>
      <c r="B47" s="11" t="s">
        <v>53</v>
      </c>
      <c r="C47" s="33" t="s">
        <v>30</v>
      </c>
      <c r="D47" s="11" t="s">
        <v>51</v>
      </c>
      <c r="E47" s="37">
        <v>1238.8</v>
      </c>
      <c r="F47" s="38">
        <f>SUM(E47*2/1000)</f>
        <v>2.4775999999999998</v>
      </c>
      <c r="G47" s="58">
        <v>579.48</v>
      </c>
      <c r="H47" s="39">
        <f t="shared" si="31"/>
        <v>1.4357196480000001</v>
      </c>
      <c r="I47" s="40">
        <v>0</v>
      </c>
      <c r="J47" s="40">
        <v>0</v>
      </c>
      <c r="K47" s="40">
        <v>0</v>
      </c>
      <c r="L47" s="40">
        <v>0</v>
      </c>
      <c r="M47" s="40">
        <f t="shared" si="33"/>
        <v>717.859824</v>
      </c>
      <c r="N47" s="40">
        <v>0</v>
      </c>
      <c r="O47" s="40">
        <v>0</v>
      </c>
      <c r="P47" s="40">
        <v>0</v>
      </c>
      <c r="Q47" s="40">
        <f t="shared" si="34"/>
        <v>717.859824</v>
      </c>
      <c r="R47" s="40">
        <v>0</v>
      </c>
      <c r="S47" s="40">
        <v>0</v>
      </c>
      <c r="T47" s="40">
        <v>0</v>
      </c>
      <c r="U47" s="40">
        <f t="shared" si="32"/>
        <v>1435.719648</v>
      </c>
    </row>
    <row r="48" spans="1:21">
      <c r="A48" s="154" t="s">
        <v>207</v>
      </c>
      <c r="B48" s="11" t="s">
        <v>54</v>
      </c>
      <c r="C48" s="33" t="s">
        <v>30</v>
      </c>
      <c r="D48" s="11" t="s">
        <v>51</v>
      </c>
      <c r="E48" s="37">
        <v>1794.01</v>
      </c>
      <c r="F48" s="38">
        <f>SUM(E48*2/1000)</f>
        <v>3.5880199999999998</v>
      </c>
      <c r="G48" s="58">
        <v>606.77</v>
      </c>
      <c r="H48" s="39">
        <f t="shared" si="31"/>
        <v>2.1771028954</v>
      </c>
      <c r="I48" s="40">
        <v>0</v>
      </c>
      <c r="J48" s="40">
        <v>0</v>
      </c>
      <c r="K48" s="40">
        <v>0</v>
      </c>
      <c r="L48" s="40">
        <v>0</v>
      </c>
      <c r="M48" s="40">
        <f t="shared" si="33"/>
        <v>1088.5514476999999</v>
      </c>
      <c r="N48" s="40">
        <v>0</v>
      </c>
      <c r="O48" s="40">
        <v>0</v>
      </c>
      <c r="P48" s="40">
        <v>0</v>
      </c>
      <c r="Q48" s="40">
        <f t="shared" si="34"/>
        <v>1088.5514476999999</v>
      </c>
      <c r="R48" s="40">
        <v>0</v>
      </c>
      <c r="S48" s="40">
        <v>0</v>
      </c>
      <c r="T48" s="40">
        <v>0</v>
      </c>
      <c r="U48" s="40">
        <f t="shared" si="32"/>
        <v>2177.1028953999999</v>
      </c>
    </row>
    <row r="49" spans="1:21">
      <c r="A49" s="154" t="s">
        <v>212</v>
      </c>
      <c r="B49" s="11" t="s">
        <v>109</v>
      </c>
      <c r="C49" s="33" t="s">
        <v>110</v>
      </c>
      <c r="D49" s="11" t="s">
        <v>120</v>
      </c>
      <c r="E49" s="37">
        <v>85.78</v>
      </c>
      <c r="F49" s="38">
        <f>SUM(E49*2/100)</f>
        <v>1.7156</v>
      </c>
      <c r="G49" s="58">
        <v>72.81</v>
      </c>
      <c r="H49" s="39">
        <f t="shared" si="31"/>
        <v>0.124912836</v>
      </c>
      <c r="I49" s="40">
        <v>0</v>
      </c>
      <c r="J49" s="40">
        <v>0</v>
      </c>
      <c r="K49" s="40">
        <v>0</v>
      </c>
      <c r="L49" s="40">
        <v>0</v>
      </c>
      <c r="M49" s="40">
        <f t="shared" si="33"/>
        <v>62.456417999999999</v>
      </c>
      <c r="N49" s="40">
        <v>0</v>
      </c>
      <c r="O49" s="40">
        <v>0</v>
      </c>
      <c r="P49" s="40">
        <v>0</v>
      </c>
      <c r="Q49" s="40">
        <f t="shared" si="34"/>
        <v>62.456417999999999</v>
      </c>
      <c r="R49" s="40">
        <v>0</v>
      </c>
      <c r="S49" s="40">
        <v>0</v>
      </c>
      <c r="T49" s="40">
        <v>0</v>
      </c>
      <c r="U49" s="40">
        <f t="shared" si="32"/>
        <v>124.912836</v>
      </c>
    </row>
    <row r="50" spans="1:21" ht="25.5">
      <c r="A50" s="154" t="s">
        <v>208</v>
      </c>
      <c r="B50" s="11" t="s">
        <v>55</v>
      </c>
      <c r="C50" s="33" t="s">
        <v>30</v>
      </c>
      <c r="D50" s="11" t="s">
        <v>56</v>
      </c>
      <c r="E50" s="37">
        <v>884</v>
      </c>
      <c r="F50" s="38">
        <f>SUM(E50*5/1000)</f>
        <v>4.42</v>
      </c>
      <c r="G50" s="58">
        <v>1213.55</v>
      </c>
      <c r="H50" s="39">
        <f t="shared" si="31"/>
        <v>5.3638909999999997</v>
      </c>
      <c r="I50" s="40">
        <f>F50/5*G50</f>
        <v>1072.7782</v>
      </c>
      <c r="J50" s="40">
        <f>F50/5*G50</f>
        <v>1072.7782</v>
      </c>
      <c r="K50" s="40">
        <v>0</v>
      </c>
      <c r="L50" s="40">
        <v>0</v>
      </c>
      <c r="M50" s="40">
        <f>F50/5*G50</f>
        <v>1072.7782</v>
      </c>
      <c r="N50" s="40">
        <v>0</v>
      </c>
      <c r="O50" s="40">
        <v>0</v>
      </c>
      <c r="P50" s="40">
        <v>0</v>
      </c>
      <c r="Q50" s="40">
        <f>F50/5*G50</f>
        <v>1072.7782</v>
      </c>
      <c r="R50" s="40">
        <v>0</v>
      </c>
      <c r="S50" s="40">
        <v>0</v>
      </c>
      <c r="T50" s="40">
        <f>F50/5*G50</f>
        <v>1072.7782</v>
      </c>
      <c r="U50" s="40">
        <f t="shared" si="32"/>
        <v>5363.8909999999996</v>
      </c>
    </row>
    <row r="51" spans="1:21" ht="38.25" customHeight="1">
      <c r="A51" s="154" t="s">
        <v>209</v>
      </c>
      <c r="B51" s="11" t="s">
        <v>57</v>
      </c>
      <c r="C51" s="33" t="s">
        <v>30</v>
      </c>
      <c r="D51" s="11" t="s">
        <v>51</v>
      </c>
      <c r="E51" s="37">
        <v>884</v>
      </c>
      <c r="F51" s="38">
        <f>SUM(E51*2/1000)</f>
        <v>1.768</v>
      </c>
      <c r="G51" s="58">
        <v>1213.55</v>
      </c>
      <c r="H51" s="39">
        <f t="shared" si="31"/>
        <v>2.1455563999999998</v>
      </c>
      <c r="I51" s="40">
        <v>0</v>
      </c>
      <c r="J51" s="40">
        <v>0</v>
      </c>
      <c r="K51" s="40">
        <v>0</v>
      </c>
      <c r="L51" s="40">
        <v>0</v>
      </c>
      <c r="M51" s="40">
        <f>F51/2*G51</f>
        <v>1072.7782</v>
      </c>
      <c r="N51" s="40">
        <v>0</v>
      </c>
      <c r="O51" s="40">
        <v>0</v>
      </c>
      <c r="P51" s="40">
        <v>0</v>
      </c>
      <c r="Q51" s="40">
        <v>0</v>
      </c>
      <c r="R51" s="40">
        <f t="shared" ref="R51:R53" si="35">F51/2*G51</f>
        <v>1072.7782</v>
      </c>
      <c r="S51" s="40">
        <v>0</v>
      </c>
      <c r="T51" s="40">
        <v>0</v>
      </c>
      <c r="U51" s="40">
        <f t="shared" si="32"/>
        <v>2145.5563999999999</v>
      </c>
    </row>
    <row r="52" spans="1:21" ht="25.5" customHeight="1">
      <c r="A52" s="154" t="s">
        <v>210</v>
      </c>
      <c r="B52" s="11" t="s">
        <v>58</v>
      </c>
      <c r="C52" s="33" t="s">
        <v>59</v>
      </c>
      <c r="D52" s="11" t="s">
        <v>51</v>
      </c>
      <c r="E52" s="37">
        <v>20</v>
      </c>
      <c r="F52" s="38">
        <f>SUM(E52*2/100)</f>
        <v>0.4</v>
      </c>
      <c r="G52" s="58">
        <v>2730.49</v>
      </c>
      <c r="H52" s="39">
        <f t="shared" si="31"/>
        <v>1.0921959999999999</v>
      </c>
      <c r="I52" s="40">
        <v>0</v>
      </c>
      <c r="J52" s="40">
        <v>0</v>
      </c>
      <c r="K52" s="40">
        <v>0</v>
      </c>
      <c r="L52" s="40">
        <v>0</v>
      </c>
      <c r="M52" s="40">
        <f>F52/2*G52</f>
        <v>546.09799999999996</v>
      </c>
      <c r="N52" s="40">
        <v>0</v>
      </c>
      <c r="O52" s="40">
        <v>0</v>
      </c>
      <c r="P52" s="40">
        <v>0</v>
      </c>
      <c r="Q52" s="40">
        <v>0</v>
      </c>
      <c r="R52" s="40">
        <f t="shared" si="35"/>
        <v>546.09799999999996</v>
      </c>
      <c r="S52" s="40">
        <v>0</v>
      </c>
      <c r="T52" s="40">
        <v>0</v>
      </c>
      <c r="U52" s="40">
        <f t="shared" si="32"/>
        <v>1092.1959999999999</v>
      </c>
    </row>
    <row r="53" spans="1:21">
      <c r="A53" s="154" t="s">
        <v>211</v>
      </c>
      <c r="B53" s="11" t="s">
        <v>60</v>
      </c>
      <c r="C53" s="33" t="s">
        <v>61</v>
      </c>
      <c r="D53" s="11" t="s">
        <v>51</v>
      </c>
      <c r="E53" s="37">
        <v>1</v>
      </c>
      <c r="F53" s="38">
        <v>0.02</v>
      </c>
      <c r="G53" s="58">
        <v>5652.13</v>
      </c>
      <c r="H53" s="39">
        <f t="shared" si="31"/>
        <v>0.11304260000000001</v>
      </c>
      <c r="I53" s="40">
        <v>0</v>
      </c>
      <c r="J53" s="40">
        <v>0</v>
      </c>
      <c r="K53" s="40">
        <v>0</v>
      </c>
      <c r="L53" s="40">
        <f>0</f>
        <v>0</v>
      </c>
      <c r="M53" s="40">
        <f>F53/2*G53</f>
        <v>56.521300000000004</v>
      </c>
      <c r="N53" s="40">
        <v>0</v>
      </c>
      <c r="O53" s="40">
        <v>0</v>
      </c>
      <c r="P53" s="40">
        <v>0</v>
      </c>
      <c r="Q53" s="40">
        <v>0</v>
      </c>
      <c r="R53" s="40">
        <f t="shared" si="35"/>
        <v>56.521300000000004</v>
      </c>
      <c r="S53" s="40">
        <v>0</v>
      </c>
      <c r="T53" s="40">
        <v>0</v>
      </c>
      <c r="U53" s="40">
        <f t="shared" si="32"/>
        <v>113.04260000000001</v>
      </c>
    </row>
    <row r="54" spans="1:21" ht="13.5" customHeight="1">
      <c r="A54" s="154" t="s">
        <v>63</v>
      </c>
      <c r="B54" s="11" t="s">
        <v>64</v>
      </c>
      <c r="C54" s="33" t="s">
        <v>35</v>
      </c>
      <c r="D54" s="11" t="s">
        <v>100</v>
      </c>
      <c r="E54" s="37">
        <v>136</v>
      </c>
      <c r="F54" s="38">
        <f>SUM(E54)*3</f>
        <v>408</v>
      </c>
      <c r="G54" s="59">
        <v>65.67</v>
      </c>
      <c r="H54" s="39">
        <f t="shared" si="31"/>
        <v>26.79336</v>
      </c>
      <c r="I54" s="40">
        <f>E54*G54</f>
        <v>8931.1200000000008</v>
      </c>
      <c r="J54" s="40">
        <v>0</v>
      </c>
      <c r="K54" s="40">
        <v>0</v>
      </c>
      <c r="L54" s="40">
        <f>E54*G54</f>
        <v>8931.1200000000008</v>
      </c>
      <c r="M54" s="40">
        <v>0</v>
      </c>
      <c r="N54" s="40">
        <v>0</v>
      </c>
      <c r="O54" s="40">
        <v>0</v>
      </c>
      <c r="P54" s="40">
        <f>E54*G54</f>
        <v>8931.1200000000008</v>
      </c>
      <c r="Q54" s="40">
        <v>0</v>
      </c>
      <c r="R54" s="40">
        <v>0</v>
      </c>
      <c r="S54" s="40">
        <v>0</v>
      </c>
      <c r="T54" s="40">
        <v>0</v>
      </c>
      <c r="U54" s="40">
        <f t="shared" si="32"/>
        <v>26793.360000000001</v>
      </c>
    </row>
    <row r="55" spans="1:21" s="21" customFormat="1">
      <c r="A55" s="157"/>
      <c r="B55" s="20" t="s">
        <v>27</v>
      </c>
      <c r="C55" s="60"/>
      <c r="D55" s="20"/>
      <c r="E55" s="61"/>
      <c r="F55" s="62"/>
      <c r="G55" s="62"/>
      <c r="H55" s="54">
        <f>SUM(H45:H54)</f>
        <v>41.0248014234</v>
      </c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>
        <f>SUM(U45:U54)</f>
        <v>41024.8014234</v>
      </c>
    </row>
    <row r="56" spans="1:21">
      <c r="A56" s="154"/>
      <c r="B56" s="12" t="s">
        <v>65</v>
      </c>
      <c r="C56" s="33"/>
      <c r="D56" s="11"/>
      <c r="E56" s="37"/>
      <c r="F56" s="38"/>
      <c r="G56" s="38"/>
      <c r="H56" s="39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 ht="38.25">
      <c r="A57" s="162" t="s">
        <v>213</v>
      </c>
      <c r="B57" s="11" t="s">
        <v>171</v>
      </c>
      <c r="C57" s="33" t="s">
        <v>106</v>
      </c>
      <c r="D57" s="11" t="s">
        <v>111</v>
      </c>
      <c r="E57" s="37">
        <v>106.13</v>
      </c>
      <c r="F57" s="38">
        <f>E57*6/100</f>
        <v>6.3677999999999999</v>
      </c>
      <c r="G57" s="64">
        <v>1547.28</v>
      </c>
      <c r="H57" s="39">
        <f>F57*G57/1000</f>
        <v>9.8527695839999989</v>
      </c>
      <c r="I57" s="40">
        <f>F57/6*G57</f>
        <v>1642.1282639999999</v>
      </c>
      <c r="J57" s="40">
        <f>F57/6*G57</f>
        <v>1642.1282639999999</v>
      </c>
      <c r="K57" s="40">
        <f>F57/6*G57</f>
        <v>1642.1282639999999</v>
      </c>
      <c r="L57" s="40">
        <f>F57/6*G57</f>
        <v>1642.1282639999999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f>F57/6*G57</f>
        <v>1642.1282639999999</v>
      </c>
      <c r="T57" s="40">
        <f>F57/6*G57</f>
        <v>1642.1282639999999</v>
      </c>
      <c r="U57" s="40">
        <f>SUM(I57:T57)</f>
        <v>9852.7695839999978</v>
      </c>
    </row>
    <row r="58" spans="1:21" ht="12.75" customHeight="1">
      <c r="A58" s="158"/>
      <c r="B58" s="25" t="s">
        <v>66</v>
      </c>
      <c r="C58" s="65"/>
      <c r="D58" s="24"/>
      <c r="E58" s="66"/>
      <c r="F58" s="67"/>
      <c r="G58" s="68"/>
      <c r="H58" s="69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 ht="12.75" customHeight="1">
      <c r="A59" s="158" t="s">
        <v>214</v>
      </c>
      <c r="B59" s="24" t="s">
        <v>112</v>
      </c>
      <c r="C59" s="65" t="s">
        <v>24</v>
      </c>
      <c r="D59" s="24" t="s">
        <v>33</v>
      </c>
      <c r="E59" s="66">
        <v>884</v>
      </c>
      <c r="F59" s="67">
        <f>E59/100</f>
        <v>8.84</v>
      </c>
      <c r="G59" s="70">
        <v>793.61</v>
      </c>
      <c r="H59" s="69">
        <f>G59*F59/1000</f>
        <v>7.0155123999999995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f>SUM(I59:T59)</f>
        <v>0</v>
      </c>
    </row>
    <row r="60" spans="1:21" ht="12.75" customHeight="1">
      <c r="A60" s="158"/>
      <c r="B60" s="24" t="s">
        <v>119</v>
      </c>
      <c r="C60" s="65" t="s">
        <v>67</v>
      </c>
      <c r="D60" s="24"/>
      <c r="E60" s="66">
        <v>176.8</v>
      </c>
      <c r="F60" s="67">
        <f>E60*12</f>
        <v>2121.6000000000004</v>
      </c>
      <c r="G60" s="71">
        <v>2.6</v>
      </c>
      <c r="H60" s="69">
        <f>G60*F60</f>
        <v>5516.1600000000008</v>
      </c>
      <c r="I60" s="40">
        <f>F60/12*G60</f>
        <v>459.68000000000012</v>
      </c>
      <c r="J60" s="40">
        <f>F60/12*G60</f>
        <v>459.68000000000012</v>
      </c>
      <c r="K60" s="40">
        <f>F60/12*G60</f>
        <v>459.68000000000012</v>
      </c>
      <c r="L60" s="40">
        <f>F60/12*G60</f>
        <v>459.68000000000012</v>
      </c>
      <c r="M60" s="40">
        <f>F60/12*G60</f>
        <v>459.68000000000012</v>
      </c>
      <c r="N60" s="40">
        <f>F60/12*G60</f>
        <v>459.68000000000012</v>
      </c>
      <c r="O60" s="40">
        <f>F60/12*G60</f>
        <v>459.68000000000012</v>
      </c>
      <c r="P60" s="40">
        <f>F60/12*G60</f>
        <v>459.68000000000012</v>
      </c>
      <c r="Q60" s="40">
        <f>F60/12*G60</f>
        <v>459.68000000000012</v>
      </c>
      <c r="R60" s="40">
        <f>F60/12*G60</f>
        <v>459.68000000000012</v>
      </c>
      <c r="S60" s="40">
        <f>F60/12*G60</f>
        <v>459.68000000000012</v>
      </c>
      <c r="T60" s="40">
        <f>F60/12*G60</f>
        <v>459.68000000000012</v>
      </c>
      <c r="U60" s="40">
        <f>SUM(I60:T60)</f>
        <v>5516.1600000000026</v>
      </c>
    </row>
    <row r="61" spans="1:21">
      <c r="A61" s="158"/>
      <c r="B61" s="15" t="s">
        <v>69</v>
      </c>
      <c r="C61" s="65"/>
      <c r="D61" s="24"/>
      <c r="E61" s="66"/>
      <c r="F61" s="67"/>
      <c r="G61" s="67"/>
      <c r="H61" s="69" t="s">
        <v>44</v>
      </c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1:21" ht="12.75" customHeight="1">
      <c r="A62" s="27" t="s">
        <v>215</v>
      </c>
      <c r="B62" s="16" t="s">
        <v>70</v>
      </c>
      <c r="C62" s="27" t="s">
        <v>62</v>
      </c>
      <c r="D62" s="9" t="s">
        <v>40</v>
      </c>
      <c r="E62" s="43">
        <v>20</v>
      </c>
      <c r="F62" s="38">
        <v>20</v>
      </c>
      <c r="G62" s="58">
        <v>222.4</v>
      </c>
      <c r="H62" s="125">
        <f t="shared" ref="H62:H77" si="36">SUM(F62*G62/1000)</f>
        <v>4.4480000000000004</v>
      </c>
      <c r="I62" s="40">
        <v>0</v>
      </c>
      <c r="J62" s="40">
        <v>0</v>
      </c>
      <c r="K62" s="40">
        <f>G62</f>
        <v>222.4</v>
      </c>
      <c r="L62" s="40">
        <f>G62</f>
        <v>222.4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f>G62</f>
        <v>222.4</v>
      </c>
      <c r="S62" s="40">
        <v>0</v>
      </c>
      <c r="T62" s="40">
        <f>G62*5</f>
        <v>1112</v>
      </c>
      <c r="U62" s="40">
        <f t="shared" ref="U62:U69" si="37">SUM(I62:T62)</f>
        <v>1779.2</v>
      </c>
    </row>
    <row r="63" spans="1:21" ht="12.75" customHeight="1">
      <c r="A63" s="27" t="s">
        <v>216</v>
      </c>
      <c r="B63" s="16" t="s">
        <v>71</v>
      </c>
      <c r="C63" s="27" t="s">
        <v>62</v>
      </c>
      <c r="D63" s="9" t="s">
        <v>40</v>
      </c>
      <c r="E63" s="43">
        <v>5</v>
      </c>
      <c r="F63" s="38">
        <v>5</v>
      </c>
      <c r="G63" s="58">
        <v>76.25</v>
      </c>
      <c r="H63" s="125">
        <f t="shared" si="36"/>
        <v>0.38124999999999998</v>
      </c>
      <c r="I63" s="40">
        <f>G63</f>
        <v>76.25</v>
      </c>
      <c r="J63" s="40">
        <v>0</v>
      </c>
      <c r="K63" s="40">
        <f>G63</f>
        <v>76.25</v>
      </c>
      <c r="L63" s="40">
        <f>G63*7</f>
        <v>533.75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f t="shared" si="37"/>
        <v>686.25</v>
      </c>
    </row>
    <row r="64" spans="1:21" s="2" customFormat="1">
      <c r="A64" s="72" t="s">
        <v>217</v>
      </c>
      <c r="B64" s="16" t="s">
        <v>72</v>
      </c>
      <c r="C64" s="72" t="s">
        <v>73</v>
      </c>
      <c r="D64" s="9" t="s">
        <v>33</v>
      </c>
      <c r="E64" s="37">
        <v>12647</v>
      </c>
      <c r="F64" s="59">
        <f>SUM(E64/100)</f>
        <v>126.47</v>
      </c>
      <c r="G64" s="58">
        <v>212.15</v>
      </c>
      <c r="H64" s="125">
        <f t="shared" si="36"/>
        <v>26.830610499999999</v>
      </c>
      <c r="I64" s="57">
        <v>0</v>
      </c>
      <c r="J64" s="57">
        <v>0</v>
      </c>
      <c r="K64" s="40">
        <v>0</v>
      </c>
      <c r="L64" s="40">
        <v>0</v>
      </c>
      <c r="M64" s="40">
        <f>F64*G64</f>
        <v>26830.610499999999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f t="shared" si="37"/>
        <v>26830.610499999999</v>
      </c>
    </row>
    <row r="65" spans="1:21" ht="12.75" customHeight="1">
      <c r="A65" s="27" t="s">
        <v>218</v>
      </c>
      <c r="B65" s="16" t="s">
        <v>74</v>
      </c>
      <c r="C65" s="27" t="s">
        <v>75</v>
      </c>
      <c r="D65" s="9"/>
      <c r="E65" s="37">
        <v>12647</v>
      </c>
      <c r="F65" s="58">
        <f>SUM(E65/1000)</f>
        <v>12.647</v>
      </c>
      <c r="G65" s="58">
        <v>165.21</v>
      </c>
      <c r="H65" s="125">
        <f t="shared" si="36"/>
        <v>2.08941087</v>
      </c>
      <c r="I65" s="40">
        <v>0</v>
      </c>
      <c r="J65" s="40">
        <v>0</v>
      </c>
      <c r="K65" s="40">
        <v>0</v>
      </c>
      <c r="L65" s="40">
        <v>0</v>
      </c>
      <c r="M65" s="40">
        <f t="shared" ref="M65:M68" si="38">F65*G65</f>
        <v>2089.4108700000002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f t="shared" si="37"/>
        <v>2089.4108700000002</v>
      </c>
    </row>
    <row r="66" spans="1:21">
      <c r="A66" s="27" t="s">
        <v>219</v>
      </c>
      <c r="B66" s="16" t="s">
        <v>76</v>
      </c>
      <c r="C66" s="27" t="s">
        <v>77</v>
      </c>
      <c r="D66" s="9" t="s">
        <v>33</v>
      </c>
      <c r="E66" s="37">
        <v>1900</v>
      </c>
      <c r="F66" s="58">
        <f>SUM(E66/100)</f>
        <v>19</v>
      </c>
      <c r="G66" s="58">
        <v>2074.63</v>
      </c>
      <c r="H66" s="125">
        <f t="shared" si="36"/>
        <v>39.417970000000004</v>
      </c>
      <c r="I66" s="40">
        <v>0</v>
      </c>
      <c r="J66" s="40">
        <v>0</v>
      </c>
      <c r="K66" s="40">
        <v>0</v>
      </c>
      <c r="L66" s="40">
        <v>0</v>
      </c>
      <c r="M66" s="40">
        <f>F66*G66</f>
        <v>39417.97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f t="shared" si="37"/>
        <v>39417.97</v>
      </c>
    </row>
    <row r="67" spans="1:21">
      <c r="A67" s="27"/>
      <c r="B67" s="17" t="s">
        <v>101</v>
      </c>
      <c r="C67" s="27" t="s">
        <v>38</v>
      </c>
      <c r="D67" s="9"/>
      <c r="E67" s="37">
        <v>11.3</v>
      </c>
      <c r="F67" s="58">
        <f>SUM(E67)</f>
        <v>11.3</v>
      </c>
      <c r="G67" s="58">
        <v>42.67</v>
      </c>
      <c r="H67" s="125">
        <f t="shared" si="36"/>
        <v>0.48217100000000007</v>
      </c>
      <c r="I67" s="40">
        <v>0</v>
      </c>
      <c r="J67" s="40">
        <v>0</v>
      </c>
      <c r="K67" s="40">
        <v>0</v>
      </c>
      <c r="L67" s="40">
        <v>0</v>
      </c>
      <c r="M67" s="40">
        <f t="shared" si="38"/>
        <v>482.17100000000005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f t="shared" si="37"/>
        <v>482.17100000000005</v>
      </c>
    </row>
    <row r="68" spans="1:21" ht="12.75" customHeight="1">
      <c r="A68" s="163"/>
      <c r="B68" s="17" t="s">
        <v>102</v>
      </c>
      <c r="C68" s="27" t="s">
        <v>38</v>
      </c>
      <c r="D68" s="9"/>
      <c r="E68" s="37">
        <v>11.3</v>
      </c>
      <c r="F68" s="58">
        <f>SUM(E68)</f>
        <v>11.3</v>
      </c>
      <c r="G68" s="58">
        <v>39.81</v>
      </c>
      <c r="H68" s="125">
        <f t="shared" si="36"/>
        <v>0.44985300000000006</v>
      </c>
      <c r="I68" s="40">
        <v>0</v>
      </c>
      <c r="J68" s="40">
        <v>0</v>
      </c>
      <c r="K68" s="40">
        <v>0</v>
      </c>
      <c r="L68" s="40">
        <v>0</v>
      </c>
      <c r="M68" s="40">
        <f t="shared" si="38"/>
        <v>449.85300000000007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f t="shared" si="37"/>
        <v>449.85300000000007</v>
      </c>
    </row>
    <row r="69" spans="1:21">
      <c r="A69" s="27" t="s">
        <v>220</v>
      </c>
      <c r="B69" s="9" t="s">
        <v>78</v>
      </c>
      <c r="C69" s="27" t="s">
        <v>79</v>
      </c>
      <c r="D69" s="9" t="s">
        <v>33</v>
      </c>
      <c r="E69" s="43">
        <v>6</v>
      </c>
      <c r="F69" s="38">
        <f>SUM(E69)</f>
        <v>6</v>
      </c>
      <c r="G69" s="58">
        <v>49.88</v>
      </c>
      <c r="H69" s="125">
        <f t="shared" si="36"/>
        <v>0.29928000000000005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f>G69*6</f>
        <v>299.28000000000003</v>
      </c>
      <c r="R69" s="40">
        <v>0</v>
      </c>
      <c r="S69" s="40">
        <v>0</v>
      </c>
      <c r="T69" s="40">
        <v>0</v>
      </c>
      <c r="U69" s="40">
        <f t="shared" si="37"/>
        <v>299.28000000000003</v>
      </c>
    </row>
    <row r="70" spans="1:21">
      <c r="A70" s="27"/>
      <c r="B70" s="18" t="s">
        <v>80</v>
      </c>
      <c r="C70" s="27"/>
      <c r="D70" s="9"/>
      <c r="E70" s="43"/>
      <c r="F70" s="58"/>
      <c r="G70" s="58"/>
      <c r="H70" s="125" t="s">
        <v>44</v>
      </c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</row>
    <row r="71" spans="1:21">
      <c r="A71" s="27" t="s">
        <v>221</v>
      </c>
      <c r="B71" s="9" t="s">
        <v>114</v>
      </c>
      <c r="C71" s="27" t="s">
        <v>113</v>
      </c>
      <c r="D71" s="9"/>
      <c r="E71" s="43">
        <v>5</v>
      </c>
      <c r="F71" s="68">
        <v>0.5</v>
      </c>
      <c r="G71" s="58">
        <v>501.62</v>
      </c>
      <c r="H71" s="125">
        <v>0.251</v>
      </c>
      <c r="I71" s="40">
        <v>0</v>
      </c>
      <c r="J71" s="40">
        <v>0</v>
      </c>
      <c r="K71" s="40">
        <v>0</v>
      </c>
      <c r="L71" s="40">
        <f>G71*0.1</f>
        <v>50.162000000000006</v>
      </c>
      <c r="M71" s="40">
        <v>0</v>
      </c>
      <c r="N71" s="40">
        <v>0</v>
      </c>
      <c r="O71" s="40">
        <v>0</v>
      </c>
      <c r="P71" s="40">
        <f>G71*0.2</f>
        <v>100.32400000000001</v>
      </c>
      <c r="Q71" s="40">
        <v>0</v>
      </c>
      <c r="R71" s="40">
        <v>0</v>
      </c>
      <c r="S71" s="40">
        <v>0</v>
      </c>
      <c r="T71" s="40">
        <v>0</v>
      </c>
      <c r="U71" s="40">
        <f>SUM(I71:T71)</f>
        <v>150.48600000000002</v>
      </c>
    </row>
    <row r="72" spans="1:21">
      <c r="A72" s="27" t="s">
        <v>222</v>
      </c>
      <c r="B72" s="9" t="s">
        <v>81</v>
      </c>
      <c r="C72" s="27" t="s">
        <v>35</v>
      </c>
      <c r="D72" s="9"/>
      <c r="E72" s="43">
        <v>2</v>
      </c>
      <c r="F72" s="58">
        <v>2</v>
      </c>
      <c r="G72" s="58">
        <v>99.85</v>
      </c>
      <c r="H72" s="125">
        <v>0.1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f>SUM(I72:T72)</f>
        <v>0</v>
      </c>
    </row>
    <row r="73" spans="1:21">
      <c r="A73" s="27" t="s">
        <v>223</v>
      </c>
      <c r="B73" s="9" t="s">
        <v>82</v>
      </c>
      <c r="C73" s="27" t="s">
        <v>35</v>
      </c>
      <c r="D73" s="9"/>
      <c r="E73" s="43">
        <v>1</v>
      </c>
      <c r="F73" s="68">
        <v>1</v>
      </c>
      <c r="G73" s="58">
        <v>120.26</v>
      </c>
      <c r="H73" s="125">
        <v>0.12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f>SUM(I73:T73)</f>
        <v>0</v>
      </c>
    </row>
    <row r="74" spans="1:21">
      <c r="A74" s="27" t="s">
        <v>224</v>
      </c>
      <c r="B74" s="9" t="s">
        <v>83</v>
      </c>
      <c r="C74" s="27" t="s">
        <v>35</v>
      </c>
      <c r="D74" s="9"/>
      <c r="E74" s="43">
        <v>1</v>
      </c>
      <c r="F74" s="38">
        <f>SUM(E74)</f>
        <v>1</v>
      </c>
      <c r="G74" s="58">
        <v>358.51</v>
      </c>
      <c r="H74" s="125">
        <f t="shared" si="36"/>
        <v>0.35851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f>SUM(I74:T74)</f>
        <v>0</v>
      </c>
    </row>
    <row r="75" spans="1:21">
      <c r="A75" s="27" t="s">
        <v>225</v>
      </c>
      <c r="B75" s="9" t="s">
        <v>103</v>
      </c>
      <c r="C75" s="27" t="s">
        <v>35</v>
      </c>
      <c r="D75" s="9"/>
      <c r="E75" s="43">
        <v>1</v>
      </c>
      <c r="F75" s="58">
        <v>1</v>
      </c>
      <c r="G75" s="58">
        <v>852.99</v>
      </c>
      <c r="H75" s="125">
        <f>F75*G75/1000</f>
        <v>0.85299000000000003</v>
      </c>
      <c r="I75" s="40">
        <v>0</v>
      </c>
      <c r="J75" s="40">
        <v>0</v>
      </c>
      <c r="K75" s="40">
        <v>0</v>
      </c>
      <c r="L75" s="40">
        <v>0</v>
      </c>
      <c r="M75" s="40">
        <f>G75*6</f>
        <v>5117.9400000000005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f>SUM(I75:T75)</f>
        <v>5117.9400000000005</v>
      </c>
    </row>
    <row r="76" spans="1:21">
      <c r="A76" s="27"/>
      <c r="B76" s="73" t="s">
        <v>84</v>
      </c>
      <c r="C76" s="27"/>
      <c r="D76" s="9"/>
      <c r="E76" s="43"/>
      <c r="F76" s="58"/>
      <c r="G76" s="58" t="s">
        <v>44</v>
      </c>
      <c r="H76" s="125" t="s">
        <v>44</v>
      </c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</row>
    <row r="77" spans="1:21" s="2" customFormat="1">
      <c r="A77" s="72" t="s">
        <v>85</v>
      </c>
      <c r="B77" s="74" t="s">
        <v>86</v>
      </c>
      <c r="C77" s="72" t="s">
        <v>77</v>
      </c>
      <c r="D77" s="16"/>
      <c r="E77" s="75"/>
      <c r="F77" s="59">
        <v>0.2</v>
      </c>
      <c r="G77" s="59">
        <v>2759.44</v>
      </c>
      <c r="H77" s="125">
        <f t="shared" si="36"/>
        <v>0.55188800000000005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57">
        <v>0</v>
      </c>
      <c r="U77" s="40">
        <f>SUM(I77:T77)</f>
        <v>0</v>
      </c>
    </row>
    <row r="78" spans="1:21" s="21" customFormat="1">
      <c r="A78" s="76"/>
      <c r="B78" s="20" t="s">
        <v>27</v>
      </c>
      <c r="C78" s="77"/>
      <c r="D78" s="78"/>
      <c r="E78" s="79"/>
      <c r="F78" s="63"/>
      <c r="G78" s="63"/>
      <c r="H78" s="80">
        <f>SUM(H57:H77)</f>
        <v>5609.6612153540027</v>
      </c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>
        <f>SUM(U57:U77)</f>
        <v>92672.100954000023</v>
      </c>
    </row>
    <row r="79" spans="1:21">
      <c r="A79" s="159" t="s">
        <v>134</v>
      </c>
      <c r="B79" s="11" t="s">
        <v>135</v>
      </c>
      <c r="C79" s="82"/>
      <c r="D79" s="83"/>
      <c r="E79" s="132"/>
      <c r="F79" s="84">
        <v>1</v>
      </c>
      <c r="G79" s="85">
        <v>13437.4</v>
      </c>
      <c r="H79" s="125">
        <f>G79*F79/1000</f>
        <v>13.4374</v>
      </c>
      <c r="I79" s="40">
        <v>0</v>
      </c>
      <c r="J79" s="40">
        <v>0</v>
      </c>
      <c r="K79" s="40">
        <v>0</v>
      </c>
      <c r="L79" s="40">
        <v>0</v>
      </c>
      <c r="M79" s="41">
        <v>0</v>
      </c>
      <c r="N79" s="41">
        <v>0</v>
      </c>
      <c r="O79" s="40">
        <v>0</v>
      </c>
      <c r="P79" s="40">
        <v>0</v>
      </c>
      <c r="Q79" s="40">
        <v>0</v>
      </c>
      <c r="R79" s="40">
        <v>0</v>
      </c>
      <c r="S79" s="40">
        <f>G79</f>
        <v>13437.4</v>
      </c>
      <c r="T79" s="40">
        <v>0</v>
      </c>
      <c r="U79" s="40">
        <f>SUM(I79:T79)</f>
        <v>13437.4</v>
      </c>
    </row>
    <row r="80" spans="1:21" ht="12.75" customHeight="1">
      <c r="A80" s="160"/>
      <c r="B80" s="81" t="s">
        <v>87</v>
      </c>
      <c r="C80" s="27" t="s">
        <v>88</v>
      </c>
      <c r="D80" s="86"/>
      <c r="E80" s="58">
        <v>3031.3</v>
      </c>
      <c r="F80" s="58">
        <f>SUM(E80*12)</f>
        <v>36375.600000000006</v>
      </c>
      <c r="G80" s="87">
        <v>2.1</v>
      </c>
      <c r="H80" s="125">
        <f>SUM(F80*G80/1000)</f>
        <v>76.388760000000005</v>
      </c>
      <c r="I80" s="40">
        <f>F80/12*G80</f>
        <v>6365.7300000000014</v>
      </c>
      <c r="J80" s="40">
        <f>F80/12*G80</f>
        <v>6365.7300000000014</v>
      </c>
      <c r="K80" s="40">
        <f>F80/12*G80</f>
        <v>6365.7300000000014</v>
      </c>
      <c r="L80" s="40">
        <f>F80/12*G80</f>
        <v>6365.7300000000014</v>
      </c>
      <c r="M80" s="41">
        <f>F80/12*G80</f>
        <v>6365.7300000000014</v>
      </c>
      <c r="N80" s="41">
        <f>F80/12*G80</f>
        <v>6365.7300000000014</v>
      </c>
      <c r="O80" s="40">
        <f>F80/12*G80</f>
        <v>6365.7300000000014</v>
      </c>
      <c r="P80" s="40">
        <f>F80/12*G80</f>
        <v>6365.7300000000014</v>
      </c>
      <c r="Q80" s="40">
        <f>F80/12*G80</f>
        <v>6365.7300000000014</v>
      </c>
      <c r="R80" s="40">
        <f>F80/12*G80</f>
        <v>6365.7300000000014</v>
      </c>
      <c r="S80" s="40">
        <f>F80/12*G80</f>
        <v>6365.7300000000014</v>
      </c>
      <c r="T80" s="40">
        <f>F80/12*G80</f>
        <v>6365.7300000000014</v>
      </c>
      <c r="U80" s="40">
        <f>SUM(I80:T80)</f>
        <v>76388.760000000024</v>
      </c>
    </row>
    <row r="81" spans="1:27" s="19" customFormat="1">
      <c r="A81" s="88"/>
      <c r="B81" s="20" t="s">
        <v>27</v>
      </c>
      <c r="C81" s="89"/>
      <c r="D81" s="90"/>
      <c r="E81" s="91"/>
      <c r="F81" s="49"/>
      <c r="G81" s="92"/>
      <c r="H81" s="50">
        <f>SUM(H79:H80)</f>
        <v>89.826160000000002</v>
      </c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>
        <f>SUM(U79:U80)</f>
        <v>89826.160000000018</v>
      </c>
    </row>
    <row r="82" spans="1:27" ht="25.5" customHeight="1">
      <c r="A82" s="93"/>
      <c r="B82" s="9" t="s">
        <v>89</v>
      </c>
      <c r="C82" s="27"/>
      <c r="D82" s="26"/>
      <c r="E82" s="37">
        <f>E80</f>
        <v>3031.3</v>
      </c>
      <c r="F82" s="58">
        <f>E82*12</f>
        <v>36375.600000000006</v>
      </c>
      <c r="G82" s="58">
        <v>1.63</v>
      </c>
      <c r="H82" s="125">
        <f>F82*G82/1000</f>
        <v>59.292228000000001</v>
      </c>
      <c r="I82" s="40">
        <f>F82/12*G82</f>
        <v>4941.0190000000011</v>
      </c>
      <c r="J82" s="40">
        <f>F82/12*G82</f>
        <v>4941.0190000000011</v>
      </c>
      <c r="K82" s="40">
        <f>F82/12*G82</f>
        <v>4941.0190000000011</v>
      </c>
      <c r="L82" s="40">
        <f>F82/12*G82</f>
        <v>4941.0190000000011</v>
      </c>
      <c r="M82" s="40">
        <f>F82/12*G82</f>
        <v>4941.0190000000011</v>
      </c>
      <c r="N82" s="40">
        <f>F82/12*G82</f>
        <v>4941.0190000000011</v>
      </c>
      <c r="O82" s="40">
        <f>F82/12*G82</f>
        <v>4941.0190000000011</v>
      </c>
      <c r="P82" s="40">
        <f>F82/12*G82</f>
        <v>4941.0190000000011</v>
      </c>
      <c r="Q82" s="40">
        <f>F82/12*G82</f>
        <v>4941.0190000000011</v>
      </c>
      <c r="R82" s="40">
        <f>F82/12*G82</f>
        <v>4941.0190000000011</v>
      </c>
      <c r="S82" s="40">
        <f>F82/12*G82</f>
        <v>4941.0190000000011</v>
      </c>
      <c r="T82" s="40">
        <f t="shared" ref="T82" si="39">F82/12*G82</f>
        <v>4941.0190000000011</v>
      </c>
      <c r="U82" s="40">
        <f>SUM(I82:T82)</f>
        <v>59292.22800000001</v>
      </c>
    </row>
    <row r="83" spans="1:27" s="19" customFormat="1">
      <c r="A83" s="88"/>
      <c r="B83" s="94" t="s">
        <v>90</v>
      </c>
      <c r="C83" s="95"/>
      <c r="D83" s="94"/>
      <c r="E83" s="49"/>
      <c r="F83" s="49"/>
      <c r="G83" s="49"/>
      <c r="H83" s="80">
        <f>H82</f>
        <v>59.292228000000001</v>
      </c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127">
        <f>U82</f>
        <v>59292.22800000001</v>
      </c>
    </row>
    <row r="84" spans="1:27" s="19" customFormat="1">
      <c r="A84" s="88"/>
      <c r="B84" s="94" t="s">
        <v>91</v>
      </c>
      <c r="C84" s="96"/>
      <c r="D84" s="97"/>
      <c r="E84" s="98"/>
      <c r="F84" s="98"/>
      <c r="G84" s="98"/>
      <c r="H84" s="80">
        <f>SUM(H83+H81+H78+H55+H43+H33+H22)</f>
        <v>6175.3790321600363</v>
      </c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127">
        <f>SUM(U83+U81+U78+U55+U43+U33+U22)*1.094</f>
        <v>705874.74460387672</v>
      </c>
    </row>
    <row r="85" spans="1:27" s="124" customFormat="1" ht="51">
      <c r="A85" s="93"/>
      <c r="B85" s="73"/>
      <c r="C85" s="27"/>
      <c r="D85" s="26"/>
      <c r="E85" s="58"/>
      <c r="F85" s="58"/>
      <c r="G85" s="58"/>
      <c r="H85" s="123"/>
      <c r="I85" s="58"/>
      <c r="J85" s="58"/>
      <c r="K85" s="58"/>
      <c r="L85" s="58"/>
      <c r="M85" s="58"/>
      <c r="N85" s="58"/>
      <c r="O85" s="58"/>
      <c r="P85" s="58"/>
      <c r="Q85" s="58"/>
      <c r="R85" s="134"/>
      <c r="S85" s="134"/>
      <c r="T85" s="134"/>
      <c r="U85" s="133" t="s">
        <v>150</v>
      </c>
    </row>
    <row r="86" spans="1:27">
      <c r="A86" s="93"/>
      <c r="B86" s="26" t="s">
        <v>92</v>
      </c>
      <c r="C86" s="27"/>
      <c r="D86" s="26"/>
      <c r="E86" s="58"/>
      <c r="F86" s="58"/>
      <c r="G86" s="58" t="s">
        <v>93</v>
      </c>
      <c r="H86" s="99">
        <f>E82</f>
        <v>3031.3</v>
      </c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X86" s="180"/>
      <c r="Y86" s="180"/>
      <c r="Z86" s="180"/>
      <c r="AA86" s="180"/>
    </row>
    <row r="87" spans="1:27" s="19" customFormat="1">
      <c r="A87" s="88"/>
      <c r="B87" s="97" t="s">
        <v>94</v>
      </c>
      <c r="C87" s="96"/>
      <c r="D87" s="97"/>
      <c r="E87" s="98"/>
      <c r="F87" s="98"/>
      <c r="G87" s="98"/>
      <c r="H87" s="100">
        <f>SUM(H84/H86/12*1000)</f>
        <v>169.76707001836496</v>
      </c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128"/>
    </row>
    <row r="88" spans="1:27">
      <c r="A88" s="93"/>
      <c r="B88" s="26"/>
      <c r="C88" s="27"/>
      <c r="D88" s="26"/>
      <c r="E88" s="58"/>
      <c r="F88" s="58"/>
      <c r="G88" s="58"/>
      <c r="H88" s="101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129"/>
    </row>
    <row r="89" spans="1:27">
      <c r="A89" s="93"/>
      <c r="B89" s="73" t="s">
        <v>95</v>
      </c>
      <c r="C89" s="27"/>
      <c r="D89" s="26"/>
      <c r="E89" s="58"/>
      <c r="F89" s="58"/>
      <c r="G89" s="58"/>
      <c r="H89" s="58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spans="1:27" ht="25.5">
      <c r="A90" s="138" t="s">
        <v>141</v>
      </c>
      <c r="B90" s="139" t="s">
        <v>142</v>
      </c>
      <c r="C90" s="140" t="s">
        <v>143</v>
      </c>
      <c r="D90" s="137"/>
      <c r="E90" s="58"/>
      <c r="F90" s="58">
        <v>2</v>
      </c>
      <c r="G90" s="58">
        <v>1835.8</v>
      </c>
      <c r="H90" s="125">
        <f>G90*F90/1000</f>
        <v>3.6715999999999998</v>
      </c>
      <c r="I90" s="40">
        <v>0</v>
      </c>
      <c r="J90" s="40">
        <f>G90*1</f>
        <v>1835.8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f>G90</f>
        <v>1835.8</v>
      </c>
      <c r="U90" s="40">
        <f t="shared" ref="U90:U92" si="40">SUM(I90:T90)</f>
        <v>3671.6</v>
      </c>
    </row>
    <row r="91" spans="1:27" ht="25.5">
      <c r="A91" s="141" t="s">
        <v>226</v>
      </c>
      <c r="B91" s="142" t="s">
        <v>144</v>
      </c>
      <c r="C91" s="143" t="s">
        <v>62</v>
      </c>
      <c r="D91" s="137"/>
      <c r="E91" s="58"/>
      <c r="F91" s="58">
        <v>8</v>
      </c>
      <c r="G91" s="58">
        <v>79.09</v>
      </c>
      <c r="H91" s="125">
        <f t="shared" ref="H91:H98" si="41">G91*F91/1000</f>
        <v>0.63272000000000006</v>
      </c>
      <c r="I91" s="40">
        <v>0</v>
      </c>
      <c r="J91" s="40">
        <f>G91*1</f>
        <v>79.09</v>
      </c>
      <c r="K91" s="40">
        <f>G91</f>
        <v>79.09</v>
      </c>
      <c r="L91" s="40">
        <v>0</v>
      </c>
      <c r="M91" s="40">
        <f>G91</f>
        <v>79.09</v>
      </c>
      <c r="N91" s="40">
        <f>G91</f>
        <v>79.09</v>
      </c>
      <c r="O91" s="40">
        <v>0</v>
      </c>
      <c r="P91" s="40">
        <v>0</v>
      </c>
      <c r="Q91" s="40">
        <f>G91</f>
        <v>79.09</v>
      </c>
      <c r="R91" s="40">
        <f>G91</f>
        <v>79.09</v>
      </c>
      <c r="S91" s="40">
        <v>0</v>
      </c>
      <c r="T91" s="40">
        <f>G91*2</f>
        <v>158.18</v>
      </c>
      <c r="U91" s="40">
        <f t="shared" si="40"/>
        <v>632.72</v>
      </c>
    </row>
    <row r="92" spans="1:27">
      <c r="A92" s="135" t="s">
        <v>227</v>
      </c>
      <c r="B92" s="136" t="s">
        <v>145</v>
      </c>
      <c r="C92" s="135" t="s">
        <v>62</v>
      </c>
      <c r="D92" s="137"/>
      <c r="E92" s="58"/>
      <c r="F92" s="58">
        <v>2</v>
      </c>
      <c r="G92" s="58">
        <f>620.95</f>
        <v>620.95000000000005</v>
      </c>
      <c r="H92" s="125">
        <f t="shared" si="41"/>
        <v>1.2419</v>
      </c>
      <c r="I92" s="40">
        <v>0</v>
      </c>
      <c r="J92" s="40">
        <f>G92*2</f>
        <v>1241.9000000000001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f t="shared" si="40"/>
        <v>1241.9000000000001</v>
      </c>
    </row>
    <row r="93" spans="1:27">
      <c r="A93" s="93" t="s">
        <v>141</v>
      </c>
      <c r="B93" s="26" t="s">
        <v>146</v>
      </c>
      <c r="C93" s="27" t="s">
        <v>147</v>
      </c>
      <c r="D93" s="26"/>
      <c r="E93" s="58"/>
      <c r="F93" s="58">
        <v>7.5</v>
      </c>
      <c r="G93" s="58">
        <v>1501</v>
      </c>
      <c r="H93" s="125">
        <f t="shared" si="41"/>
        <v>11.2575</v>
      </c>
      <c r="I93" s="40">
        <v>0</v>
      </c>
      <c r="J93" s="40">
        <f>G93*4.5</f>
        <v>6754.5</v>
      </c>
      <c r="K93" s="40">
        <v>0</v>
      </c>
      <c r="L93" s="40">
        <v>0</v>
      </c>
      <c r="M93" s="40">
        <v>0</v>
      </c>
      <c r="N93" s="40">
        <f>G93*3</f>
        <v>4503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f t="shared" ref="U93" si="42">SUM(I93:T93)</f>
        <v>11257.5</v>
      </c>
    </row>
    <row r="94" spans="1:27">
      <c r="A94" s="144" t="s">
        <v>228</v>
      </c>
      <c r="B94" s="145" t="s">
        <v>148</v>
      </c>
      <c r="C94" s="135" t="s">
        <v>62</v>
      </c>
      <c r="D94" s="137"/>
      <c r="E94" s="58"/>
      <c r="F94" s="58">
        <v>2</v>
      </c>
      <c r="G94" s="58">
        <v>179.96</v>
      </c>
      <c r="H94" s="58">
        <f t="shared" si="41"/>
        <v>0.35992000000000002</v>
      </c>
      <c r="I94" s="40">
        <v>0</v>
      </c>
      <c r="J94" s="40">
        <f>G94</f>
        <v>179.96</v>
      </c>
      <c r="K94" s="40">
        <v>0</v>
      </c>
      <c r="L94" s="40">
        <v>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f>G94</f>
        <v>179.96</v>
      </c>
      <c r="S94" s="40">
        <v>0</v>
      </c>
      <c r="T94" s="40">
        <v>0</v>
      </c>
      <c r="U94" s="40">
        <f t="shared" ref="U94:U98" si="43">SUM(I94:T94)</f>
        <v>359.92</v>
      </c>
    </row>
    <row r="95" spans="1:27">
      <c r="A95" s="144" t="s">
        <v>155</v>
      </c>
      <c r="B95" s="145" t="s">
        <v>156</v>
      </c>
      <c r="C95" s="135" t="s">
        <v>157</v>
      </c>
      <c r="D95" s="137"/>
      <c r="E95" s="58"/>
      <c r="F95" s="58">
        <v>1</v>
      </c>
      <c r="G95" s="58">
        <v>3651</v>
      </c>
      <c r="H95" s="125">
        <f t="shared" si="41"/>
        <v>3.6509999999999998</v>
      </c>
      <c r="I95" s="40">
        <v>0</v>
      </c>
      <c r="J95" s="40">
        <v>0</v>
      </c>
      <c r="K95" s="40">
        <f>G95</f>
        <v>3651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f t="shared" si="43"/>
        <v>3651</v>
      </c>
    </row>
    <row r="96" spans="1:27" ht="38.25">
      <c r="A96" s="135" t="s">
        <v>229</v>
      </c>
      <c r="B96" s="136" t="s">
        <v>151</v>
      </c>
      <c r="C96" s="135" t="s">
        <v>152</v>
      </c>
      <c r="D96" s="137"/>
      <c r="E96" s="58"/>
      <c r="F96" s="58">
        <v>1</v>
      </c>
      <c r="G96" s="58">
        <v>51.39</v>
      </c>
      <c r="H96" s="125">
        <f t="shared" si="41"/>
        <v>5.1389999999999998E-2</v>
      </c>
      <c r="I96" s="40">
        <v>0</v>
      </c>
      <c r="J96" s="40">
        <v>0</v>
      </c>
      <c r="K96" s="40">
        <f>G96</f>
        <v>51.39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f t="shared" si="43"/>
        <v>51.39</v>
      </c>
    </row>
    <row r="97" spans="1:21">
      <c r="A97" s="146" t="s">
        <v>230</v>
      </c>
      <c r="B97" s="147" t="s">
        <v>153</v>
      </c>
      <c r="C97" s="148" t="s">
        <v>154</v>
      </c>
      <c r="D97" s="137"/>
      <c r="E97" s="58"/>
      <c r="F97" s="58">
        <v>1</v>
      </c>
      <c r="G97" s="58">
        <v>18</v>
      </c>
      <c r="H97" s="125">
        <f t="shared" si="41"/>
        <v>1.7999999999999999E-2</v>
      </c>
      <c r="I97" s="40">
        <v>0</v>
      </c>
      <c r="J97" s="40">
        <v>0</v>
      </c>
      <c r="K97" s="40">
        <f>G97</f>
        <v>18</v>
      </c>
      <c r="L97" s="40">
        <v>0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f t="shared" si="43"/>
        <v>18</v>
      </c>
    </row>
    <row r="98" spans="1:21" ht="25.5">
      <c r="A98" s="144" t="s">
        <v>141</v>
      </c>
      <c r="B98" s="149" t="s">
        <v>158</v>
      </c>
      <c r="C98" s="150" t="s">
        <v>143</v>
      </c>
      <c r="D98" s="137"/>
      <c r="E98" s="58"/>
      <c r="F98" s="58">
        <v>1</v>
      </c>
      <c r="G98" s="58">
        <v>383.01</v>
      </c>
      <c r="H98" s="125">
        <f t="shared" si="41"/>
        <v>0.38301000000000002</v>
      </c>
      <c r="I98" s="40">
        <v>0</v>
      </c>
      <c r="J98" s="40">
        <v>0</v>
      </c>
      <c r="K98" s="40">
        <v>0</v>
      </c>
      <c r="L98" s="40">
        <f>G98</f>
        <v>383.01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f t="shared" si="43"/>
        <v>383.01</v>
      </c>
    </row>
    <row r="99" spans="1:21" ht="12.75" customHeight="1">
      <c r="A99" s="146" t="s">
        <v>159</v>
      </c>
      <c r="B99" s="147" t="s">
        <v>160</v>
      </c>
      <c r="C99" s="135" t="s">
        <v>157</v>
      </c>
      <c r="D99" s="26"/>
      <c r="E99" s="58"/>
      <c r="F99" s="58">
        <v>2</v>
      </c>
      <c r="G99" s="58">
        <v>4879</v>
      </c>
      <c r="H99" s="125">
        <f t="shared" ref="H99:H117" si="44">G99*F99/1000</f>
        <v>9.7579999999999991</v>
      </c>
      <c r="I99" s="40">
        <v>0</v>
      </c>
      <c r="J99" s="40">
        <v>0</v>
      </c>
      <c r="K99" s="40">
        <v>0</v>
      </c>
      <c r="L99" s="40">
        <f>G99*2</f>
        <v>9758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f t="shared" ref="U99:U111" si="45">SUM(I99:T99)</f>
        <v>9758</v>
      </c>
    </row>
    <row r="100" spans="1:21" ht="12.75" customHeight="1">
      <c r="A100" s="135" t="s">
        <v>231</v>
      </c>
      <c r="B100" s="136" t="s">
        <v>173</v>
      </c>
      <c r="C100" s="135" t="s">
        <v>172</v>
      </c>
      <c r="D100" s="26"/>
      <c r="E100" s="58"/>
      <c r="F100" s="58">
        <v>4</v>
      </c>
      <c r="G100" s="58">
        <v>185.81</v>
      </c>
      <c r="H100" s="125">
        <f t="shared" si="44"/>
        <v>0.74324000000000001</v>
      </c>
      <c r="I100" s="40">
        <v>0</v>
      </c>
      <c r="J100" s="40">
        <v>0</v>
      </c>
      <c r="K100" s="40">
        <v>0</v>
      </c>
      <c r="L100" s="40">
        <v>0</v>
      </c>
      <c r="M100" s="40">
        <f>G100</f>
        <v>185.81</v>
      </c>
      <c r="N100" s="40">
        <f>G100</f>
        <v>185.81</v>
      </c>
      <c r="O100" s="40">
        <v>0</v>
      </c>
      <c r="P100" s="40">
        <f>G100</f>
        <v>185.81</v>
      </c>
      <c r="Q100" s="40">
        <v>0</v>
      </c>
      <c r="R100" s="40">
        <f>G100</f>
        <v>185.81</v>
      </c>
      <c r="S100" s="40">
        <v>0</v>
      </c>
      <c r="T100" s="40">
        <v>0</v>
      </c>
      <c r="U100" s="40">
        <f t="shared" si="45"/>
        <v>743.24</v>
      </c>
    </row>
    <row r="101" spans="1:21" ht="25.5" customHeight="1">
      <c r="A101" s="146" t="s">
        <v>232</v>
      </c>
      <c r="B101" s="147" t="s">
        <v>174</v>
      </c>
      <c r="C101" s="146" t="s">
        <v>62</v>
      </c>
      <c r="D101" s="26"/>
      <c r="E101" s="58"/>
      <c r="F101" s="58">
        <v>3</v>
      </c>
      <c r="G101" s="58">
        <v>180.15</v>
      </c>
      <c r="H101" s="125">
        <f t="shared" si="44"/>
        <v>0.5404500000000001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  <c r="N101" s="40">
        <f>G101</f>
        <v>180.15</v>
      </c>
      <c r="O101" s="40">
        <v>0</v>
      </c>
      <c r="P101" s="40">
        <v>0</v>
      </c>
      <c r="Q101" s="40">
        <v>0</v>
      </c>
      <c r="R101" s="40">
        <f>G101</f>
        <v>180.15</v>
      </c>
      <c r="S101" s="40">
        <f>G101</f>
        <v>180.15</v>
      </c>
      <c r="T101" s="40">
        <v>0</v>
      </c>
      <c r="U101" s="40">
        <f t="shared" si="45"/>
        <v>540.45000000000005</v>
      </c>
    </row>
    <row r="102" spans="1:21" ht="25.5" customHeight="1">
      <c r="A102" s="146" t="s">
        <v>233</v>
      </c>
      <c r="B102" s="147" t="s">
        <v>179</v>
      </c>
      <c r="C102" s="146" t="s">
        <v>176</v>
      </c>
      <c r="D102" s="26"/>
      <c r="E102" s="58"/>
      <c r="F102" s="58">
        <f>3.11/10</f>
        <v>0.311</v>
      </c>
      <c r="G102" s="58">
        <v>5641.28</v>
      </c>
      <c r="H102" s="125">
        <f t="shared" si="44"/>
        <v>1.7544380799999999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f>G102*F102</f>
        <v>1754.4380799999999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f t="shared" si="45"/>
        <v>1754.4380799999999</v>
      </c>
    </row>
    <row r="103" spans="1:21" ht="12.75" customHeight="1">
      <c r="A103" s="146"/>
      <c r="B103" s="147" t="s">
        <v>180</v>
      </c>
      <c r="C103" s="146" t="s">
        <v>181</v>
      </c>
      <c r="D103" s="26"/>
      <c r="E103" s="58"/>
      <c r="F103" s="58">
        <v>1</v>
      </c>
      <c r="G103" s="165">
        <v>755</v>
      </c>
      <c r="H103" s="125">
        <f t="shared" si="44"/>
        <v>0.755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f>G103</f>
        <v>755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f t="shared" si="45"/>
        <v>755</v>
      </c>
    </row>
    <row r="104" spans="1:21" ht="51" customHeight="1">
      <c r="A104" s="144" t="s">
        <v>234</v>
      </c>
      <c r="B104" s="149" t="s">
        <v>177</v>
      </c>
      <c r="C104" s="150" t="s">
        <v>176</v>
      </c>
      <c r="D104" s="26"/>
      <c r="E104" s="58"/>
      <c r="F104" s="58">
        <f>2/10</f>
        <v>0.2</v>
      </c>
      <c r="G104" s="58">
        <v>18308.990000000002</v>
      </c>
      <c r="H104" s="125">
        <f t="shared" si="44"/>
        <v>3.6617980000000006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f>G104*F104</f>
        <v>3661.7980000000007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f t="shared" si="45"/>
        <v>3661.7980000000007</v>
      </c>
    </row>
    <row r="105" spans="1:21" ht="51" customHeight="1">
      <c r="A105" s="135" t="s">
        <v>235</v>
      </c>
      <c r="B105" s="136" t="s">
        <v>178</v>
      </c>
      <c r="C105" s="135" t="s">
        <v>176</v>
      </c>
      <c r="D105" s="26"/>
      <c r="E105" s="58"/>
      <c r="F105" s="58">
        <f>6/10</f>
        <v>0.6</v>
      </c>
      <c r="G105" s="58">
        <v>9068.24</v>
      </c>
      <c r="H105" s="125">
        <f t="shared" si="44"/>
        <v>5.4409439999999991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f>G105*0.6</f>
        <v>5440.9439999999995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f t="shared" si="45"/>
        <v>5440.9439999999995</v>
      </c>
    </row>
    <row r="106" spans="1:21" ht="25.5" customHeight="1">
      <c r="A106" s="146" t="s">
        <v>238</v>
      </c>
      <c r="B106" s="147" t="s">
        <v>236</v>
      </c>
      <c r="C106" s="146" t="s">
        <v>237</v>
      </c>
      <c r="D106" s="26"/>
      <c r="E106" s="58"/>
      <c r="F106" s="58">
        <v>1</v>
      </c>
      <c r="G106" s="58">
        <v>195.95</v>
      </c>
      <c r="H106" s="125">
        <f t="shared" si="44"/>
        <v>0.19594999999999999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f>G106</f>
        <v>195.95</v>
      </c>
      <c r="Q106" s="40">
        <v>0</v>
      </c>
      <c r="R106" s="40">
        <v>0</v>
      </c>
      <c r="S106" s="40">
        <v>0</v>
      </c>
      <c r="T106" s="40">
        <v>0</v>
      </c>
      <c r="U106" s="40">
        <f t="shared" si="45"/>
        <v>195.95</v>
      </c>
    </row>
    <row r="107" spans="1:21" ht="25.5" customHeight="1">
      <c r="A107" s="135" t="s">
        <v>240</v>
      </c>
      <c r="B107" s="136" t="s">
        <v>239</v>
      </c>
      <c r="C107" s="135" t="s">
        <v>152</v>
      </c>
      <c r="D107" s="26"/>
      <c r="E107" s="58"/>
      <c r="F107" s="58">
        <v>1</v>
      </c>
      <c r="G107" s="58">
        <v>122.55</v>
      </c>
      <c r="H107" s="125">
        <f t="shared" si="44"/>
        <v>0.12254999999999999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f>G107</f>
        <v>122.55</v>
      </c>
      <c r="Q107" s="40">
        <v>0</v>
      </c>
      <c r="R107" s="40">
        <v>0</v>
      </c>
      <c r="S107" s="40">
        <v>0</v>
      </c>
      <c r="T107" s="40">
        <v>0</v>
      </c>
      <c r="U107" s="40">
        <f t="shared" si="45"/>
        <v>122.55</v>
      </c>
    </row>
    <row r="108" spans="1:21" ht="12.75" customHeight="1">
      <c r="A108" s="135" t="s">
        <v>243</v>
      </c>
      <c r="B108" s="136" t="s">
        <v>244</v>
      </c>
      <c r="C108" s="135" t="s">
        <v>245</v>
      </c>
      <c r="D108" s="26"/>
      <c r="E108" s="58"/>
      <c r="F108" s="58">
        <f>45/3</f>
        <v>15</v>
      </c>
      <c r="G108" s="58">
        <v>1063.47</v>
      </c>
      <c r="H108" s="125">
        <f>G108*F108/1000</f>
        <v>15.952050000000002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f>G108*6</f>
        <v>6380.82</v>
      </c>
      <c r="R108" s="40">
        <f>G108*((3+3+3+3)/3)</f>
        <v>4253.88</v>
      </c>
      <c r="S108" s="40">
        <f>G108*((3+3+3+3+3)/3)</f>
        <v>5317.35</v>
      </c>
      <c r="T108" s="40">
        <v>0</v>
      </c>
      <c r="U108" s="40">
        <f>SUM(I108:T108)</f>
        <v>15952.050000000001</v>
      </c>
    </row>
    <row r="109" spans="1:21" ht="25.5" customHeight="1">
      <c r="A109" s="135" t="s">
        <v>252</v>
      </c>
      <c r="B109" s="136" t="s">
        <v>250</v>
      </c>
      <c r="C109" s="135" t="s">
        <v>251</v>
      </c>
      <c r="D109" s="26"/>
      <c r="E109" s="58"/>
      <c r="F109" s="58">
        <v>1</v>
      </c>
      <c r="G109" s="58">
        <v>4627.21</v>
      </c>
      <c r="H109" s="125">
        <f>G109*F109/1000</f>
        <v>4.6272099999999998</v>
      </c>
      <c r="I109" s="40">
        <v>0</v>
      </c>
      <c r="J109" s="40">
        <v>0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f>G109</f>
        <v>4627.21</v>
      </c>
      <c r="S109" s="40">
        <v>0</v>
      </c>
      <c r="T109" s="40">
        <v>0</v>
      </c>
      <c r="U109" s="40">
        <f>SUM(I109:T109)</f>
        <v>4627.21</v>
      </c>
    </row>
    <row r="110" spans="1:21" ht="12.75" customHeight="1">
      <c r="A110" s="135"/>
      <c r="B110" s="149" t="s">
        <v>249</v>
      </c>
      <c r="C110" s="150" t="s">
        <v>62</v>
      </c>
      <c r="D110" s="137"/>
      <c r="E110" s="165"/>
      <c r="F110" s="165">
        <v>2</v>
      </c>
      <c r="G110" s="165">
        <v>470</v>
      </c>
      <c r="H110" s="125">
        <f t="shared" ref="H110" si="46">G110*F110/1000</f>
        <v>0.94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f>G110</f>
        <v>470</v>
      </c>
      <c r="S110" s="40">
        <f>G110</f>
        <v>470</v>
      </c>
      <c r="T110" s="40">
        <v>0</v>
      </c>
      <c r="U110" s="40">
        <f>SUM(I110:T110)</f>
        <v>940</v>
      </c>
    </row>
    <row r="111" spans="1:21" ht="12.75" customHeight="1">
      <c r="A111" s="135" t="s">
        <v>241</v>
      </c>
      <c r="B111" s="136" t="s">
        <v>242</v>
      </c>
      <c r="C111" s="135" t="s">
        <v>62</v>
      </c>
      <c r="D111" s="26"/>
      <c r="E111" s="58"/>
      <c r="F111" s="58">
        <v>1</v>
      </c>
      <c r="G111" s="58">
        <v>81.73</v>
      </c>
      <c r="H111" s="125">
        <f t="shared" si="44"/>
        <v>8.1729999999999997E-2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f>G111</f>
        <v>81.73</v>
      </c>
      <c r="S111" s="40">
        <v>0</v>
      </c>
      <c r="T111" s="40">
        <v>0</v>
      </c>
      <c r="U111" s="40">
        <f t="shared" si="45"/>
        <v>81.73</v>
      </c>
    </row>
    <row r="112" spans="1:21" ht="12.75" customHeight="1">
      <c r="A112" s="144" t="s">
        <v>247</v>
      </c>
      <c r="B112" s="145" t="s">
        <v>248</v>
      </c>
      <c r="C112" s="164" t="s">
        <v>246</v>
      </c>
      <c r="D112" s="26"/>
      <c r="E112" s="58"/>
      <c r="F112" s="58">
        <f>1/10</f>
        <v>0.1</v>
      </c>
      <c r="G112" s="58">
        <v>9767.5</v>
      </c>
      <c r="H112" s="125">
        <f>G112*F112/1000</f>
        <v>0.97675000000000001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f>G112*F112</f>
        <v>976.75</v>
      </c>
      <c r="S112" s="40">
        <v>0</v>
      </c>
      <c r="T112" s="40">
        <v>0</v>
      </c>
      <c r="U112" s="40">
        <f>SUM(I112:T112)</f>
        <v>976.75</v>
      </c>
    </row>
    <row r="113" spans="1:21" ht="25.5" customHeight="1">
      <c r="A113" s="135" t="s">
        <v>255</v>
      </c>
      <c r="B113" s="136" t="s">
        <v>253</v>
      </c>
      <c r="C113" s="135" t="s">
        <v>254</v>
      </c>
      <c r="D113" s="26"/>
      <c r="E113" s="58"/>
      <c r="F113" s="58">
        <v>1</v>
      </c>
      <c r="G113" s="58">
        <v>629.39</v>
      </c>
      <c r="H113" s="125">
        <f t="shared" si="44"/>
        <v>0.62939000000000001</v>
      </c>
      <c r="I113" s="40">
        <v>0</v>
      </c>
      <c r="J113" s="40"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f>G113</f>
        <v>629.39</v>
      </c>
      <c r="T113" s="40">
        <v>0</v>
      </c>
      <c r="U113" s="40">
        <f t="shared" ref="U113:U117" si="47">SUM(I113:T113)</f>
        <v>629.39</v>
      </c>
    </row>
    <row r="114" spans="1:21" ht="12.75" customHeight="1">
      <c r="A114" s="135" t="s">
        <v>256</v>
      </c>
      <c r="B114" s="136" t="s">
        <v>257</v>
      </c>
      <c r="C114" s="135" t="s">
        <v>62</v>
      </c>
      <c r="D114" s="26"/>
      <c r="E114" s="58"/>
      <c r="F114" s="58">
        <v>1</v>
      </c>
      <c r="G114" s="58">
        <v>27.36</v>
      </c>
      <c r="H114" s="125">
        <f t="shared" si="44"/>
        <v>2.7359999999999999E-2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f>G114</f>
        <v>27.36</v>
      </c>
      <c r="T114" s="40">
        <v>0</v>
      </c>
      <c r="U114" s="40">
        <f t="shared" si="47"/>
        <v>27.36</v>
      </c>
    </row>
    <row r="115" spans="1:21" ht="25.5" customHeight="1">
      <c r="A115" s="164" t="s">
        <v>155</v>
      </c>
      <c r="B115" s="136" t="s">
        <v>264</v>
      </c>
      <c r="C115" s="135" t="s">
        <v>154</v>
      </c>
      <c r="D115" s="137"/>
      <c r="E115" s="58"/>
      <c r="F115" s="58">
        <v>1</v>
      </c>
      <c r="G115" s="58">
        <v>1187</v>
      </c>
      <c r="H115" s="125">
        <f t="shared" si="44"/>
        <v>1.1870000000000001</v>
      </c>
      <c r="I115" s="40">
        <v>0</v>
      </c>
      <c r="J115" s="40">
        <v>0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40">
        <f>G115</f>
        <v>1187</v>
      </c>
      <c r="U115" s="40">
        <f t="shared" si="47"/>
        <v>1187</v>
      </c>
    </row>
    <row r="116" spans="1:21" ht="25.5" customHeight="1">
      <c r="A116" s="164" t="s">
        <v>155</v>
      </c>
      <c r="B116" s="136" t="s">
        <v>263</v>
      </c>
      <c r="C116" s="135" t="s">
        <v>154</v>
      </c>
      <c r="D116" s="137"/>
      <c r="E116" s="58"/>
      <c r="F116" s="58">
        <v>2</v>
      </c>
      <c r="G116" s="58">
        <v>1272</v>
      </c>
      <c r="H116" s="125">
        <f t="shared" si="44"/>
        <v>2.544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>
        <f>G116*2</f>
        <v>2544</v>
      </c>
      <c r="U116" s="40">
        <f t="shared" si="47"/>
        <v>2544</v>
      </c>
    </row>
    <row r="117" spans="1:21" ht="25.5" customHeight="1">
      <c r="A117" s="135" t="s">
        <v>267</v>
      </c>
      <c r="B117" s="136" t="s">
        <v>265</v>
      </c>
      <c r="C117" s="164" t="s">
        <v>266</v>
      </c>
      <c r="D117" s="137"/>
      <c r="E117" s="58"/>
      <c r="F117" s="58">
        <v>1</v>
      </c>
      <c r="G117" s="58">
        <v>133.16999999999999</v>
      </c>
      <c r="H117" s="125">
        <f t="shared" si="44"/>
        <v>0.13316999999999998</v>
      </c>
      <c r="I117" s="40">
        <v>0</v>
      </c>
      <c r="J117" s="40">
        <v>0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f>G117</f>
        <v>133.16999999999999</v>
      </c>
      <c r="U117" s="40">
        <f t="shared" si="47"/>
        <v>133.16999999999999</v>
      </c>
    </row>
    <row r="118" spans="1:21" ht="12.75" customHeight="1">
      <c r="A118" s="135" t="s">
        <v>261</v>
      </c>
      <c r="B118" s="136" t="s">
        <v>262</v>
      </c>
      <c r="C118" s="135" t="s">
        <v>245</v>
      </c>
      <c r="D118" s="26"/>
      <c r="E118" s="58"/>
      <c r="F118" s="58">
        <f>3/3</f>
        <v>1</v>
      </c>
      <c r="G118" s="58">
        <v>1063.47</v>
      </c>
      <c r="H118" s="125">
        <f>G118*F118/1000</f>
        <v>1.0634700000000001</v>
      </c>
      <c r="I118" s="40">
        <v>0</v>
      </c>
      <c r="J118" s="40"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40">
        <f>G118</f>
        <v>1063.47</v>
      </c>
      <c r="U118" s="40">
        <f>SUM(I118:T118)</f>
        <v>1063.47</v>
      </c>
    </row>
    <row r="119" spans="1:21" ht="25.5" customHeight="1">
      <c r="A119" s="146" t="s">
        <v>210</v>
      </c>
      <c r="B119" s="147" t="s">
        <v>258</v>
      </c>
      <c r="C119" s="146" t="s">
        <v>59</v>
      </c>
      <c r="D119" s="166"/>
      <c r="E119" s="58"/>
      <c r="F119" s="58">
        <f>1/100</f>
        <v>0.01</v>
      </c>
      <c r="G119" s="58">
        <v>3397.65</v>
      </c>
      <c r="H119" s="125">
        <f>G119*F119/1000</f>
        <v>3.39765E-2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>
        <f>G119*0.01</f>
        <v>33.976500000000001</v>
      </c>
      <c r="U119" s="40">
        <f t="shared" ref="U119" si="48">SUM(I119:T119)</f>
        <v>33.976500000000001</v>
      </c>
    </row>
    <row r="120" spans="1:21" s="19" customFormat="1">
      <c r="A120" s="102"/>
      <c r="B120" s="103" t="s">
        <v>96</v>
      </c>
      <c r="C120" s="102"/>
      <c r="D120" s="102"/>
      <c r="E120" s="98"/>
      <c r="F120" s="98"/>
      <c r="G120" s="98"/>
      <c r="H120" s="50">
        <f>SUM(H90:H119)</f>
        <v>72.435516579999984</v>
      </c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49">
        <f>SUM(U90:U119)</f>
        <v>72435.51658000001</v>
      </c>
    </row>
    <row r="121" spans="1:21">
      <c r="A121" s="104"/>
      <c r="B121" s="105"/>
      <c r="C121" s="104"/>
      <c r="D121" s="104"/>
      <c r="E121" s="58"/>
      <c r="F121" s="58"/>
      <c r="G121" s="58"/>
      <c r="H121" s="106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130"/>
    </row>
    <row r="122" spans="1:21" ht="12" customHeight="1">
      <c r="A122" s="93"/>
      <c r="B122" s="18" t="s">
        <v>97</v>
      </c>
      <c r="C122" s="27"/>
      <c r="D122" s="26"/>
      <c r="E122" s="58"/>
      <c r="F122" s="58"/>
      <c r="G122" s="58"/>
      <c r="H122" s="107">
        <f>H120/E123/12*1000</f>
        <v>1.991321561156379</v>
      </c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130"/>
    </row>
    <row r="123" spans="1:21" s="19" customFormat="1">
      <c r="A123" s="108"/>
      <c r="B123" s="109" t="s">
        <v>98</v>
      </c>
      <c r="C123" s="110"/>
      <c r="D123" s="109"/>
      <c r="E123" s="161">
        <v>3031.3</v>
      </c>
      <c r="F123" s="111">
        <f>SUM(E123*12)</f>
        <v>36375.600000000006</v>
      </c>
      <c r="G123" s="112">
        <f>H87+H122</f>
        <v>171.75839157952134</v>
      </c>
      <c r="H123" s="113">
        <f>SUM(F123*G123/1000)</f>
        <v>6247.8145487400379</v>
      </c>
      <c r="I123" s="98">
        <f t="shared" ref="I123:R123" si="49">SUM(I11:I122)</f>
        <v>55137.249711333345</v>
      </c>
      <c r="J123" s="98">
        <f t="shared" si="49"/>
        <v>56221.129711333342</v>
      </c>
      <c r="K123" s="98">
        <f t="shared" si="49"/>
        <v>49155.231511333339</v>
      </c>
      <c r="L123" s="98">
        <f t="shared" si="49"/>
        <v>64935.543511333344</v>
      </c>
      <c r="M123" s="98">
        <f t="shared" si="49"/>
        <v>124009.22250555556</v>
      </c>
      <c r="N123" s="98">
        <f t="shared" si="49"/>
        <v>56413.414034955553</v>
      </c>
      <c r="O123" s="98">
        <f t="shared" si="49"/>
        <v>39853.183954955559</v>
      </c>
      <c r="P123" s="98">
        <f t="shared" si="49"/>
        <v>49388.93795495556</v>
      </c>
      <c r="Q123" s="98">
        <f t="shared" si="49"/>
        <v>50443.529866655554</v>
      </c>
      <c r="R123" s="98">
        <f t="shared" si="49"/>
        <v>52785.561454955554</v>
      </c>
      <c r="S123" s="98">
        <f>SUM(S11:S122)</f>
        <v>65118.751511333343</v>
      </c>
      <c r="T123" s="98">
        <f>SUM(T11:T122)</f>
        <v>54197.476211333342</v>
      </c>
      <c r="U123" s="49">
        <f>U84+U120</f>
        <v>778310.26118387678</v>
      </c>
    </row>
    <row r="124" spans="1:21">
      <c r="A124" s="29"/>
      <c r="B124" s="29"/>
      <c r="C124" s="29"/>
      <c r="D124" s="29"/>
      <c r="E124" s="114"/>
      <c r="F124" s="114"/>
      <c r="G124" s="114"/>
      <c r="H124" s="114"/>
      <c r="I124" s="114"/>
      <c r="J124" s="114"/>
      <c r="K124" s="114"/>
      <c r="L124" s="114"/>
      <c r="M124" s="29"/>
      <c r="N124" s="114"/>
      <c r="O124" s="29"/>
      <c r="P124" s="29"/>
      <c r="Q124" s="29"/>
      <c r="R124" s="29"/>
      <c r="S124" s="29"/>
      <c r="T124" s="29"/>
      <c r="U124" s="29"/>
    </row>
    <row r="125" spans="1:21">
      <c r="A125" s="29"/>
      <c r="B125" s="29"/>
      <c r="C125" s="29"/>
      <c r="D125" s="29"/>
      <c r="E125" s="114"/>
      <c r="F125" s="114"/>
      <c r="G125" s="114"/>
      <c r="H125" s="114"/>
      <c r="I125" s="114"/>
      <c r="J125" s="115"/>
      <c r="K125" s="116"/>
      <c r="L125" s="115"/>
      <c r="M125" s="114"/>
      <c r="N125" s="29"/>
      <c r="O125" s="29"/>
      <c r="P125" s="29"/>
      <c r="Q125" s="29"/>
      <c r="R125" s="29"/>
      <c r="S125" s="29"/>
      <c r="T125" s="29"/>
      <c r="U125" s="29"/>
    </row>
    <row r="126" spans="1:21" ht="45">
      <c r="A126" s="29"/>
      <c r="B126" s="117" t="s">
        <v>137</v>
      </c>
      <c r="C126" s="167">
        <v>175686.79</v>
      </c>
      <c r="D126" s="168"/>
      <c r="E126" s="168"/>
      <c r="F126" s="169"/>
      <c r="G126" s="114"/>
      <c r="H126" s="114"/>
      <c r="I126" s="114"/>
      <c r="J126" s="115"/>
      <c r="K126" s="116"/>
      <c r="L126" s="115"/>
      <c r="M126" s="114"/>
      <c r="N126" s="29"/>
      <c r="O126" s="29"/>
      <c r="P126" s="29"/>
      <c r="Q126" s="29"/>
      <c r="R126" s="29"/>
      <c r="S126" s="29"/>
      <c r="T126" s="29"/>
      <c r="U126" s="29"/>
    </row>
    <row r="127" spans="1:21" ht="30">
      <c r="A127" s="29"/>
      <c r="B127" s="22" t="s">
        <v>175</v>
      </c>
      <c r="C127" s="167">
        <f>66872.7*12</f>
        <v>802472.39999999991</v>
      </c>
      <c r="D127" s="168"/>
      <c r="E127" s="168"/>
      <c r="F127" s="169"/>
      <c r="G127" s="114"/>
      <c r="H127" s="114"/>
      <c r="I127" s="114"/>
      <c r="J127" s="115"/>
      <c r="K127" s="116"/>
      <c r="L127" s="115"/>
      <c r="M127" s="114"/>
      <c r="N127" s="29"/>
      <c r="O127" s="29"/>
      <c r="P127" s="29"/>
      <c r="Q127" s="29"/>
      <c r="R127" s="29"/>
      <c r="S127" s="29"/>
      <c r="T127" s="29"/>
      <c r="U127" s="29"/>
    </row>
    <row r="128" spans="1:21" ht="30">
      <c r="A128" s="29"/>
      <c r="B128" s="22" t="s">
        <v>138</v>
      </c>
      <c r="C128" s="167">
        <f>SUM(U123-U120)</f>
        <v>705874.74460387672</v>
      </c>
      <c r="D128" s="168"/>
      <c r="E128" s="168"/>
      <c r="F128" s="169"/>
      <c r="G128" s="114"/>
      <c r="H128" s="114"/>
      <c r="I128" s="114"/>
      <c r="J128" s="115"/>
      <c r="K128" s="116"/>
      <c r="L128" s="115"/>
      <c r="M128" s="114"/>
      <c r="N128" s="29"/>
      <c r="O128" s="29"/>
      <c r="P128" s="29"/>
      <c r="Q128" s="29"/>
      <c r="R128" s="29"/>
      <c r="S128" s="29"/>
      <c r="T128" s="29"/>
      <c r="U128" s="29"/>
    </row>
    <row r="129" spans="1:21" ht="30">
      <c r="A129" s="29"/>
      <c r="B129" s="22" t="s">
        <v>139</v>
      </c>
      <c r="C129" s="167">
        <f>SUM(U120)</f>
        <v>72435.51658000001</v>
      </c>
      <c r="D129" s="168"/>
      <c r="E129" s="168"/>
      <c r="F129" s="169"/>
      <c r="G129" s="114"/>
      <c r="H129" s="114"/>
      <c r="I129" s="114"/>
      <c r="J129" s="115"/>
      <c r="K129" s="116"/>
      <c r="L129" s="115"/>
      <c r="M129" s="114"/>
      <c r="N129" s="29"/>
      <c r="O129" s="29"/>
      <c r="P129" s="29"/>
      <c r="Q129" s="29"/>
      <c r="R129" s="29"/>
      <c r="S129" s="29"/>
      <c r="T129" s="29"/>
      <c r="U129" s="29"/>
    </row>
    <row r="130" spans="1:21" ht="18">
      <c r="A130" s="29"/>
      <c r="B130" s="126" t="s">
        <v>140</v>
      </c>
      <c r="C130" s="167">
        <f>50412.44+61791.1+59889.48+60002.04+71023.55+55249.81+60657.2+85388.9+59543.68+63687.28+63037.65+70368.35</f>
        <v>761051.4800000001</v>
      </c>
      <c r="D130" s="168"/>
      <c r="E130" s="168"/>
      <c r="F130" s="169"/>
      <c r="G130" s="29"/>
      <c r="I130" s="118" t="s">
        <v>104</v>
      </c>
      <c r="J130" s="119"/>
      <c r="K130" s="120"/>
      <c r="L130" s="121"/>
      <c r="M130" s="118"/>
      <c r="N130" s="118"/>
      <c r="O130" s="29"/>
      <c r="P130" s="29"/>
      <c r="Q130" s="29"/>
      <c r="R130" s="29"/>
      <c r="S130" s="29"/>
      <c r="T130" s="29"/>
      <c r="U130" s="29"/>
    </row>
    <row r="131" spans="1:21" ht="78.75">
      <c r="A131" s="29"/>
      <c r="B131" s="23" t="s">
        <v>259</v>
      </c>
      <c r="C131" s="173">
        <v>258173.77</v>
      </c>
      <c r="D131" s="174"/>
      <c r="E131" s="174"/>
      <c r="F131" s="175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1:21" ht="45">
      <c r="A132" s="29"/>
      <c r="B132" s="122" t="s">
        <v>260</v>
      </c>
      <c r="C132" s="170">
        <f>SUM(U123-C127)+C126</f>
        <v>151524.65118387688</v>
      </c>
      <c r="D132" s="171"/>
      <c r="E132" s="171"/>
      <c r="F132" s="172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</row>
    <row r="134" spans="1:21">
      <c r="J134" s="4"/>
      <c r="K134" s="5"/>
      <c r="L134" s="5"/>
      <c r="M134" s="3"/>
    </row>
    <row r="135" spans="1:21">
      <c r="G135" s="6"/>
      <c r="H135" s="6"/>
    </row>
    <row r="136" spans="1:21">
      <c r="G136" s="7"/>
    </row>
  </sheetData>
  <mergeCells count="12">
    <mergeCell ref="B3:L3"/>
    <mergeCell ref="B4:L4"/>
    <mergeCell ref="B5:L5"/>
    <mergeCell ref="B6:L6"/>
    <mergeCell ref="X86:AA86"/>
    <mergeCell ref="C126:F126"/>
    <mergeCell ref="C132:F132"/>
    <mergeCell ref="C127:F127"/>
    <mergeCell ref="C128:F128"/>
    <mergeCell ref="C129:F129"/>
    <mergeCell ref="C130:F130"/>
    <mergeCell ref="C131:F131"/>
  </mergeCells>
  <pageMargins left="0.31496062992125984" right="0.31496062992125984" top="0.15748031496062992" bottom="0.19685039370078741" header="0.15748031496062992" footer="0.15748031496062992"/>
  <pageSetup paperSize="9" scale="3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Нефт.,11</vt:lpstr>
      <vt:lpstr>'Нефт.,11'!Область_печати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2017-05-23T08:51:29Z</dcterms:modified>
</cp:coreProperties>
</file>