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51" sheetId="1" r:id="rId1"/>
  </sheets>
  <definedNames>
    <definedName name="_xlnm.Print_Area" localSheetId="0">'Окт.,51'!$A$1:$U$123</definedName>
  </definedNames>
  <calcPr calcId="124519"/>
</workbook>
</file>

<file path=xl/calcChain.xml><?xml version="1.0" encoding="utf-8"?>
<calcChain xmlns="http://schemas.openxmlformats.org/spreadsheetml/2006/main">
  <c r="L39" i="1"/>
  <c r="K39"/>
  <c r="F39"/>
  <c r="U108"/>
  <c r="U109"/>
  <c r="T108"/>
  <c r="H108"/>
  <c r="C121" l="1"/>
  <c r="C118"/>
  <c r="F114"/>
  <c r="T110"/>
  <c r="F110"/>
  <c r="U110"/>
  <c r="H110"/>
  <c r="T109" l="1"/>
  <c r="F109"/>
  <c r="H109" s="1"/>
  <c r="S89" l="1"/>
  <c r="S107"/>
  <c r="U107" s="1"/>
  <c r="F107"/>
  <c r="H107"/>
  <c r="S106"/>
  <c r="R89"/>
  <c r="R105"/>
  <c r="F105"/>
  <c r="T99"/>
  <c r="T100"/>
  <c r="S66"/>
  <c r="S88"/>
  <c r="R88"/>
  <c r="T94"/>
  <c r="S86"/>
  <c r="R57"/>
  <c r="R104"/>
  <c r="U104" s="1"/>
  <c r="H104"/>
  <c r="R94"/>
  <c r="R93"/>
  <c r="T87"/>
  <c r="S87"/>
  <c r="R87"/>
  <c r="I87"/>
  <c r="U105"/>
  <c r="U106"/>
  <c r="U58"/>
  <c r="U67"/>
  <c r="U68"/>
  <c r="U70"/>
  <c r="U36"/>
  <c r="U29"/>
  <c r="U30"/>
  <c r="O98"/>
  <c r="U98" s="1"/>
  <c r="H98"/>
  <c r="O97"/>
  <c r="U97" s="1"/>
  <c r="H97"/>
  <c r="O84"/>
  <c r="O96"/>
  <c r="U96" s="1"/>
  <c r="H96"/>
  <c r="O95"/>
  <c r="U95" s="1"/>
  <c r="H95"/>
  <c r="Q57"/>
  <c r="Q87"/>
  <c r="S51" l="1"/>
  <c r="P102"/>
  <c r="U102" s="1"/>
  <c r="H102"/>
  <c r="H103"/>
  <c r="P103" l="1"/>
  <c r="U103" s="1"/>
  <c r="O101"/>
  <c r="U101" s="1"/>
  <c r="F101"/>
  <c r="H101" s="1"/>
  <c r="P100" l="1"/>
  <c r="P87"/>
  <c r="O87"/>
  <c r="N87"/>
  <c r="K87"/>
  <c r="O100"/>
  <c r="U100" s="1"/>
  <c r="O99"/>
  <c r="U99" s="1"/>
  <c r="N88"/>
  <c r="N66"/>
  <c r="U66" s="1"/>
  <c r="P94"/>
  <c r="P93"/>
  <c r="N94"/>
  <c r="U94" s="1"/>
  <c r="N93"/>
  <c r="U93" s="1"/>
  <c r="N92"/>
  <c r="U92" s="1"/>
  <c r="H92"/>
  <c r="N91"/>
  <c r="U91" s="1"/>
  <c r="H91"/>
  <c r="N90"/>
  <c r="U90" s="1"/>
  <c r="N57"/>
  <c r="Q52" l="1"/>
  <c r="O52"/>
  <c r="M52"/>
  <c r="I52"/>
  <c r="U52" s="1"/>
  <c r="L89"/>
  <c r="K89"/>
  <c r="U89" s="1"/>
  <c r="M87"/>
  <c r="L87"/>
  <c r="L57"/>
  <c r="J87" l="1"/>
  <c r="U87" s="1"/>
  <c r="I88" l="1"/>
  <c r="U88" s="1"/>
  <c r="I84"/>
  <c r="U84" s="1"/>
  <c r="H84"/>
  <c r="I86" l="1"/>
  <c r="U86" s="1"/>
  <c r="I85"/>
  <c r="U85" s="1"/>
  <c r="H86"/>
  <c r="H85"/>
  <c r="I83"/>
  <c r="U83" s="1"/>
  <c r="H83"/>
  <c r="I57" l="1"/>
  <c r="U57" s="1"/>
  <c r="I82"/>
  <c r="U82" s="1"/>
  <c r="U111" s="1"/>
  <c r="C120" s="1"/>
  <c r="H82"/>
  <c r="I72" l="1"/>
  <c r="U72" s="1"/>
  <c r="H93"/>
  <c r="H90" l="1"/>
  <c r="Q64" l="1"/>
  <c r="U64" s="1"/>
  <c r="H100" l="1"/>
  <c r="K51" l="1"/>
  <c r="U51" s="1"/>
  <c r="H105" l="1"/>
  <c r="H88" l="1"/>
  <c r="H106"/>
  <c r="H87"/>
  <c r="T40" l="1"/>
  <c r="S40"/>
  <c r="T34"/>
  <c r="S34"/>
  <c r="F27"/>
  <c r="L40"/>
  <c r="L34"/>
  <c r="H89"/>
  <c r="K40"/>
  <c r="K34"/>
  <c r="H72"/>
  <c r="J40"/>
  <c r="J34"/>
  <c r="I40"/>
  <c r="I34"/>
  <c r="H94"/>
  <c r="U34" l="1"/>
  <c r="U40"/>
  <c r="M27"/>
  <c r="H27"/>
  <c r="O27"/>
  <c r="Q27"/>
  <c r="R27"/>
  <c r="N27"/>
  <c r="P27"/>
  <c r="H36"/>
  <c r="U27" l="1"/>
  <c r="F38"/>
  <c r="F16"/>
  <c r="F15"/>
  <c r="H99"/>
  <c r="H111" s="1"/>
  <c r="H113" s="1"/>
  <c r="F44"/>
  <c r="M44" s="1"/>
  <c r="F35"/>
  <c r="H68"/>
  <c r="F20"/>
  <c r="H20" s="1"/>
  <c r="F47"/>
  <c r="M47" s="1"/>
  <c r="M20" l="1"/>
  <c r="U20" s="1"/>
  <c r="S35"/>
  <c r="J35"/>
  <c r="T35"/>
  <c r="L35"/>
  <c r="K35"/>
  <c r="I16"/>
  <c r="O16"/>
  <c r="S16"/>
  <c r="Q16"/>
  <c r="M16"/>
  <c r="K16"/>
  <c r="H47"/>
  <c r="Q47"/>
  <c r="U47" s="1"/>
  <c r="Q44"/>
  <c r="U44" s="1"/>
  <c r="I15"/>
  <c r="T15"/>
  <c r="R15"/>
  <c r="P15"/>
  <c r="N15"/>
  <c r="K15"/>
  <c r="J15"/>
  <c r="S15"/>
  <c r="Q15"/>
  <c r="O15"/>
  <c r="M15"/>
  <c r="L15"/>
  <c r="I38"/>
  <c r="T38"/>
  <c r="J38"/>
  <c r="S38"/>
  <c r="L38"/>
  <c r="K38"/>
  <c r="H35"/>
  <c r="I35"/>
  <c r="U35" s="1"/>
  <c r="U16" l="1"/>
  <c r="U38"/>
  <c r="U15"/>
  <c r="H67"/>
  <c r="F52"/>
  <c r="F14" l="1"/>
  <c r="M14" s="1"/>
  <c r="U14" s="1"/>
  <c r="F17"/>
  <c r="F18"/>
  <c r="F19"/>
  <c r="M19" l="1"/>
  <c r="U19" s="1"/>
  <c r="M17"/>
  <c r="U17" s="1"/>
  <c r="M18"/>
  <c r="U18" s="1"/>
  <c r="E75" l="1"/>
  <c r="H78" s="1"/>
  <c r="F73"/>
  <c r="H70"/>
  <c r="H66"/>
  <c r="H64"/>
  <c r="F63"/>
  <c r="F62"/>
  <c r="F61"/>
  <c r="F60"/>
  <c r="F59"/>
  <c r="H58"/>
  <c r="H57"/>
  <c r="F55"/>
  <c r="H52"/>
  <c r="H51"/>
  <c r="F50"/>
  <c r="L50" s="1"/>
  <c r="F49"/>
  <c r="L49" s="1"/>
  <c r="F48"/>
  <c r="F46"/>
  <c r="F45"/>
  <c r="M45" s="1"/>
  <c r="H44"/>
  <c r="F43"/>
  <c r="M43" s="1"/>
  <c r="H40"/>
  <c r="H38"/>
  <c r="F37"/>
  <c r="H34"/>
  <c r="F31"/>
  <c r="H30"/>
  <c r="H29"/>
  <c r="F28"/>
  <c r="F26"/>
  <c r="F25"/>
  <c r="F24"/>
  <c r="F21"/>
  <c r="M21" s="1"/>
  <c r="U21" s="1"/>
  <c r="H18"/>
  <c r="H17"/>
  <c r="H14"/>
  <c r="E13"/>
  <c r="F13" s="1"/>
  <c r="F12"/>
  <c r="F11"/>
  <c r="M46" l="1"/>
  <c r="Q46"/>
  <c r="I11"/>
  <c r="T11"/>
  <c r="R11"/>
  <c r="P11"/>
  <c r="N11"/>
  <c r="M11"/>
  <c r="L11"/>
  <c r="S11"/>
  <c r="Q11"/>
  <c r="O11"/>
  <c r="K11"/>
  <c r="J11"/>
  <c r="I13"/>
  <c r="T13"/>
  <c r="R13"/>
  <c r="P13"/>
  <c r="N13"/>
  <c r="M13"/>
  <c r="L13"/>
  <c r="S13"/>
  <c r="Q13"/>
  <c r="O13"/>
  <c r="K13"/>
  <c r="J13"/>
  <c r="H21"/>
  <c r="H25"/>
  <c r="R25"/>
  <c r="P25"/>
  <c r="N25"/>
  <c r="Q25"/>
  <c r="O25"/>
  <c r="M25"/>
  <c r="U25" s="1"/>
  <c r="S31"/>
  <c r="Q31"/>
  <c r="O31"/>
  <c r="M31"/>
  <c r="J31"/>
  <c r="T31"/>
  <c r="R31"/>
  <c r="P31"/>
  <c r="N31"/>
  <c r="L31"/>
  <c r="K31"/>
  <c r="T37"/>
  <c r="L37"/>
  <c r="K37"/>
  <c r="S37"/>
  <c r="J37"/>
  <c r="H43"/>
  <c r="Q43"/>
  <c r="U43" s="1"/>
  <c r="H45"/>
  <c r="Q45"/>
  <c r="U45" s="1"/>
  <c r="I48"/>
  <c r="T48"/>
  <c r="Q48"/>
  <c r="M48"/>
  <c r="J48"/>
  <c r="H50"/>
  <c r="S50"/>
  <c r="U50" s="1"/>
  <c r="H59"/>
  <c r="M59"/>
  <c r="U59" s="1"/>
  <c r="H61"/>
  <c r="M61"/>
  <c r="U61" s="1"/>
  <c r="H63"/>
  <c r="M63"/>
  <c r="U63" s="1"/>
  <c r="I12"/>
  <c r="T12"/>
  <c r="Q12"/>
  <c r="O12"/>
  <c r="K12"/>
  <c r="J12"/>
  <c r="S12"/>
  <c r="R12"/>
  <c r="P12"/>
  <c r="N12"/>
  <c r="M12"/>
  <c r="L12"/>
  <c r="H24"/>
  <c r="Q24"/>
  <c r="O24"/>
  <c r="M24"/>
  <c r="R24"/>
  <c r="P24"/>
  <c r="N24"/>
  <c r="H26"/>
  <c r="M26"/>
  <c r="U26" s="1"/>
  <c r="I28"/>
  <c r="S28"/>
  <c r="R28"/>
  <c r="P28"/>
  <c r="N28"/>
  <c r="L28"/>
  <c r="K28"/>
  <c r="T28"/>
  <c r="Q28"/>
  <c r="O28"/>
  <c r="M28"/>
  <c r="J28"/>
  <c r="H46"/>
  <c r="H49"/>
  <c r="S49"/>
  <c r="U49" s="1"/>
  <c r="S55"/>
  <c r="K55"/>
  <c r="J55"/>
  <c r="T55"/>
  <c r="L55"/>
  <c r="H60"/>
  <c r="M60"/>
  <c r="U60" s="1"/>
  <c r="H62"/>
  <c r="M62"/>
  <c r="U62" s="1"/>
  <c r="I73"/>
  <c r="S73"/>
  <c r="P73"/>
  <c r="N73"/>
  <c r="M73"/>
  <c r="L73"/>
  <c r="T73"/>
  <c r="R73"/>
  <c r="Q73"/>
  <c r="O73"/>
  <c r="K73"/>
  <c r="J73"/>
  <c r="H31"/>
  <c r="I31"/>
  <c r="U31" s="1"/>
  <c r="H37"/>
  <c r="I37"/>
  <c r="U37" s="1"/>
  <c r="H39"/>
  <c r="U39"/>
  <c r="H55"/>
  <c r="I55"/>
  <c r="U55" s="1"/>
  <c r="H73"/>
  <c r="H74" s="1"/>
  <c r="H28"/>
  <c r="H48"/>
  <c r="H11"/>
  <c r="H12"/>
  <c r="H16"/>
  <c r="H13"/>
  <c r="H15"/>
  <c r="F75"/>
  <c r="H19"/>
  <c r="H41"/>
  <c r="U12" l="1"/>
  <c r="U13"/>
  <c r="U11"/>
  <c r="U46"/>
  <c r="U73"/>
  <c r="U28"/>
  <c r="U24"/>
  <c r="U48"/>
  <c r="H53"/>
  <c r="H71"/>
  <c r="U74"/>
  <c r="H32"/>
  <c r="U41"/>
  <c r="U71"/>
  <c r="I75"/>
  <c r="I114" s="1"/>
  <c r="S75"/>
  <c r="S114" s="1"/>
  <c r="R75"/>
  <c r="R114" s="1"/>
  <c r="P75"/>
  <c r="P114" s="1"/>
  <c r="N75"/>
  <c r="N114" s="1"/>
  <c r="K75"/>
  <c r="K114" s="1"/>
  <c r="J75"/>
  <c r="J114" s="1"/>
  <c r="T75"/>
  <c r="T114" s="1"/>
  <c r="Q75"/>
  <c r="Q114" s="1"/>
  <c r="O75"/>
  <c r="O114" s="1"/>
  <c r="M75"/>
  <c r="M114" s="1"/>
  <c r="L75"/>
  <c r="L114" s="1"/>
  <c r="H75"/>
  <c r="H76" s="1"/>
  <c r="H22"/>
  <c r="U22" l="1"/>
  <c r="U75"/>
  <c r="U76" s="1"/>
  <c r="U32"/>
  <c r="U53"/>
  <c r="H77"/>
  <c r="H79" s="1"/>
  <c r="G114" s="1"/>
  <c r="H114" s="1"/>
  <c r="U77" l="1"/>
  <c r="U114" s="1"/>
  <c r="C119" l="1"/>
  <c r="C123"/>
</calcChain>
</file>

<file path=xl/sharedStrings.xml><?xml version="1.0" encoding="utf-8"?>
<sst xmlns="http://schemas.openxmlformats.org/spreadsheetml/2006/main" count="338" uniqueCount="250">
  <si>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</si>
  <si>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</si>
  <si>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</si>
  <si>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</si>
  <si>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</si>
  <si>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</si>
  <si>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</si>
  <si>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</si>
  <si>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</si>
  <si>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</si>
  <si>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</si>
  <si>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</si>
  <si>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</si>
  <si>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</si>
  <si>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</si>
  <si>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</si>
  <si>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</si>
  <si>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</si>
  <si>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</si>
  <si>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</si>
  <si>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</si>
  <si>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</si>
  <si>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</si>
  <si>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</si>
  <si>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</si>
  <si>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</si>
  <si>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</si>
  <si>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</si>
  <si>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</si>
  <si>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</si>
  <si>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</si>
  <si>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</si>
  <si>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</si>
  <si>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</si>
  <si>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</si>
  <si>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</si>
  <si>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</si>
  <si>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</si>
  <si>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</si>
  <si>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</si>
  <si>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</si>
  <si>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</si>
  <si>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</si>
  <si>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</si>
  <si>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</si>
  <si>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</si>
  <si>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</si>
  <si>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</si>
  <si>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</si>
  <si>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</si>
  <si>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</si>
  <si>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</si>
  <si>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</si>
  <si>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</si>
  <si>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</si>
  <si>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</si>
  <si>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</si>
  <si>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</si>
  <si>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</si>
  <si>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</si>
  <si>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</si>
  <si>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</si>
  <si>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</si>
  <si>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</si>
  <si>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</si>
  <si>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</si>
  <si>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</si>
  <si>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</si>
  <si>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</si>
  <si>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</si>
  <si>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</si>
  <si>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</si>
  <si>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</si>
  <si>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</si>
  <si>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</si>
  <si>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</si>
  <si>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</si>
  <si>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</si>
  <si>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</si>
  <si>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</si>
  <si>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</si>
  <si>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</si>
  <si>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</si>
  <si>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</si>
  <si>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</si>
  <si>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</si>
  <si>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</si>
  <si>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</si>
  <si>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</si>
  <si>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</si>
  <si>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</si>
  <si>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</si>
  <si>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</si>
  <si>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</si>
  <si>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</si>
  <si>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</si>
  <si>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</si>
  <si>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</si>
  <si>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</si>
  <si>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</si>
  <si>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</si>
  <si>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</si>
  <si>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</si>
  <si>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</si>
  <si>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</si>
  <si>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</si>
  <si>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Замена ламп ДРЛ</t>
  </si>
  <si>
    <t>Ремонт групповых щитков на лестничной клетке без ремонта автоматов</t>
  </si>
  <si>
    <t xml:space="preserve">1 раз в месяц </t>
  </si>
  <si>
    <t>1 раз в 2 месяца</t>
  </si>
  <si>
    <t>35 раз за сезон</t>
  </si>
  <si>
    <t>Вывоз снега с придомовой территории</t>
  </si>
  <si>
    <t>Смена арматуры - вентилей и клапанов обратных муфтовых диаметром до 20 мм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</si>
  <si>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</si>
  <si>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</si>
  <si>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</si>
  <si>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</si>
  <si>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</si>
  <si>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</si>
  <si>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</si>
  <si>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</si>
  <si>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</si>
  <si>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</si>
  <si>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</si>
  <si>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</si>
  <si>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4 этажа, 3 подъезда</t>
  </si>
  <si>
    <t>Стоимость (руб.)</t>
  </si>
  <si>
    <t>договор</t>
  </si>
  <si>
    <t>ТО внутридомового газ.оборудования</t>
  </si>
  <si>
    <t>калькуляция</t>
  </si>
  <si>
    <t>Работа автовышки</t>
  </si>
  <si>
    <t>маш/час</t>
  </si>
  <si>
    <t>Прочистка засоров ГВС, XВC</t>
  </si>
  <si>
    <t>3м</t>
  </si>
  <si>
    <t>смета</t>
  </si>
  <si>
    <t>Снятие показаний эл.счетчика коммунального назначения</t>
  </si>
  <si>
    <t>место</t>
  </si>
  <si>
    <t>1 м</t>
  </si>
  <si>
    <t>Подключение и отключение сварочного аппарата</t>
  </si>
  <si>
    <t>1 соединение</t>
  </si>
  <si>
    <t>Ремонт отдельных мест покрытия из асбоцементных листов обыкновенного профиля</t>
  </si>
  <si>
    <t>10 м2</t>
  </si>
  <si>
    <t xml:space="preserve"> - Уборка газонов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</si>
  <si>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</si>
  <si>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</si>
  <si>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</si>
  <si>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</si>
  <si>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</si>
  <si>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</si>
  <si>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</si>
  <si>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</si>
  <si>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</si>
  <si>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</si>
  <si>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Внеплановый осмотр электросетей, арматуры и электрооборудования на лестничных клетках</t>
  </si>
  <si>
    <t>Смена дверных приборов (замки навесные)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</si>
  <si>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</si>
  <si>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</si>
  <si>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</si>
  <si>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</si>
  <si>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</si>
  <si>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</si>
  <si>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</si>
  <si>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</si>
  <si>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</si>
  <si>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</si>
  <si>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Влажное подметание лестничных клеток 2-4 этажа</t>
  </si>
  <si>
    <t>Мытье лестничных  площадок и маршей 1-4 этаж.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</si>
  <si>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</si>
  <si>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</si>
  <si>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</si>
  <si>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</si>
  <si>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</si>
  <si>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</si>
  <si>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</si>
  <si>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</si>
  <si>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</si>
  <si>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</si>
  <si>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</si>
  <si>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</si>
  <si>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</si>
  <si>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</si>
  <si>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</si>
  <si>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</si>
  <si>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</si>
  <si>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</si>
  <si>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</si>
  <si>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</si>
  <si>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</si>
  <si>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</si>
  <si>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</si>
  <si>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</si>
  <si>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</si>
  <si>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</si>
  <si>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</si>
  <si>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</si>
  <si>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</si>
  <si>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33-037</t>
  </si>
  <si>
    <t>ТЕР 33-030</t>
  </si>
  <si>
    <t>ТЕР 32-027</t>
  </si>
  <si>
    <t>ТЕР 33-060</t>
  </si>
  <si>
    <t>ТЕР 17-006</t>
  </si>
  <si>
    <t>ТЕР 15-051</t>
  </si>
  <si>
    <t>Смена трубопроводов на полипропленовые трубы PN25 диаметром 25 мм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</si>
  <si>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</si>
  <si>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51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</si>
  <si>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ТЕР 32-028</t>
  </si>
  <si>
    <t>Смена центр.вентилей диаметром до 32 мм (без учёта материала и оборудования)</t>
  </si>
  <si>
    <t>1 шт</t>
  </si>
  <si>
    <t>пр.ТЕР 32-083</t>
  </si>
  <si>
    <r>
      <t>Смена полиэтиленовых канализационных труб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-100 2м</t>
    </r>
  </si>
  <si>
    <t>1шт</t>
  </si>
  <si>
    <t>счёт</t>
  </si>
  <si>
    <t>Манжета 110</t>
  </si>
  <si>
    <t>пр.ТЕР 2-2-2-2-30</t>
  </si>
  <si>
    <t>Герметизация фановой трубы</t>
  </si>
  <si>
    <t>Переход чугун-пластик Ду 110 с манжетой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</si>
  <si>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</si>
  <si>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</si>
  <si>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</si>
  <si>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</si>
  <si>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пр.ТЕР 32-101</t>
  </si>
  <si>
    <t>пр.ТЕР 32-097</t>
  </si>
  <si>
    <t>Устройство хомутов диаметров 51 - 75 мм</t>
  </si>
  <si>
    <t>пр.ТЕР 32-089</t>
  </si>
  <si>
    <t xml:space="preserve">Смена внутренних трубопроводов из стальных труб диаметром до 50 мм </t>
  </si>
  <si>
    <t>пр.ТЕР 22-038</t>
  </si>
  <si>
    <t>Простая масляная окраска ранее окрашенных входных металлических дверей (I, II, III под.)</t>
  </si>
  <si>
    <t>пр.ТЕР 2-1-1б</t>
  </si>
  <si>
    <t>Внеплановая проверка вентканалов</t>
  </si>
  <si>
    <t>1 шт.</t>
  </si>
  <si>
    <t>пр.ТЕР 33-023</t>
  </si>
  <si>
    <t>Смена светодиодных светильников (I под.)</t>
  </si>
  <si>
    <r>
      <t>Смена полиэтиленовых канализационных труб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-100 1м</t>
    </r>
  </si>
  <si>
    <t>пр.ТЕР 32-082</t>
  </si>
  <si>
    <r>
      <t>Смена полиэтиленовых канализационных труб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-50 1м</t>
    </r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</si>
  <si>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50/90°</t>
    </r>
  </si>
  <si>
    <t>Патрубок компенсационный ПП Ду 50</t>
  </si>
  <si>
    <t>Смена трубопроводов на полипропленовые трубы PN25 диаметром 20 мм</t>
  </si>
  <si>
    <t>Заделка выбоин в полах цементных площадью до 0,5 м2</t>
  </si>
  <si>
    <t>100 шт</t>
  </si>
  <si>
    <t>ТЕР 57-10-2</t>
  </si>
  <si>
    <t>пр.ТЕР 12-001</t>
  </si>
  <si>
    <t>Заделка "шахты" после работ ВДИС</t>
  </si>
  <si>
    <t>ТЕР 21-005</t>
  </si>
  <si>
    <t>Ремонт штукатурки внутренних стен по камню и бетону цементно-известковым раствором площадью до 1 м2 толщиной слоя до 20 мм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</si>
  <si>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</si>
  <si>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</si>
  <si>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32-098</t>
  </si>
  <si>
    <t>Устройство хомута диаметром до 50 мм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</si>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</sst>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3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0" borderId="0" xfId="0" applyFont="1"/>
    <xf numFmtId="4" fontId="2" fillId="4" borderId="0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12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5" borderId="18" xfId="0" applyFont="1" applyFill="1" applyBorder="1"/>
    <xf numFmtId="0" fontId="2" fillId="4" borderId="19" xfId="0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13" borderId="0" xfId="0" applyFill="1"/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4" fontId="2" fillId="8" borderId="12" xfId="0" applyNumberFormat="1" applyFont="1" applyFill="1" applyBorder="1" applyAlignment="1">
      <alignment horizontal="center" vertical="center"/>
    </xf>
    <xf numFmtId="0" fontId="0" fillId="8" borderId="0" xfId="0" applyFill="1" applyBorder="1"/>
    <xf numFmtId="0" fontId="0" fillId="0" borderId="0" xfId="0" applyBorder="1"/>
    <xf numFmtId="4" fontId="8" fillId="0" borderId="7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27"/>
  <sheetViews>
    <sheetView tabSelected="1" view="pageBreakPreview" zoomScaleNormal="75" zoomScaleSheetLayoutView="100" workbookViewId="0">
      <pane ySplit="7" topLeftCell="A119" activePane="bottomLeft" state="frozen"/>
      <selection activeCell="B1" sqref="B1"/>
      <selection pane="bottomLeft" activeCell="B124" sqref="B124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36"/>
    </row>
    <row r="3" spans="1:21" ht="18">
      <c r="A3" s="1"/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21" ht="38.25" customHeight="1">
      <c r="B4" s="169" t="s">
        <v>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21" ht="18">
      <c r="B5" s="169" t="s">
        <v>204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21" ht="14.25">
      <c r="B6" s="170" t="s">
        <v>125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21" ht="48" customHeight="1">
      <c r="A7" s="125" t="s">
        <v>2</v>
      </c>
      <c r="B7" s="126" t="s">
        <v>3</v>
      </c>
      <c r="C7" s="126" t="s">
        <v>4</v>
      </c>
      <c r="D7" s="126" t="s">
        <v>5</v>
      </c>
      <c r="E7" s="126" t="s">
        <v>6</v>
      </c>
      <c r="F7" s="126" t="s">
        <v>7</v>
      </c>
      <c r="G7" s="126" t="s">
        <v>8</v>
      </c>
      <c r="H7" s="127" t="s">
        <v>9</v>
      </c>
      <c r="I7" s="22" t="s">
        <v>113</v>
      </c>
      <c r="J7" s="22" t="s">
        <v>114</v>
      </c>
      <c r="K7" s="22" t="s">
        <v>115</v>
      </c>
      <c r="L7" s="22" t="s">
        <v>116</v>
      </c>
      <c r="M7" s="22" t="s">
        <v>117</v>
      </c>
      <c r="N7" s="22" t="s">
        <v>118</v>
      </c>
      <c r="O7" s="22" t="s">
        <v>119</v>
      </c>
      <c r="P7" s="22" t="s">
        <v>120</v>
      </c>
      <c r="Q7" s="22" t="s">
        <v>121</v>
      </c>
      <c r="R7" s="22" t="s">
        <v>122</v>
      </c>
      <c r="S7" s="22" t="s">
        <v>123</v>
      </c>
      <c r="T7" s="22" t="s">
        <v>124</v>
      </c>
      <c r="U7" s="22" t="s">
        <v>126</v>
      </c>
    </row>
    <row r="8" spans="1:21">
      <c r="A8" s="128">
        <v>1</v>
      </c>
      <c r="B8" s="8">
        <v>2</v>
      </c>
      <c r="C8" s="23">
        <v>3</v>
      </c>
      <c r="D8" s="8">
        <v>4</v>
      </c>
      <c r="E8" s="8">
        <v>5</v>
      </c>
      <c r="F8" s="23">
        <v>6</v>
      </c>
      <c r="G8" s="23">
        <v>7</v>
      </c>
      <c r="H8" s="24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</row>
    <row r="9" spans="1:21" ht="38.25">
      <c r="A9" s="128"/>
      <c r="B9" s="10" t="s">
        <v>10</v>
      </c>
      <c r="C9" s="23"/>
      <c r="D9" s="11"/>
      <c r="E9" s="11"/>
      <c r="F9" s="23"/>
      <c r="G9" s="23"/>
      <c r="H9" s="26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</row>
    <row r="10" spans="1:21">
      <c r="A10" s="128"/>
      <c r="B10" s="10" t="s">
        <v>11</v>
      </c>
      <c r="C10" s="23"/>
      <c r="D10" s="11"/>
      <c r="E10" s="11"/>
      <c r="F10" s="23"/>
      <c r="G10" s="23"/>
      <c r="H10" s="26"/>
      <c r="I10" s="27"/>
      <c r="J10" s="27"/>
      <c r="K10" s="27"/>
      <c r="L10" s="27"/>
      <c r="M10" s="28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28" t="s">
        <v>155</v>
      </c>
      <c r="B11" s="11" t="s">
        <v>12</v>
      </c>
      <c r="C11" s="23" t="s">
        <v>13</v>
      </c>
      <c r="D11" s="11" t="s">
        <v>14</v>
      </c>
      <c r="E11" s="30">
        <v>55</v>
      </c>
      <c r="F11" s="31">
        <f>SUM(E11*156/100)</f>
        <v>85.8</v>
      </c>
      <c r="G11" s="31">
        <v>187.48</v>
      </c>
      <c r="H11" s="32">
        <f t="shared" ref="H11:H21" si="0">SUM(F11*G11/1000)</f>
        <v>16.085783999999997</v>
      </c>
      <c r="I11" s="33">
        <f>F11/12*G11</f>
        <v>1340.4819999999997</v>
      </c>
      <c r="J11" s="33">
        <f>F11/12*G11</f>
        <v>1340.4819999999997</v>
      </c>
      <c r="K11" s="33">
        <f>F11/12*G11</f>
        <v>1340.4819999999997</v>
      </c>
      <c r="L11" s="33">
        <f>F11/12*G11</f>
        <v>1340.4819999999997</v>
      </c>
      <c r="M11" s="33">
        <f>F11/12*G11</f>
        <v>1340.4819999999997</v>
      </c>
      <c r="N11" s="33">
        <f>F11/12*G11</f>
        <v>1340.4819999999997</v>
      </c>
      <c r="O11" s="33">
        <f>F11/12*G11</f>
        <v>1340.4819999999997</v>
      </c>
      <c r="P11" s="33">
        <f>F11/12*G11</f>
        <v>1340.4819999999997</v>
      </c>
      <c r="Q11" s="33">
        <f>F11/12*G11</f>
        <v>1340.4819999999997</v>
      </c>
      <c r="R11" s="33">
        <f>F11/12*G11</f>
        <v>1340.4819999999997</v>
      </c>
      <c r="S11" s="33">
        <f>F11/12*G11</f>
        <v>1340.4819999999997</v>
      </c>
      <c r="T11" s="33">
        <f>F11/12*G11</f>
        <v>1340.4819999999997</v>
      </c>
      <c r="U11" s="33">
        <f>SUM(I11:T11)</f>
        <v>16085.783999999998</v>
      </c>
    </row>
    <row r="12" spans="1:21" ht="25.5">
      <c r="A12" s="128" t="s">
        <v>155</v>
      </c>
      <c r="B12" s="11" t="s">
        <v>165</v>
      </c>
      <c r="C12" s="23" t="s">
        <v>13</v>
      </c>
      <c r="D12" s="11" t="s">
        <v>15</v>
      </c>
      <c r="E12" s="30">
        <v>165</v>
      </c>
      <c r="F12" s="31">
        <f>SUM(E12*104/100)</f>
        <v>171.6</v>
      </c>
      <c r="G12" s="31">
        <v>187.48</v>
      </c>
      <c r="H12" s="32">
        <f t="shared" si="0"/>
        <v>32.171567999999994</v>
      </c>
      <c r="I12" s="33">
        <f>F12/12*G12</f>
        <v>2680.9639999999995</v>
      </c>
      <c r="J12" s="33">
        <f>F12/12*G12</f>
        <v>2680.9639999999995</v>
      </c>
      <c r="K12" s="33">
        <f>F12/12*G12</f>
        <v>2680.9639999999995</v>
      </c>
      <c r="L12" s="33">
        <f>F12/12*G12</f>
        <v>2680.9639999999995</v>
      </c>
      <c r="M12" s="33">
        <f>F12/12*G12</f>
        <v>2680.9639999999995</v>
      </c>
      <c r="N12" s="33">
        <f>F12/12*G12</f>
        <v>2680.9639999999995</v>
      </c>
      <c r="O12" s="33">
        <f>F12/12*G12</f>
        <v>2680.9639999999995</v>
      </c>
      <c r="P12" s="33">
        <f>F12/12*G12</f>
        <v>2680.9639999999995</v>
      </c>
      <c r="Q12" s="33">
        <f>F12/12*G12</f>
        <v>2680.9639999999995</v>
      </c>
      <c r="R12" s="33">
        <f>F12/12*G12</f>
        <v>2680.9639999999995</v>
      </c>
      <c r="S12" s="33">
        <f>F12/12*G12</f>
        <v>2680.9639999999995</v>
      </c>
      <c r="T12" s="33">
        <f>F12/12*G12</f>
        <v>2680.9639999999995</v>
      </c>
      <c r="U12" s="33">
        <f t="shared" ref="U12:U21" si="1">SUM(I12:T12)</f>
        <v>32171.567999999996</v>
      </c>
    </row>
    <row r="13" spans="1:21" ht="25.5">
      <c r="A13" s="128" t="s">
        <v>156</v>
      </c>
      <c r="B13" s="11" t="s">
        <v>166</v>
      </c>
      <c r="C13" s="23" t="s">
        <v>13</v>
      </c>
      <c r="D13" s="11" t="s">
        <v>16</v>
      </c>
      <c r="E13" s="30">
        <f>SUM(E11+E12)</f>
        <v>220</v>
      </c>
      <c r="F13" s="31">
        <f>SUM(E13*24/100)</f>
        <v>52.8</v>
      </c>
      <c r="G13" s="31">
        <v>539.30999999999995</v>
      </c>
      <c r="H13" s="32">
        <f t="shared" si="0"/>
        <v>28.475567999999996</v>
      </c>
      <c r="I13" s="33">
        <f>F13/12*G13</f>
        <v>2372.9639999999995</v>
      </c>
      <c r="J13" s="33">
        <f>F13/12*G13</f>
        <v>2372.9639999999995</v>
      </c>
      <c r="K13" s="33">
        <f>F13/12*G13</f>
        <v>2372.9639999999995</v>
      </c>
      <c r="L13" s="33">
        <f>F13/12*G13</f>
        <v>2372.9639999999995</v>
      </c>
      <c r="M13" s="33">
        <f>F13/12*G13</f>
        <v>2372.9639999999995</v>
      </c>
      <c r="N13" s="33">
        <f>F13/12*G13</f>
        <v>2372.9639999999995</v>
      </c>
      <c r="O13" s="33">
        <f>F13/12*G13</f>
        <v>2372.9639999999995</v>
      </c>
      <c r="P13" s="33">
        <f>F13/12*G13</f>
        <v>2372.9639999999995</v>
      </c>
      <c r="Q13" s="33">
        <f>F13/12*G13</f>
        <v>2372.9639999999995</v>
      </c>
      <c r="R13" s="33">
        <f>F13/12*G13</f>
        <v>2372.9639999999995</v>
      </c>
      <c r="S13" s="33">
        <f>F13/12*G13</f>
        <v>2372.9639999999995</v>
      </c>
      <c r="T13" s="33">
        <f>F13/12*G13</f>
        <v>2372.9639999999995</v>
      </c>
      <c r="U13" s="33">
        <f t="shared" si="1"/>
        <v>28475.567999999996</v>
      </c>
    </row>
    <row r="14" spans="1:21">
      <c r="A14" s="128" t="s">
        <v>157</v>
      </c>
      <c r="B14" s="11" t="s">
        <v>17</v>
      </c>
      <c r="C14" s="23" t="s">
        <v>18</v>
      </c>
      <c r="D14" s="11" t="s">
        <v>95</v>
      </c>
      <c r="E14" s="30">
        <v>32.4</v>
      </c>
      <c r="F14" s="31">
        <f>SUM(E14/10)</f>
        <v>3.2399999999999998</v>
      </c>
      <c r="G14" s="31">
        <v>181.91</v>
      </c>
      <c r="H14" s="32">
        <f t="shared" si="0"/>
        <v>0.58938839999999992</v>
      </c>
      <c r="I14" s="33">
        <v>0</v>
      </c>
      <c r="J14" s="33">
        <v>0</v>
      </c>
      <c r="K14" s="33">
        <v>0</v>
      </c>
      <c r="L14" s="33">
        <v>0</v>
      </c>
      <c r="M14" s="33">
        <f>F14/2*G14</f>
        <v>294.69419999999997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f t="shared" si="1"/>
        <v>294.69419999999997</v>
      </c>
    </row>
    <row r="15" spans="1:21">
      <c r="A15" s="128" t="s">
        <v>158</v>
      </c>
      <c r="B15" s="11" t="s">
        <v>19</v>
      </c>
      <c r="C15" s="23" t="s">
        <v>13</v>
      </c>
      <c r="D15" s="11" t="s">
        <v>108</v>
      </c>
      <c r="E15" s="30">
        <v>12.24</v>
      </c>
      <c r="F15" s="31">
        <f>SUM(E15*12/100)</f>
        <v>1.4687999999999999</v>
      </c>
      <c r="G15" s="31">
        <v>232.92</v>
      </c>
      <c r="H15" s="32">
        <f t="shared" si="0"/>
        <v>0.342112896</v>
      </c>
      <c r="I15" s="33">
        <f>F15/12*G15</f>
        <v>28.509407999999997</v>
      </c>
      <c r="J15" s="33">
        <f>F15/12*G15</f>
        <v>28.509407999999997</v>
      </c>
      <c r="K15" s="33">
        <f>F15/12*G15</f>
        <v>28.509407999999997</v>
      </c>
      <c r="L15" s="33">
        <f>F15/12*G15</f>
        <v>28.509407999999997</v>
      </c>
      <c r="M15" s="33">
        <f>F15/12*G15</f>
        <v>28.509407999999997</v>
      </c>
      <c r="N15" s="33">
        <f>F15/12*G15</f>
        <v>28.509407999999997</v>
      </c>
      <c r="O15" s="33">
        <f>F15/12*G15</f>
        <v>28.509407999999997</v>
      </c>
      <c r="P15" s="33">
        <f>F15/12*G15</f>
        <v>28.509407999999997</v>
      </c>
      <c r="Q15" s="33">
        <f>F15/12*G15</f>
        <v>28.509407999999997</v>
      </c>
      <c r="R15" s="33">
        <f>F15/12*G15</f>
        <v>28.509407999999997</v>
      </c>
      <c r="S15" s="33">
        <f>F15/12*G15</f>
        <v>28.509407999999997</v>
      </c>
      <c r="T15" s="33">
        <f>F15/12*G15</f>
        <v>28.509407999999997</v>
      </c>
      <c r="U15" s="33">
        <f t="shared" si="1"/>
        <v>342.11289600000003</v>
      </c>
    </row>
    <row r="16" spans="1:21">
      <c r="A16" s="128" t="s">
        <v>159</v>
      </c>
      <c r="B16" s="11" t="s">
        <v>20</v>
      </c>
      <c r="C16" s="23" t="s">
        <v>13</v>
      </c>
      <c r="D16" s="11" t="s">
        <v>109</v>
      </c>
      <c r="E16" s="30">
        <v>10.08</v>
      </c>
      <c r="F16" s="31">
        <f>SUM(E16*6/100)</f>
        <v>0.6048</v>
      </c>
      <c r="G16" s="31">
        <v>231.03</v>
      </c>
      <c r="H16" s="32">
        <f t="shared" si="0"/>
        <v>0.13972694399999999</v>
      </c>
      <c r="I16" s="33">
        <f>F16/6*G16</f>
        <v>23.287824000000001</v>
      </c>
      <c r="J16" s="33">
        <v>0</v>
      </c>
      <c r="K16" s="33">
        <f>F16/6*G16</f>
        <v>23.287824000000001</v>
      </c>
      <c r="L16" s="33">
        <v>0</v>
      </c>
      <c r="M16" s="33">
        <f>F16/6*G16</f>
        <v>23.287824000000001</v>
      </c>
      <c r="N16" s="33">
        <v>0</v>
      </c>
      <c r="O16" s="33">
        <f>F16/6*G16</f>
        <v>23.287824000000001</v>
      </c>
      <c r="P16" s="33">
        <v>0</v>
      </c>
      <c r="Q16" s="33">
        <f>F16/6*G16</f>
        <v>23.287824000000001</v>
      </c>
      <c r="R16" s="33">
        <v>0</v>
      </c>
      <c r="S16" s="33">
        <f>F16/6*G16</f>
        <v>23.287824000000001</v>
      </c>
      <c r="T16" s="33">
        <v>0</v>
      </c>
      <c r="U16" s="33">
        <f t="shared" si="1"/>
        <v>139.726944</v>
      </c>
    </row>
    <row r="17" spans="1:21">
      <c r="A17" s="128" t="s">
        <v>160</v>
      </c>
      <c r="B17" s="11" t="s">
        <v>21</v>
      </c>
      <c r="C17" s="23" t="s">
        <v>22</v>
      </c>
      <c r="D17" s="11" t="s">
        <v>95</v>
      </c>
      <c r="E17" s="30">
        <v>293.76</v>
      </c>
      <c r="F17" s="31">
        <f>SUM(E17/100)</f>
        <v>2.9375999999999998</v>
      </c>
      <c r="G17" s="31">
        <v>287.83999999999997</v>
      </c>
      <c r="H17" s="32">
        <f t="shared" si="0"/>
        <v>0.84555878399999984</v>
      </c>
      <c r="I17" s="33">
        <v>0</v>
      </c>
      <c r="J17" s="33">
        <v>0</v>
      </c>
      <c r="K17" s="33">
        <v>0</v>
      </c>
      <c r="L17" s="33">
        <v>0</v>
      </c>
      <c r="M17" s="33">
        <f>F17*G17</f>
        <v>845.55878399999983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f t="shared" si="1"/>
        <v>845.55878399999983</v>
      </c>
    </row>
    <row r="18" spans="1:21">
      <c r="A18" s="128" t="s">
        <v>161</v>
      </c>
      <c r="B18" s="11" t="s">
        <v>23</v>
      </c>
      <c r="C18" s="23" t="s">
        <v>22</v>
      </c>
      <c r="D18" s="11" t="s">
        <v>95</v>
      </c>
      <c r="E18" s="35">
        <v>17.64</v>
      </c>
      <c r="F18" s="31">
        <f>SUM(E18/100)</f>
        <v>0.1764</v>
      </c>
      <c r="G18" s="31">
        <v>47.34</v>
      </c>
      <c r="H18" s="32">
        <f t="shared" si="0"/>
        <v>8.3507760000000007E-3</v>
      </c>
      <c r="I18" s="33">
        <v>0</v>
      </c>
      <c r="J18" s="33">
        <v>0</v>
      </c>
      <c r="K18" s="33">
        <v>0</v>
      </c>
      <c r="L18" s="33">
        <v>0</v>
      </c>
      <c r="M18" s="33">
        <f t="shared" ref="M18:M21" si="2">F18*G18</f>
        <v>8.3507760000000015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f t="shared" si="1"/>
        <v>8.3507760000000015</v>
      </c>
    </row>
    <row r="19" spans="1:21">
      <c r="A19" s="128" t="s">
        <v>162</v>
      </c>
      <c r="B19" s="11" t="s">
        <v>24</v>
      </c>
      <c r="C19" s="23" t="s">
        <v>22</v>
      </c>
      <c r="D19" s="11" t="s">
        <v>96</v>
      </c>
      <c r="E19" s="30">
        <v>10.8</v>
      </c>
      <c r="F19" s="31">
        <f>E19/100</f>
        <v>0.10800000000000001</v>
      </c>
      <c r="G19" s="31">
        <v>416.62</v>
      </c>
      <c r="H19" s="32">
        <f t="shared" si="0"/>
        <v>4.4994960000000007E-2</v>
      </c>
      <c r="I19" s="33">
        <v>0</v>
      </c>
      <c r="J19" s="33">
        <v>0</v>
      </c>
      <c r="K19" s="33">
        <v>0</v>
      </c>
      <c r="L19" s="33">
        <v>0</v>
      </c>
      <c r="M19" s="33">
        <f t="shared" si="2"/>
        <v>44.994960000000006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f t="shared" si="1"/>
        <v>44.994960000000006</v>
      </c>
    </row>
    <row r="20" spans="1:21" ht="25.5">
      <c r="A20" s="128" t="s">
        <v>163</v>
      </c>
      <c r="B20" s="11" t="s">
        <v>97</v>
      </c>
      <c r="C20" s="23" t="s">
        <v>22</v>
      </c>
      <c r="D20" s="11" t="s">
        <v>32</v>
      </c>
      <c r="E20" s="30">
        <v>12.6</v>
      </c>
      <c r="F20" s="31">
        <f>E20/100</f>
        <v>0.126</v>
      </c>
      <c r="G20" s="31">
        <v>231.03</v>
      </c>
      <c r="H20" s="32">
        <f t="shared" si="0"/>
        <v>2.9109780000000002E-2</v>
      </c>
      <c r="I20" s="33">
        <v>0</v>
      </c>
      <c r="J20" s="33">
        <v>0</v>
      </c>
      <c r="K20" s="33">
        <v>0</v>
      </c>
      <c r="L20" s="33">
        <v>0</v>
      </c>
      <c r="M20" s="33">
        <f t="shared" si="2"/>
        <v>29.109780000000001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f t="shared" si="1"/>
        <v>29.109780000000001</v>
      </c>
    </row>
    <row r="21" spans="1:21">
      <c r="A21" s="128" t="s">
        <v>164</v>
      </c>
      <c r="B21" s="11" t="s">
        <v>25</v>
      </c>
      <c r="C21" s="23" t="s">
        <v>22</v>
      </c>
      <c r="D21" s="11" t="s">
        <v>95</v>
      </c>
      <c r="E21" s="30">
        <v>14.4</v>
      </c>
      <c r="F21" s="31">
        <f>SUM(E21/100)</f>
        <v>0.14400000000000002</v>
      </c>
      <c r="G21" s="31">
        <v>556.74</v>
      </c>
      <c r="H21" s="32">
        <f t="shared" si="0"/>
        <v>8.0170560000000016E-2</v>
      </c>
      <c r="I21" s="33">
        <v>0</v>
      </c>
      <c r="J21" s="33">
        <v>0</v>
      </c>
      <c r="K21" s="33">
        <v>0</v>
      </c>
      <c r="L21" s="33">
        <v>0</v>
      </c>
      <c r="M21" s="33">
        <f t="shared" si="2"/>
        <v>80.170560000000009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f t="shared" si="1"/>
        <v>80.170560000000009</v>
      </c>
    </row>
    <row r="22" spans="1:21" s="19" customFormat="1">
      <c r="A22" s="129"/>
      <c r="B22" s="20" t="s">
        <v>26</v>
      </c>
      <c r="C22" s="36"/>
      <c r="D22" s="20"/>
      <c r="E22" s="37"/>
      <c r="F22" s="38"/>
      <c r="G22" s="38"/>
      <c r="H22" s="39">
        <f>SUM(H11:H21)</f>
        <v>78.812333099999989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f>SUM(U11:U21)</f>
        <v>78517.638899999976</v>
      </c>
    </row>
    <row r="23" spans="1:21">
      <c r="A23" s="128"/>
      <c r="B23" s="12" t="s">
        <v>27</v>
      </c>
      <c r="C23" s="23"/>
      <c r="D23" s="11"/>
      <c r="E23" s="30"/>
      <c r="F23" s="31"/>
      <c r="G23" s="31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25.5" customHeight="1">
      <c r="A24" s="128" t="s">
        <v>167</v>
      </c>
      <c r="B24" s="11" t="s">
        <v>142</v>
      </c>
      <c r="C24" s="23" t="s">
        <v>29</v>
      </c>
      <c r="D24" s="11" t="s">
        <v>28</v>
      </c>
      <c r="E24" s="31">
        <v>600.63</v>
      </c>
      <c r="F24" s="31">
        <f>SUM(E24*52/1000)</f>
        <v>31.232759999999999</v>
      </c>
      <c r="G24" s="31">
        <v>166.65</v>
      </c>
      <c r="H24" s="32">
        <f t="shared" ref="H24:H31" si="3">SUM(F24*G24/1000)</f>
        <v>5.2049394540000007</v>
      </c>
      <c r="I24" s="33">
        <v>0</v>
      </c>
      <c r="J24" s="33">
        <v>0</v>
      </c>
      <c r="K24" s="33">
        <v>0</v>
      </c>
      <c r="L24" s="33">
        <v>0</v>
      </c>
      <c r="M24" s="33">
        <f>F24/6*G24</f>
        <v>867.4899089999999</v>
      </c>
      <c r="N24" s="33">
        <f>F24/6*G24</f>
        <v>867.4899089999999</v>
      </c>
      <c r="O24" s="33">
        <f>F24/6*G24</f>
        <v>867.4899089999999</v>
      </c>
      <c r="P24" s="33">
        <f>F24/6*G24</f>
        <v>867.4899089999999</v>
      </c>
      <c r="Q24" s="33">
        <f>F24/6*G24</f>
        <v>867.4899089999999</v>
      </c>
      <c r="R24" s="33">
        <f>F24/6*G24</f>
        <v>867.4899089999999</v>
      </c>
      <c r="S24" s="33">
        <v>0</v>
      </c>
      <c r="T24" s="33">
        <v>0</v>
      </c>
      <c r="U24" s="33">
        <f t="shared" ref="U24:U31" si="4">SUM(I24:T24)</f>
        <v>5204.9394539999994</v>
      </c>
    </row>
    <row r="25" spans="1:21" ht="38.25" customHeight="1">
      <c r="A25" s="128" t="s">
        <v>168</v>
      </c>
      <c r="B25" s="11" t="s">
        <v>150</v>
      </c>
      <c r="C25" s="23" t="s">
        <v>29</v>
      </c>
      <c r="D25" s="11" t="s">
        <v>30</v>
      </c>
      <c r="E25" s="31">
        <v>186.39</v>
      </c>
      <c r="F25" s="31">
        <f>SUM(E25*78/1000)</f>
        <v>14.538419999999999</v>
      </c>
      <c r="G25" s="31">
        <v>276.48</v>
      </c>
      <c r="H25" s="32">
        <f t="shared" si="3"/>
        <v>4.0195823615999995</v>
      </c>
      <c r="I25" s="33">
        <v>0</v>
      </c>
      <c r="J25" s="33">
        <v>0</v>
      </c>
      <c r="K25" s="33">
        <v>0</v>
      </c>
      <c r="L25" s="33">
        <v>0</v>
      </c>
      <c r="M25" s="33">
        <f>F25/6*G25</f>
        <v>669.93039359999989</v>
      </c>
      <c r="N25" s="33">
        <f>F25/6*G25</f>
        <v>669.93039359999989</v>
      </c>
      <c r="O25" s="33">
        <f>F25/6*G25</f>
        <v>669.93039359999989</v>
      </c>
      <c r="P25" s="33">
        <f>F25/6*G25</f>
        <v>669.93039359999989</v>
      </c>
      <c r="Q25" s="33">
        <f>F25/6*G25</f>
        <v>669.93039359999989</v>
      </c>
      <c r="R25" s="33">
        <f>F25/6*G25</f>
        <v>669.93039359999989</v>
      </c>
      <c r="S25" s="33">
        <v>0</v>
      </c>
      <c r="T25" s="33">
        <v>0</v>
      </c>
      <c r="U25" s="33">
        <f t="shared" si="4"/>
        <v>4019.5823615999989</v>
      </c>
    </row>
    <row r="26" spans="1:21">
      <c r="A26" s="128" t="s">
        <v>169</v>
      </c>
      <c r="B26" s="11" t="s">
        <v>31</v>
      </c>
      <c r="C26" s="23" t="s">
        <v>29</v>
      </c>
      <c r="D26" s="11" t="s">
        <v>32</v>
      </c>
      <c r="E26" s="31">
        <v>600.63</v>
      </c>
      <c r="F26" s="31">
        <f>SUM(E26/1000)</f>
        <v>0.60063</v>
      </c>
      <c r="G26" s="31">
        <v>3228.73</v>
      </c>
      <c r="H26" s="32">
        <f t="shared" si="3"/>
        <v>1.9392720999000002</v>
      </c>
      <c r="I26" s="33">
        <v>0</v>
      </c>
      <c r="J26" s="33">
        <v>0</v>
      </c>
      <c r="K26" s="33">
        <v>0</v>
      </c>
      <c r="L26" s="33">
        <v>0</v>
      </c>
      <c r="M26" s="33">
        <f>F26*G26</f>
        <v>1939.2720999000001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f t="shared" si="4"/>
        <v>1939.2720999000001</v>
      </c>
    </row>
    <row r="27" spans="1:21">
      <c r="A27" s="128" t="s">
        <v>170</v>
      </c>
      <c r="B27" s="11" t="s">
        <v>33</v>
      </c>
      <c r="C27" s="23" t="s">
        <v>34</v>
      </c>
      <c r="D27" s="11" t="s">
        <v>35</v>
      </c>
      <c r="E27" s="42">
        <v>0.33333333333333331</v>
      </c>
      <c r="F27" s="31">
        <f>155/3</f>
        <v>51.666666666666664</v>
      </c>
      <c r="G27" s="31">
        <v>60.6</v>
      </c>
      <c r="H27" s="32">
        <f t="shared" si="3"/>
        <v>3.1309999999999998</v>
      </c>
      <c r="I27" s="33">
        <v>0</v>
      </c>
      <c r="J27" s="33">
        <v>0</v>
      </c>
      <c r="K27" s="33">
        <v>0</v>
      </c>
      <c r="L27" s="33">
        <v>0</v>
      </c>
      <c r="M27" s="33">
        <f>F27/6*G27</f>
        <v>521.83333333333337</v>
      </c>
      <c r="N27" s="33">
        <f>F27/6*G27</f>
        <v>521.83333333333337</v>
      </c>
      <c r="O27" s="33">
        <f>F27/6*G27</f>
        <v>521.83333333333337</v>
      </c>
      <c r="P27" s="33">
        <f>F27/6*G27</f>
        <v>521.83333333333337</v>
      </c>
      <c r="Q27" s="33">
        <f>F27/6*G27</f>
        <v>521.83333333333337</v>
      </c>
      <c r="R27" s="33">
        <f>F27/6*G27</f>
        <v>521.83333333333337</v>
      </c>
      <c r="S27" s="33">
        <v>0</v>
      </c>
      <c r="T27" s="33">
        <v>0</v>
      </c>
      <c r="U27" s="33">
        <f t="shared" si="4"/>
        <v>3131.0000000000005</v>
      </c>
    </row>
    <row r="28" spans="1:21" ht="12.75" customHeight="1">
      <c r="A28" s="128" t="s">
        <v>171</v>
      </c>
      <c r="B28" s="11" t="s">
        <v>36</v>
      </c>
      <c r="C28" s="23" t="s">
        <v>37</v>
      </c>
      <c r="D28" s="11" t="s">
        <v>38</v>
      </c>
      <c r="E28" s="43">
        <v>0.1</v>
      </c>
      <c r="F28" s="31">
        <f>SUM(E28*365)</f>
        <v>36.5</v>
      </c>
      <c r="G28" s="31">
        <v>157.18</v>
      </c>
      <c r="H28" s="32">
        <f t="shared" si="3"/>
        <v>5.737070000000001</v>
      </c>
      <c r="I28" s="33">
        <f>F28/12*G28</f>
        <v>478.08916666666664</v>
      </c>
      <c r="J28" s="33">
        <f>F28/12*G28</f>
        <v>478.08916666666664</v>
      </c>
      <c r="K28" s="33">
        <f>F28/12*G28</f>
        <v>478.08916666666664</v>
      </c>
      <c r="L28" s="33">
        <f>F28/12*G28</f>
        <v>478.08916666666664</v>
      </c>
      <c r="M28" s="33">
        <f>F28/12*G28</f>
        <v>478.08916666666664</v>
      </c>
      <c r="N28" s="33">
        <f>F28/12*G28</f>
        <v>478.08916666666664</v>
      </c>
      <c r="O28" s="33">
        <f>F28/12*G28</f>
        <v>478.08916666666664</v>
      </c>
      <c r="P28" s="33">
        <f>F28/12*G28</f>
        <v>478.08916666666664</v>
      </c>
      <c r="Q28" s="33">
        <f>F28/12*G28</f>
        <v>478.08916666666664</v>
      </c>
      <c r="R28" s="33">
        <f>F28/12*G28</f>
        <v>478.08916666666664</v>
      </c>
      <c r="S28" s="33">
        <f>F28/12*G28</f>
        <v>478.08916666666664</v>
      </c>
      <c r="T28" s="33">
        <f>F28/12*G28</f>
        <v>478.08916666666664</v>
      </c>
      <c r="U28" s="33">
        <f t="shared" si="4"/>
        <v>5737.07</v>
      </c>
    </row>
    <row r="29" spans="1:21" ht="12.75" customHeight="1">
      <c r="A29" s="128" t="s">
        <v>172</v>
      </c>
      <c r="B29" s="11" t="s">
        <v>143</v>
      </c>
      <c r="C29" s="23" t="s">
        <v>37</v>
      </c>
      <c r="D29" s="11" t="s">
        <v>39</v>
      </c>
      <c r="E29" s="30"/>
      <c r="F29" s="31">
        <v>2</v>
      </c>
      <c r="G29" s="31">
        <v>204.52</v>
      </c>
      <c r="H29" s="32">
        <f t="shared" si="3"/>
        <v>0.40904000000000001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f t="shared" si="4"/>
        <v>0</v>
      </c>
    </row>
    <row r="30" spans="1:21" ht="12.75" customHeight="1">
      <c r="A30" s="128" t="s">
        <v>129</v>
      </c>
      <c r="B30" s="11" t="s">
        <v>151</v>
      </c>
      <c r="C30" s="23" t="s">
        <v>40</v>
      </c>
      <c r="D30" s="11" t="s">
        <v>39</v>
      </c>
      <c r="E30" s="30"/>
      <c r="F30" s="31">
        <v>1</v>
      </c>
      <c r="G30" s="31">
        <v>1214.74</v>
      </c>
      <c r="H30" s="32">
        <f t="shared" si="3"/>
        <v>1.2147399999999999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f t="shared" si="4"/>
        <v>0</v>
      </c>
    </row>
    <row r="31" spans="1:21">
      <c r="A31" s="128"/>
      <c r="B31" s="44" t="s">
        <v>41</v>
      </c>
      <c r="C31" s="23" t="s">
        <v>42</v>
      </c>
      <c r="D31" s="44" t="s">
        <v>43</v>
      </c>
      <c r="E31" s="30">
        <v>2054.6</v>
      </c>
      <c r="F31" s="31">
        <f>SUM(E31*12)</f>
        <v>24655.199999999997</v>
      </c>
      <c r="G31" s="31">
        <v>6.15</v>
      </c>
      <c r="H31" s="32">
        <f t="shared" si="3"/>
        <v>151.62947999999997</v>
      </c>
      <c r="I31" s="33">
        <f>F31/12*G31</f>
        <v>12635.79</v>
      </c>
      <c r="J31" s="33">
        <f>F31/12*G31</f>
        <v>12635.79</v>
      </c>
      <c r="K31" s="33">
        <f>F31/12*G31</f>
        <v>12635.79</v>
      </c>
      <c r="L31" s="33">
        <f>F31/12*G31</f>
        <v>12635.79</v>
      </c>
      <c r="M31" s="33">
        <f>F31/12*G31</f>
        <v>12635.79</v>
      </c>
      <c r="N31" s="33">
        <f>F31/12*G31</f>
        <v>12635.79</v>
      </c>
      <c r="O31" s="33">
        <f>F31/12*G31</f>
        <v>12635.79</v>
      </c>
      <c r="P31" s="33">
        <f>F31/12*G31</f>
        <v>12635.79</v>
      </c>
      <c r="Q31" s="33">
        <f>F31/12*G31</f>
        <v>12635.79</v>
      </c>
      <c r="R31" s="33">
        <f>F31/12*G31</f>
        <v>12635.79</v>
      </c>
      <c r="S31" s="33">
        <f>F31/12*G31</f>
        <v>12635.79</v>
      </c>
      <c r="T31" s="33">
        <f>F31/12*G31</f>
        <v>12635.79</v>
      </c>
      <c r="U31" s="33">
        <f t="shared" si="4"/>
        <v>151629.48000000004</v>
      </c>
    </row>
    <row r="32" spans="1:21" s="19" customFormat="1">
      <c r="A32" s="129"/>
      <c r="B32" s="20" t="s">
        <v>26</v>
      </c>
      <c r="C32" s="36"/>
      <c r="D32" s="20"/>
      <c r="E32" s="37"/>
      <c r="F32" s="38"/>
      <c r="G32" s="38"/>
      <c r="H32" s="45">
        <f>SUM(H24:H31)</f>
        <v>173.28512391549998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>
        <f>SUM(U24:U31)</f>
        <v>171661.34391550004</v>
      </c>
    </row>
    <row r="33" spans="1:21">
      <c r="A33" s="128"/>
      <c r="B33" s="12" t="s">
        <v>44</v>
      </c>
      <c r="C33" s="23"/>
      <c r="D33" s="11"/>
      <c r="E33" s="30"/>
      <c r="F33" s="31"/>
      <c r="G33" s="31"/>
      <c r="H33" s="32" t="s">
        <v>43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ht="12.75" customHeight="1">
      <c r="A34" s="128" t="s">
        <v>129</v>
      </c>
      <c r="B34" s="13" t="s">
        <v>45</v>
      </c>
      <c r="C34" s="23" t="s">
        <v>40</v>
      </c>
      <c r="D34" s="11"/>
      <c r="E34" s="30"/>
      <c r="F34" s="31">
        <v>5</v>
      </c>
      <c r="G34" s="31">
        <v>1632.6</v>
      </c>
      <c r="H34" s="32">
        <f t="shared" ref="H34:H40" si="5">SUM(F34*G34/1000)</f>
        <v>8.1630000000000003</v>
      </c>
      <c r="I34" s="33">
        <f>F34/6*G34</f>
        <v>1360.5</v>
      </c>
      <c r="J34" s="33">
        <f>F34/6*G34</f>
        <v>1360.5</v>
      </c>
      <c r="K34" s="33">
        <f>F34/6*G34</f>
        <v>1360.5</v>
      </c>
      <c r="L34" s="33">
        <f>F34/6*G34</f>
        <v>1360.5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f>F34/6*G34</f>
        <v>1360.5</v>
      </c>
      <c r="T34" s="33">
        <f>F34/6*G34</f>
        <v>1360.5</v>
      </c>
      <c r="U34" s="33">
        <f t="shared" ref="U34:U40" si="6">SUM(I34:T34)</f>
        <v>8163</v>
      </c>
    </row>
    <row r="35" spans="1:21" ht="25.5">
      <c r="A35" s="130" t="s">
        <v>173</v>
      </c>
      <c r="B35" s="13" t="s">
        <v>144</v>
      </c>
      <c r="C35" s="47" t="s">
        <v>46</v>
      </c>
      <c r="D35" s="11" t="s">
        <v>99</v>
      </c>
      <c r="E35" s="30">
        <v>186.39</v>
      </c>
      <c r="F35" s="46">
        <f>E35*30/1000</f>
        <v>5.5916999999999994</v>
      </c>
      <c r="G35" s="31">
        <v>2247.8000000000002</v>
      </c>
      <c r="H35" s="32">
        <f>G35*F35/1000</f>
        <v>12.56902326</v>
      </c>
      <c r="I35" s="33">
        <f>F35/6*G35</f>
        <v>2094.8372100000001</v>
      </c>
      <c r="J35" s="33">
        <f>F35/6*G35</f>
        <v>2094.8372100000001</v>
      </c>
      <c r="K35" s="33">
        <f>F35/6*G35</f>
        <v>2094.8372100000001</v>
      </c>
      <c r="L35" s="33">
        <f>F35/6*G35</f>
        <v>2094.8372100000001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f>F35/6*G35</f>
        <v>2094.8372100000001</v>
      </c>
      <c r="T35" s="33">
        <f>F35/6*G35</f>
        <v>2094.8372100000001</v>
      </c>
      <c r="U35" s="33">
        <f t="shared" si="6"/>
        <v>12569.02326</v>
      </c>
    </row>
    <row r="36" spans="1:21">
      <c r="A36" s="128" t="s">
        <v>129</v>
      </c>
      <c r="B36" s="11" t="s">
        <v>111</v>
      </c>
      <c r="C36" s="23" t="s">
        <v>65</v>
      </c>
      <c r="D36" s="11" t="s">
        <v>39</v>
      </c>
      <c r="E36" s="30"/>
      <c r="F36" s="46">
        <v>72.3</v>
      </c>
      <c r="G36" s="31">
        <v>199.44</v>
      </c>
      <c r="H36" s="32">
        <f>G36*F36/1000</f>
        <v>14.419511999999999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f t="shared" si="6"/>
        <v>0</v>
      </c>
    </row>
    <row r="37" spans="1:21" ht="25.5" customHeight="1">
      <c r="A37" s="128" t="s">
        <v>174</v>
      </c>
      <c r="B37" s="11" t="s">
        <v>145</v>
      </c>
      <c r="C37" s="23" t="s">
        <v>46</v>
      </c>
      <c r="D37" s="11" t="s">
        <v>47</v>
      </c>
      <c r="E37" s="31">
        <v>186.39</v>
      </c>
      <c r="F37" s="46">
        <f>SUM(E37*155/1000)</f>
        <v>28.890449999999998</v>
      </c>
      <c r="G37" s="31">
        <v>374.95</v>
      </c>
      <c r="H37" s="32">
        <f t="shared" si="5"/>
        <v>10.832474227499999</v>
      </c>
      <c r="I37" s="33">
        <f>F37/6*G37</f>
        <v>1805.4123712499998</v>
      </c>
      <c r="J37" s="33">
        <f>F37/6*G37</f>
        <v>1805.4123712499998</v>
      </c>
      <c r="K37" s="33">
        <f>F37/6*G37</f>
        <v>1805.4123712499998</v>
      </c>
      <c r="L37" s="33">
        <f>F37/6*G37</f>
        <v>1805.4123712499998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f>F37/6*G37</f>
        <v>1805.4123712499998</v>
      </c>
      <c r="T37" s="33">
        <f>F37/6*G37</f>
        <v>1805.4123712499998</v>
      </c>
      <c r="U37" s="33">
        <f t="shared" si="6"/>
        <v>10832.474227499999</v>
      </c>
    </row>
    <row r="38" spans="1:21" ht="51" customHeight="1">
      <c r="A38" s="128" t="s">
        <v>175</v>
      </c>
      <c r="B38" s="11" t="s">
        <v>146</v>
      </c>
      <c r="C38" s="23" t="s">
        <v>29</v>
      </c>
      <c r="D38" s="11" t="s">
        <v>110</v>
      </c>
      <c r="E38" s="31">
        <v>52.2</v>
      </c>
      <c r="F38" s="46">
        <f>SUM(E38*35/1000)</f>
        <v>1.827</v>
      </c>
      <c r="G38" s="31">
        <v>6203.7</v>
      </c>
      <c r="H38" s="32">
        <f t="shared" si="5"/>
        <v>11.3341599</v>
      </c>
      <c r="I38" s="33">
        <f>F38/6*G38</f>
        <v>1889.0266499999998</v>
      </c>
      <c r="J38" s="33">
        <f>F38/6*G38</f>
        <v>1889.0266499999998</v>
      </c>
      <c r="K38" s="33">
        <f>F38/6*G38</f>
        <v>1889.0266499999998</v>
      </c>
      <c r="L38" s="33">
        <f>F38/6*G38</f>
        <v>1889.0266499999998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f>F38/6*G38</f>
        <v>1889.0266499999998</v>
      </c>
      <c r="T38" s="33">
        <f>F38/6*G38</f>
        <v>1889.0266499999998</v>
      </c>
      <c r="U38" s="33">
        <f t="shared" si="6"/>
        <v>11334.159899999999</v>
      </c>
    </row>
    <row r="39" spans="1:21" ht="12.75" customHeight="1">
      <c r="A39" s="128" t="s">
        <v>176</v>
      </c>
      <c r="B39" s="11" t="s">
        <v>147</v>
      </c>
      <c r="C39" s="23" t="s">
        <v>29</v>
      </c>
      <c r="D39" s="11" t="s">
        <v>249</v>
      </c>
      <c r="E39" s="31">
        <v>52.2</v>
      </c>
      <c r="F39" s="46">
        <f>SUM(E39*15/1000)</f>
        <v>0.78300000000000003</v>
      </c>
      <c r="G39" s="31">
        <v>458.28</v>
      </c>
      <c r="H39" s="32">
        <f t="shared" si="5"/>
        <v>0.35883324</v>
      </c>
      <c r="I39" s="33">
        <v>0</v>
      </c>
      <c r="J39" s="33">
        <v>0</v>
      </c>
      <c r="K39" s="33">
        <f>F39/2*G39</f>
        <v>179.41661999999999</v>
      </c>
      <c r="L39" s="33">
        <f>F39/2*G39</f>
        <v>179.41661999999999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f t="shared" si="6"/>
        <v>358.83323999999999</v>
      </c>
    </row>
    <row r="40" spans="1:21" s="2" customFormat="1">
      <c r="A40" s="130"/>
      <c r="B40" s="13" t="s">
        <v>148</v>
      </c>
      <c r="C40" s="47" t="s">
        <v>37</v>
      </c>
      <c r="D40" s="13"/>
      <c r="E40" s="43"/>
      <c r="F40" s="46">
        <v>0.5</v>
      </c>
      <c r="G40" s="46">
        <v>853.06</v>
      </c>
      <c r="H40" s="32">
        <f t="shared" si="5"/>
        <v>0.42652999999999996</v>
      </c>
      <c r="I40" s="48">
        <f>F40/6*G40</f>
        <v>71.088333333333324</v>
      </c>
      <c r="J40" s="48">
        <f>F40/6*G40</f>
        <v>71.088333333333324</v>
      </c>
      <c r="K40" s="48">
        <f>F40/6*G40</f>
        <v>71.088333333333324</v>
      </c>
      <c r="L40" s="48">
        <f>F40/6*G40</f>
        <v>71.088333333333324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f>F40/6*G40</f>
        <v>71.088333333333324</v>
      </c>
      <c r="T40" s="48">
        <f>F40/6*G40</f>
        <v>71.088333333333324</v>
      </c>
      <c r="U40" s="33">
        <f t="shared" si="6"/>
        <v>426.52999999999992</v>
      </c>
    </row>
    <row r="41" spans="1:21" s="19" customFormat="1">
      <c r="A41" s="129"/>
      <c r="B41" s="20" t="s">
        <v>26</v>
      </c>
      <c r="C41" s="36"/>
      <c r="D41" s="20"/>
      <c r="E41" s="37"/>
      <c r="F41" s="38" t="s">
        <v>43</v>
      </c>
      <c r="G41" s="38"/>
      <c r="H41" s="45">
        <f>SUM(H34:H40)</f>
        <v>58.103532627499995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>
        <f>SUM(U34:U40)</f>
        <v>43684.020627500002</v>
      </c>
    </row>
    <row r="42" spans="1:21">
      <c r="A42" s="128"/>
      <c r="B42" s="14" t="s">
        <v>48</v>
      </c>
      <c r="C42" s="23"/>
      <c r="D42" s="11"/>
      <c r="E42" s="30"/>
      <c r="F42" s="31"/>
      <c r="G42" s="31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>
      <c r="A43" s="128" t="s">
        <v>177</v>
      </c>
      <c r="B43" s="11" t="s">
        <v>152</v>
      </c>
      <c r="C43" s="23" t="s">
        <v>29</v>
      </c>
      <c r="D43" s="11" t="s">
        <v>49</v>
      </c>
      <c r="E43" s="30">
        <v>917.75</v>
      </c>
      <c r="F43" s="31">
        <f>SUM(E43*2/1000)</f>
        <v>1.8354999999999999</v>
      </c>
      <c r="G43" s="49">
        <v>865.61</v>
      </c>
      <c r="H43" s="32">
        <f t="shared" ref="H43:H52" si="7">SUM(F43*G43/1000)</f>
        <v>1.5888271549999999</v>
      </c>
      <c r="I43" s="33">
        <v>0</v>
      </c>
      <c r="J43" s="33">
        <v>0</v>
      </c>
      <c r="K43" s="33">
        <v>0</v>
      </c>
      <c r="L43" s="33">
        <v>0</v>
      </c>
      <c r="M43" s="33">
        <f>F43/2*G43</f>
        <v>794.41357749999997</v>
      </c>
      <c r="N43" s="33">
        <v>0</v>
      </c>
      <c r="O43" s="33">
        <v>0</v>
      </c>
      <c r="P43" s="33">
        <v>0</v>
      </c>
      <c r="Q43" s="33">
        <f>F43/2*G43</f>
        <v>794.41357749999997</v>
      </c>
      <c r="R43" s="33">
        <v>0</v>
      </c>
      <c r="S43" s="33">
        <v>0</v>
      </c>
      <c r="T43" s="33">
        <v>0</v>
      </c>
      <c r="U43" s="33">
        <f t="shared" ref="U43:U52" si="8">SUM(I43:T43)</f>
        <v>1588.8271549999999</v>
      </c>
    </row>
    <row r="44" spans="1:21">
      <c r="A44" s="128" t="s">
        <v>178</v>
      </c>
      <c r="B44" s="11" t="s">
        <v>50</v>
      </c>
      <c r="C44" s="23" t="s">
        <v>29</v>
      </c>
      <c r="D44" s="11" t="s">
        <v>49</v>
      </c>
      <c r="E44" s="30">
        <v>48</v>
      </c>
      <c r="F44" s="31">
        <f>E44*2/1000</f>
        <v>9.6000000000000002E-2</v>
      </c>
      <c r="G44" s="49">
        <v>619.46</v>
      </c>
      <c r="H44" s="32">
        <f t="shared" si="7"/>
        <v>5.9468160000000006E-2</v>
      </c>
      <c r="I44" s="33">
        <v>0</v>
      </c>
      <c r="J44" s="33">
        <v>0</v>
      </c>
      <c r="K44" s="33">
        <v>0</v>
      </c>
      <c r="L44" s="33">
        <v>0</v>
      </c>
      <c r="M44" s="33">
        <f t="shared" ref="M44:M47" si="9">F44/2*G44</f>
        <v>29.734080000000002</v>
      </c>
      <c r="N44" s="33">
        <v>0</v>
      </c>
      <c r="O44" s="33">
        <v>0</v>
      </c>
      <c r="P44" s="33">
        <v>0</v>
      </c>
      <c r="Q44" s="33">
        <f>F44/2*G44</f>
        <v>29.734080000000002</v>
      </c>
      <c r="R44" s="33">
        <v>0</v>
      </c>
      <c r="S44" s="33">
        <v>0</v>
      </c>
      <c r="T44" s="33">
        <v>0</v>
      </c>
      <c r="U44" s="33">
        <f t="shared" si="8"/>
        <v>59.468160000000005</v>
      </c>
    </row>
    <row r="45" spans="1:21" ht="12.75" customHeight="1">
      <c r="A45" s="128" t="s">
        <v>179</v>
      </c>
      <c r="B45" s="11" t="s">
        <v>51</v>
      </c>
      <c r="C45" s="23" t="s">
        <v>29</v>
      </c>
      <c r="D45" s="11" t="s">
        <v>49</v>
      </c>
      <c r="E45" s="30">
        <v>937.4</v>
      </c>
      <c r="F45" s="31">
        <f>SUM(E45*2/1000)</f>
        <v>1.8748</v>
      </c>
      <c r="G45" s="49">
        <v>619.46</v>
      </c>
      <c r="H45" s="32">
        <f t="shared" si="7"/>
        <v>1.161363608</v>
      </c>
      <c r="I45" s="33">
        <v>0</v>
      </c>
      <c r="J45" s="33">
        <v>0</v>
      </c>
      <c r="K45" s="33">
        <v>0</v>
      </c>
      <c r="L45" s="33">
        <v>0</v>
      </c>
      <c r="M45" s="33">
        <f t="shared" si="9"/>
        <v>580.68180400000006</v>
      </c>
      <c r="N45" s="33">
        <v>0</v>
      </c>
      <c r="O45" s="33">
        <v>0</v>
      </c>
      <c r="P45" s="33">
        <v>0</v>
      </c>
      <c r="Q45" s="33">
        <f>F45/2*G45</f>
        <v>580.68180400000006</v>
      </c>
      <c r="R45" s="33">
        <v>0</v>
      </c>
      <c r="S45" s="33">
        <v>0</v>
      </c>
      <c r="T45" s="33">
        <v>0</v>
      </c>
      <c r="U45" s="33">
        <f t="shared" si="8"/>
        <v>1161.3636080000001</v>
      </c>
    </row>
    <row r="46" spans="1:21">
      <c r="A46" s="128" t="s">
        <v>180</v>
      </c>
      <c r="B46" s="11" t="s">
        <v>52</v>
      </c>
      <c r="C46" s="23" t="s">
        <v>29</v>
      </c>
      <c r="D46" s="11" t="s">
        <v>49</v>
      </c>
      <c r="E46" s="30">
        <v>1243.28</v>
      </c>
      <c r="F46" s="31">
        <f>SUM(E46*2/1000)</f>
        <v>2.4865599999999999</v>
      </c>
      <c r="G46" s="49">
        <v>648.64</v>
      </c>
      <c r="H46" s="32">
        <f t="shared" si="7"/>
        <v>1.6128822783999999</v>
      </c>
      <c r="I46" s="33">
        <v>0</v>
      </c>
      <c r="J46" s="33">
        <v>0</v>
      </c>
      <c r="K46" s="33">
        <v>0</v>
      </c>
      <c r="L46" s="33">
        <v>0</v>
      </c>
      <c r="M46" s="33">
        <f t="shared" si="9"/>
        <v>806.44113919999995</v>
      </c>
      <c r="N46" s="33">
        <v>0</v>
      </c>
      <c r="O46" s="33">
        <v>0</v>
      </c>
      <c r="P46" s="33">
        <v>0</v>
      </c>
      <c r="Q46" s="33">
        <f>F46/2*G46</f>
        <v>806.44113919999995</v>
      </c>
      <c r="R46" s="33">
        <v>0</v>
      </c>
      <c r="S46" s="33">
        <v>0</v>
      </c>
      <c r="T46" s="33">
        <v>0</v>
      </c>
      <c r="U46" s="33">
        <f t="shared" si="8"/>
        <v>1612.8822783999999</v>
      </c>
    </row>
    <row r="47" spans="1:21">
      <c r="A47" s="128" t="s">
        <v>181</v>
      </c>
      <c r="B47" s="11" t="s">
        <v>104</v>
      </c>
      <c r="C47" s="23" t="s">
        <v>105</v>
      </c>
      <c r="D47" s="11" t="s">
        <v>49</v>
      </c>
      <c r="E47" s="30">
        <v>64.5</v>
      </c>
      <c r="F47" s="31">
        <f>SUM(E47*2/100)</f>
        <v>1.29</v>
      </c>
      <c r="G47" s="49">
        <v>77.84</v>
      </c>
      <c r="H47" s="32">
        <f t="shared" si="7"/>
        <v>0.10041360000000001</v>
      </c>
      <c r="I47" s="33">
        <v>0</v>
      </c>
      <c r="J47" s="33">
        <v>0</v>
      </c>
      <c r="K47" s="33">
        <v>0</v>
      </c>
      <c r="L47" s="33">
        <v>0</v>
      </c>
      <c r="M47" s="33">
        <f t="shared" si="9"/>
        <v>50.206800000000001</v>
      </c>
      <c r="N47" s="33">
        <v>0</v>
      </c>
      <c r="O47" s="33">
        <v>0</v>
      </c>
      <c r="P47" s="33">
        <v>0</v>
      </c>
      <c r="Q47" s="33">
        <f>F47/2*G47</f>
        <v>50.206800000000001</v>
      </c>
      <c r="R47" s="33">
        <v>0</v>
      </c>
      <c r="S47" s="33">
        <v>0</v>
      </c>
      <c r="T47" s="33">
        <v>0</v>
      </c>
      <c r="U47" s="33">
        <f t="shared" si="8"/>
        <v>100.4136</v>
      </c>
    </row>
    <row r="48" spans="1:21" ht="25.5">
      <c r="A48" s="128" t="s">
        <v>182</v>
      </c>
      <c r="B48" s="11" t="s">
        <v>53</v>
      </c>
      <c r="C48" s="23" t="s">
        <v>29</v>
      </c>
      <c r="D48" s="11" t="s">
        <v>54</v>
      </c>
      <c r="E48" s="30">
        <v>678.4</v>
      </c>
      <c r="F48" s="31">
        <f>SUM(E48*5/1000)</f>
        <v>3.3919999999999999</v>
      </c>
      <c r="G48" s="49">
        <v>1297.28</v>
      </c>
      <c r="H48" s="32">
        <f t="shared" si="7"/>
        <v>4.4003737599999999</v>
      </c>
      <c r="I48" s="33">
        <f>F48/5*G48</f>
        <v>880.07475199999999</v>
      </c>
      <c r="J48" s="33">
        <f>F48/5*G48</f>
        <v>880.07475199999999</v>
      </c>
      <c r="K48" s="33">
        <v>0</v>
      </c>
      <c r="L48" s="33">
        <v>0</v>
      </c>
      <c r="M48" s="33">
        <f>F48/5*G48</f>
        <v>880.07475199999999</v>
      </c>
      <c r="N48" s="33">
        <v>0</v>
      </c>
      <c r="O48" s="33">
        <v>0</v>
      </c>
      <c r="P48" s="33">
        <v>0</v>
      </c>
      <c r="Q48" s="33">
        <f>F48/5*G48</f>
        <v>880.07475199999999</v>
      </c>
      <c r="R48" s="33">
        <v>0</v>
      </c>
      <c r="S48" s="33">
        <v>0</v>
      </c>
      <c r="T48" s="33">
        <f>F48/5*G48</f>
        <v>880.07475199999999</v>
      </c>
      <c r="U48" s="33">
        <f t="shared" si="8"/>
        <v>4400.3737600000004</v>
      </c>
    </row>
    <row r="49" spans="1:21" ht="38.25" customHeight="1">
      <c r="A49" s="128" t="s">
        <v>183</v>
      </c>
      <c r="B49" s="11" t="s">
        <v>55</v>
      </c>
      <c r="C49" s="23" t="s">
        <v>29</v>
      </c>
      <c r="D49" s="11" t="s">
        <v>49</v>
      </c>
      <c r="E49" s="30">
        <v>678.4</v>
      </c>
      <c r="F49" s="31">
        <f>SUM(E49*2/1000)</f>
        <v>1.3568</v>
      </c>
      <c r="G49" s="49">
        <v>1297.28</v>
      </c>
      <c r="H49" s="32">
        <f t="shared" si="7"/>
        <v>1.7601495039999999</v>
      </c>
      <c r="I49" s="33">
        <v>0</v>
      </c>
      <c r="J49" s="33">
        <v>0</v>
      </c>
      <c r="K49" s="33">
        <v>0</v>
      </c>
      <c r="L49" s="33">
        <f>F49/2*G49</f>
        <v>880.07475199999999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f>F49/2*G49</f>
        <v>880.07475199999999</v>
      </c>
      <c r="T49" s="33">
        <v>0</v>
      </c>
      <c r="U49" s="33">
        <f t="shared" si="8"/>
        <v>1760.149504</v>
      </c>
    </row>
    <row r="50" spans="1:21" ht="25.5" customHeight="1">
      <c r="A50" s="128" t="s">
        <v>184</v>
      </c>
      <c r="B50" s="11" t="s">
        <v>56</v>
      </c>
      <c r="C50" s="23" t="s">
        <v>57</v>
      </c>
      <c r="D50" s="11" t="s">
        <v>49</v>
      </c>
      <c r="E50" s="30">
        <v>12</v>
      </c>
      <c r="F50" s="31">
        <f>SUM(E50*2/100)</f>
        <v>0.24</v>
      </c>
      <c r="G50" s="49">
        <v>2918.89</v>
      </c>
      <c r="H50" s="32">
        <f t="shared" si="7"/>
        <v>0.70053359999999998</v>
      </c>
      <c r="I50" s="33">
        <v>0</v>
      </c>
      <c r="J50" s="33">
        <v>0</v>
      </c>
      <c r="K50" s="33">
        <v>0</v>
      </c>
      <c r="L50" s="33">
        <f>F50/2*G50</f>
        <v>350.26679999999999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f>F50/2*G50</f>
        <v>350.26679999999999</v>
      </c>
      <c r="T50" s="33">
        <v>0</v>
      </c>
      <c r="U50" s="33">
        <f t="shared" si="8"/>
        <v>700.53359999999998</v>
      </c>
    </row>
    <row r="51" spans="1:21">
      <c r="A51" s="128" t="s">
        <v>185</v>
      </c>
      <c r="B51" s="11" t="s">
        <v>58</v>
      </c>
      <c r="C51" s="23" t="s">
        <v>59</v>
      </c>
      <c r="D51" s="11" t="s">
        <v>49</v>
      </c>
      <c r="E51" s="30">
        <v>1</v>
      </c>
      <c r="F51" s="31">
        <v>0.02</v>
      </c>
      <c r="G51" s="49">
        <v>6042.12</v>
      </c>
      <c r="H51" s="32">
        <f t="shared" si="7"/>
        <v>0.1208424</v>
      </c>
      <c r="I51" s="33">
        <v>0</v>
      </c>
      <c r="J51" s="33">
        <v>0</v>
      </c>
      <c r="K51" s="33">
        <f>F51/2*G51</f>
        <v>60.421199999999999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f>F51/2*G51</f>
        <v>60.421199999999999</v>
      </c>
      <c r="T51" s="33">
        <v>0</v>
      </c>
      <c r="U51" s="33">
        <f t="shared" si="8"/>
        <v>120.8424</v>
      </c>
    </row>
    <row r="52" spans="1:21" ht="13.5" customHeight="1">
      <c r="A52" s="128" t="s">
        <v>61</v>
      </c>
      <c r="B52" s="11" t="s">
        <v>62</v>
      </c>
      <c r="C52" s="23" t="s">
        <v>60</v>
      </c>
      <c r="D52" s="11" t="s">
        <v>98</v>
      </c>
      <c r="E52" s="30">
        <v>72</v>
      </c>
      <c r="F52" s="31">
        <f>SUM(E52)*3</f>
        <v>216</v>
      </c>
      <c r="G52" s="50">
        <v>70.209999999999994</v>
      </c>
      <c r="H52" s="32">
        <f t="shared" si="7"/>
        <v>15.165359999999998</v>
      </c>
      <c r="I52" s="33">
        <f>E52*G52</f>
        <v>5055.12</v>
      </c>
      <c r="J52" s="33">
        <v>0</v>
      </c>
      <c r="K52" s="33">
        <v>0</v>
      </c>
      <c r="L52" s="33">
        <v>0</v>
      </c>
      <c r="M52" s="33">
        <f>E52*G52</f>
        <v>5055.12</v>
      </c>
      <c r="N52" s="33">
        <v>0</v>
      </c>
      <c r="O52" s="33">
        <f>0</f>
        <v>0</v>
      </c>
      <c r="P52" s="33">
        <v>0</v>
      </c>
      <c r="Q52" s="33">
        <f>E52*G52</f>
        <v>5055.12</v>
      </c>
      <c r="R52" s="33">
        <v>0</v>
      </c>
      <c r="S52" s="33">
        <v>0</v>
      </c>
      <c r="T52" s="33">
        <v>0</v>
      </c>
      <c r="U52" s="33">
        <f t="shared" si="8"/>
        <v>15165.36</v>
      </c>
    </row>
    <row r="53" spans="1:21" s="21" customFormat="1">
      <c r="A53" s="129"/>
      <c r="B53" s="20" t="s">
        <v>26</v>
      </c>
      <c r="C53" s="51"/>
      <c r="D53" s="20"/>
      <c r="E53" s="52"/>
      <c r="F53" s="53"/>
      <c r="G53" s="53"/>
      <c r="H53" s="45">
        <f>SUM(H43:H52)</f>
        <v>26.670214065399996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>
        <f>SUM(U43:U52)</f>
        <v>26670.2140654</v>
      </c>
    </row>
    <row r="54" spans="1:21">
      <c r="A54" s="128"/>
      <c r="B54" s="12" t="s">
        <v>63</v>
      </c>
      <c r="C54" s="23"/>
      <c r="D54" s="11"/>
      <c r="E54" s="30"/>
      <c r="F54" s="31"/>
      <c r="G54" s="31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1" ht="38.25" customHeight="1">
      <c r="A55" s="128" t="s">
        <v>186</v>
      </c>
      <c r="B55" s="11" t="s">
        <v>149</v>
      </c>
      <c r="C55" s="23" t="s">
        <v>13</v>
      </c>
      <c r="D55" s="11" t="s">
        <v>64</v>
      </c>
      <c r="E55" s="30">
        <v>110.66</v>
      </c>
      <c r="F55" s="31">
        <f>SUM(E55*6/100)</f>
        <v>6.6396000000000006</v>
      </c>
      <c r="G55" s="49">
        <v>1654.04</v>
      </c>
      <c r="H55" s="32">
        <f>SUM(F55*G55/1000)</f>
        <v>10.982163984000001</v>
      </c>
      <c r="I55" s="33">
        <f>F55/6*G55</f>
        <v>1830.360664</v>
      </c>
      <c r="J55" s="33">
        <f>F55/6*G55</f>
        <v>1830.360664</v>
      </c>
      <c r="K55" s="33">
        <f>F55/6*G55</f>
        <v>1830.360664</v>
      </c>
      <c r="L55" s="33">
        <f>F55/6*G55</f>
        <v>1830.360664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f>F55/6*G55</f>
        <v>1830.360664</v>
      </c>
      <c r="T55" s="33">
        <f>F55/6*G55</f>
        <v>1830.360664</v>
      </c>
      <c r="U55" s="33">
        <f t="shared" ref="U55:U75" si="10">SUM(I55:T55)</f>
        <v>10982.163984000001</v>
      </c>
    </row>
    <row r="56" spans="1:21">
      <c r="A56" s="131"/>
      <c r="B56" s="15" t="s">
        <v>66</v>
      </c>
      <c r="C56" s="55"/>
      <c r="D56" s="56"/>
      <c r="E56" s="57"/>
      <c r="F56" s="58"/>
      <c r="G56" s="58"/>
      <c r="H56" s="59" t="s">
        <v>43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1" ht="12.75" customHeight="1">
      <c r="A57" s="60" t="s">
        <v>187</v>
      </c>
      <c r="B57" s="16" t="s">
        <v>67</v>
      </c>
      <c r="C57" s="60" t="s">
        <v>60</v>
      </c>
      <c r="D57" s="9" t="s">
        <v>39</v>
      </c>
      <c r="E57" s="61">
        <v>8</v>
      </c>
      <c r="F57" s="31">
        <v>8</v>
      </c>
      <c r="G57" s="49">
        <v>237.74</v>
      </c>
      <c r="H57" s="62">
        <f t="shared" ref="H57:H70" si="11">SUM(F57*G57/1000)</f>
        <v>1.9019200000000001</v>
      </c>
      <c r="I57" s="33">
        <f>G57</f>
        <v>237.74</v>
      </c>
      <c r="J57" s="33">
        <v>0</v>
      </c>
      <c r="K57" s="33">
        <v>0</v>
      </c>
      <c r="L57" s="33">
        <f>G57</f>
        <v>237.74</v>
      </c>
      <c r="M57" s="33">
        <v>0</v>
      </c>
      <c r="N57" s="33">
        <f>G57</f>
        <v>237.74</v>
      </c>
      <c r="O57" s="33">
        <v>0</v>
      </c>
      <c r="P57" s="33">
        <v>0</v>
      </c>
      <c r="Q57" s="33">
        <f>G57</f>
        <v>237.74</v>
      </c>
      <c r="R57" s="33">
        <f>G57*2</f>
        <v>475.48</v>
      </c>
      <c r="S57" s="33">
        <v>0</v>
      </c>
      <c r="T57" s="33">
        <v>0</v>
      </c>
      <c r="U57" s="33">
        <f t="shared" si="10"/>
        <v>1426.44</v>
      </c>
    </row>
    <row r="58" spans="1:21" ht="12.75" customHeight="1">
      <c r="A58" s="60" t="s">
        <v>188</v>
      </c>
      <c r="B58" s="16" t="s">
        <v>68</v>
      </c>
      <c r="C58" s="60" t="s">
        <v>60</v>
      </c>
      <c r="D58" s="9" t="s">
        <v>39</v>
      </c>
      <c r="E58" s="61">
        <v>3</v>
      </c>
      <c r="F58" s="31">
        <v>3</v>
      </c>
      <c r="G58" s="49">
        <v>81.510000000000005</v>
      </c>
      <c r="H58" s="62">
        <f t="shared" si="11"/>
        <v>0.24453000000000003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f t="shared" si="10"/>
        <v>0</v>
      </c>
    </row>
    <row r="59" spans="1:21" s="2" customFormat="1">
      <c r="A59" s="63" t="s">
        <v>189</v>
      </c>
      <c r="B59" s="16" t="s">
        <v>69</v>
      </c>
      <c r="C59" s="63" t="s">
        <v>70</v>
      </c>
      <c r="D59" s="9" t="s">
        <v>32</v>
      </c>
      <c r="E59" s="30">
        <v>8539</v>
      </c>
      <c r="F59" s="50">
        <f>SUM(E59/100)</f>
        <v>85.39</v>
      </c>
      <c r="G59" s="49">
        <v>226.79</v>
      </c>
      <c r="H59" s="62">
        <f t="shared" si="11"/>
        <v>19.3655981</v>
      </c>
      <c r="I59" s="48">
        <v>0</v>
      </c>
      <c r="J59" s="48">
        <v>0</v>
      </c>
      <c r="K59" s="48">
        <v>0</v>
      </c>
      <c r="L59" s="48">
        <v>0</v>
      </c>
      <c r="M59" s="48">
        <f>F59*G59</f>
        <v>19365.598099999999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33">
        <f t="shared" si="10"/>
        <v>19365.598099999999</v>
      </c>
    </row>
    <row r="60" spans="1:21" ht="12.75" customHeight="1">
      <c r="A60" s="60" t="s">
        <v>190</v>
      </c>
      <c r="B60" s="16" t="s">
        <v>71</v>
      </c>
      <c r="C60" s="60" t="s">
        <v>72</v>
      </c>
      <c r="D60" s="9"/>
      <c r="E60" s="30">
        <v>8539</v>
      </c>
      <c r="F60" s="49">
        <f>SUM(E60/1000)</f>
        <v>8.5389999999999997</v>
      </c>
      <c r="G60" s="49">
        <v>176.61</v>
      </c>
      <c r="H60" s="62">
        <f t="shared" si="11"/>
        <v>1.5080727900000002</v>
      </c>
      <c r="I60" s="33">
        <v>0</v>
      </c>
      <c r="J60" s="33">
        <v>0</v>
      </c>
      <c r="K60" s="33">
        <v>0</v>
      </c>
      <c r="L60" s="33">
        <v>0</v>
      </c>
      <c r="M60" s="33">
        <f>F60*G60</f>
        <v>1508.0727900000002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f t="shared" si="10"/>
        <v>1508.0727900000002</v>
      </c>
    </row>
    <row r="61" spans="1:21">
      <c r="A61" s="60" t="s">
        <v>191</v>
      </c>
      <c r="B61" s="16" t="s">
        <v>73</v>
      </c>
      <c r="C61" s="60" t="s">
        <v>74</v>
      </c>
      <c r="D61" s="9" t="s">
        <v>32</v>
      </c>
      <c r="E61" s="30">
        <v>1370</v>
      </c>
      <c r="F61" s="49">
        <f>SUM(E61/100)</f>
        <v>13.7</v>
      </c>
      <c r="G61" s="49">
        <v>2217.7800000000002</v>
      </c>
      <c r="H61" s="62">
        <f t="shared" si="11"/>
        <v>30.383586000000005</v>
      </c>
      <c r="I61" s="33">
        <v>0</v>
      </c>
      <c r="J61" s="33">
        <v>0</v>
      </c>
      <c r="K61" s="33">
        <v>0</v>
      </c>
      <c r="L61" s="33">
        <v>0</v>
      </c>
      <c r="M61" s="33">
        <f>F61*G61</f>
        <v>30383.586000000003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f t="shared" si="10"/>
        <v>30383.586000000003</v>
      </c>
    </row>
    <row r="62" spans="1:21">
      <c r="A62" s="60"/>
      <c r="B62" s="17" t="s">
        <v>100</v>
      </c>
      <c r="C62" s="60" t="s">
        <v>37</v>
      </c>
      <c r="D62" s="9"/>
      <c r="E62" s="30">
        <v>9</v>
      </c>
      <c r="F62" s="49">
        <f>SUM(E62)</f>
        <v>9</v>
      </c>
      <c r="G62" s="49">
        <v>42.67</v>
      </c>
      <c r="H62" s="62">
        <f t="shared" si="11"/>
        <v>0.38403000000000004</v>
      </c>
      <c r="I62" s="33">
        <v>0</v>
      </c>
      <c r="J62" s="33">
        <v>0</v>
      </c>
      <c r="K62" s="33">
        <v>0</v>
      </c>
      <c r="L62" s="33">
        <v>0</v>
      </c>
      <c r="M62" s="33">
        <f>F62*G62</f>
        <v>384.03000000000003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f t="shared" si="10"/>
        <v>384.03000000000003</v>
      </c>
    </row>
    <row r="63" spans="1:21" ht="12.75" customHeight="1">
      <c r="A63" s="132"/>
      <c r="B63" s="17" t="s">
        <v>101</v>
      </c>
      <c r="C63" s="60" t="s">
        <v>37</v>
      </c>
      <c r="D63" s="9"/>
      <c r="E63" s="30">
        <v>9</v>
      </c>
      <c r="F63" s="49">
        <f>SUM(E63)</f>
        <v>9</v>
      </c>
      <c r="G63" s="49">
        <v>39.81</v>
      </c>
      <c r="H63" s="62">
        <f t="shared" si="11"/>
        <v>0.35829</v>
      </c>
      <c r="I63" s="33">
        <v>0</v>
      </c>
      <c r="J63" s="33">
        <v>0</v>
      </c>
      <c r="K63" s="33">
        <v>0</v>
      </c>
      <c r="L63" s="33">
        <v>0</v>
      </c>
      <c r="M63" s="33">
        <f>F63*G63</f>
        <v>358.29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f t="shared" si="10"/>
        <v>358.29</v>
      </c>
    </row>
    <row r="64" spans="1:21">
      <c r="A64" s="60" t="s">
        <v>192</v>
      </c>
      <c r="B64" s="9" t="s">
        <v>75</v>
      </c>
      <c r="C64" s="60" t="s">
        <v>76</v>
      </c>
      <c r="D64" s="9" t="s">
        <v>32</v>
      </c>
      <c r="E64" s="61">
        <v>3</v>
      </c>
      <c r="F64" s="31">
        <v>3</v>
      </c>
      <c r="G64" s="49">
        <v>53.62</v>
      </c>
      <c r="H64" s="62">
        <f t="shared" si="11"/>
        <v>0.16085999999999998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f>G64*3</f>
        <v>160.85999999999999</v>
      </c>
      <c r="R64" s="33">
        <v>0</v>
      </c>
      <c r="S64" s="33">
        <v>0</v>
      </c>
      <c r="T64" s="33">
        <v>0</v>
      </c>
      <c r="U64" s="33">
        <f t="shared" si="10"/>
        <v>160.85999999999999</v>
      </c>
    </row>
    <row r="65" spans="1:21">
      <c r="A65" s="132"/>
      <c r="B65" s="18" t="s">
        <v>77</v>
      </c>
      <c r="C65" s="60"/>
      <c r="D65" s="9"/>
      <c r="E65" s="61"/>
      <c r="F65" s="49"/>
      <c r="G65" s="49"/>
      <c r="H65" s="62" t="s">
        <v>43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1:21">
      <c r="A66" s="60" t="s">
        <v>193</v>
      </c>
      <c r="B66" s="9" t="s">
        <v>78</v>
      </c>
      <c r="C66" s="60" t="s">
        <v>79</v>
      </c>
      <c r="D66" s="9"/>
      <c r="E66" s="61">
        <v>2</v>
      </c>
      <c r="F66" s="49">
        <v>0.2</v>
      </c>
      <c r="G66" s="49">
        <v>536.23</v>
      </c>
      <c r="H66" s="62">
        <f t="shared" si="11"/>
        <v>0.10724600000000001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f>G66*0.3</f>
        <v>160.869</v>
      </c>
      <c r="O66" s="33">
        <v>0</v>
      </c>
      <c r="P66" s="33">
        <v>0</v>
      </c>
      <c r="Q66" s="33">
        <v>0</v>
      </c>
      <c r="R66" s="33">
        <v>0</v>
      </c>
      <c r="S66" s="33">
        <f>G66*0.2</f>
        <v>107.24600000000001</v>
      </c>
      <c r="T66" s="33">
        <v>0</v>
      </c>
      <c r="U66" s="33">
        <f t="shared" si="10"/>
        <v>268.11500000000001</v>
      </c>
    </row>
    <row r="67" spans="1:21">
      <c r="A67" s="60" t="s">
        <v>194</v>
      </c>
      <c r="B67" s="9" t="s">
        <v>102</v>
      </c>
      <c r="C67" s="60" t="s">
        <v>34</v>
      </c>
      <c r="D67" s="9"/>
      <c r="E67" s="61">
        <v>1</v>
      </c>
      <c r="F67" s="65">
        <v>1</v>
      </c>
      <c r="G67" s="49">
        <v>911.85</v>
      </c>
      <c r="H67" s="62">
        <f>F67*G67/1000</f>
        <v>0.91185000000000005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f t="shared" si="10"/>
        <v>0</v>
      </c>
    </row>
    <row r="68" spans="1:21">
      <c r="A68" s="60" t="s">
        <v>195</v>
      </c>
      <c r="B68" s="9" t="s">
        <v>106</v>
      </c>
      <c r="C68" s="60" t="s">
        <v>34</v>
      </c>
      <c r="D68" s="9"/>
      <c r="E68" s="61">
        <v>1</v>
      </c>
      <c r="F68" s="49">
        <v>1</v>
      </c>
      <c r="G68" s="49">
        <v>383.25</v>
      </c>
      <c r="H68" s="62">
        <f>G68*F68/1000</f>
        <v>0.38324999999999998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f t="shared" si="10"/>
        <v>0</v>
      </c>
    </row>
    <row r="69" spans="1:21">
      <c r="A69" s="132"/>
      <c r="B69" s="66" t="s">
        <v>80</v>
      </c>
      <c r="C69" s="60"/>
      <c r="D69" s="9"/>
      <c r="E69" s="61"/>
      <c r="F69" s="49"/>
      <c r="G69" s="49" t="s">
        <v>43</v>
      </c>
      <c r="H69" s="62" t="s">
        <v>43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1:21" s="2" customFormat="1">
      <c r="A70" s="63" t="s">
        <v>81</v>
      </c>
      <c r="B70" s="67" t="s">
        <v>82</v>
      </c>
      <c r="C70" s="63" t="s">
        <v>74</v>
      </c>
      <c r="D70" s="16"/>
      <c r="E70" s="68"/>
      <c r="F70" s="50">
        <v>1.35</v>
      </c>
      <c r="G70" s="50">
        <v>2949.85</v>
      </c>
      <c r="H70" s="62">
        <f t="shared" si="11"/>
        <v>3.9822975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33">
        <f t="shared" si="10"/>
        <v>0</v>
      </c>
    </row>
    <row r="71" spans="1:21" s="21" customFormat="1">
      <c r="A71" s="133"/>
      <c r="B71" s="20" t="s">
        <v>26</v>
      </c>
      <c r="C71" s="69"/>
      <c r="D71" s="70"/>
      <c r="E71" s="71"/>
      <c r="F71" s="54"/>
      <c r="G71" s="54"/>
      <c r="H71" s="72">
        <f>SUM(H55:H70)</f>
        <v>70.673694374000007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>
        <f>SUM(U55:U70)</f>
        <v>64837.155874000004</v>
      </c>
    </row>
    <row r="72" spans="1:21">
      <c r="A72" s="134" t="s">
        <v>127</v>
      </c>
      <c r="B72" s="11" t="s">
        <v>128</v>
      </c>
      <c r="C72" s="74"/>
      <c r="D72" s="75"/>
      <c r="E72" s="122"/>
      <c r="F72" s="76">
        <v>1</v>
      </c>
      <c r="G72" s="77">
        <v>7669.4</v>
      </c>
      <c r="H72" s="62">
        <f>G72*F72/1000</f>
        <v>7.6693999999999996</v>
      </c>
      <c r="I72" s="33">
        <f>G72</f>
        <v>7669.4</v>
      </c>
      <c r="J72" s="33">
        <v>0</v>
      </c>
      <c r="K72" s="33">
        <v>0</v>
      </c>
      <c r="L72" s="33">
        <v>0</v>
      </c>
      <c r="M72" s="34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f t="shared" si="10"/>
        <v>7669.4</v>
      </c>
    </row>
    <row r="73" spans="1:21" ht="12.75" customHeight="1">
      <c r="A73" s="60"/>
      <c r="B73" s="73" t="s">
        <v>83</v>
      </c>
      <c r="C73" s="60" t="s">
        <v>84</v>
      </c>
      <c r="D73" s="78"/>
      <c r="E73" s="49">
        <v>2054.6</v>
      </c>
      <c r="F73" s="49">
        <f>SUM(E73*12)</f>
        <v>24655.199999999997</v>
      </c>
      <c r="G73" s="79">
        <v>2.2400000000000002</v>
      </c>
      <c r="H73" s="62">
        <f>SUM(F73*G73/1000)</f>
        <v>55.227648000000002</v>
      </c>
      <c r="I73" s="33">
        <f>F73/12*G73</f>
        <v>4602.3040000000001</v>
      </c>
      <c r="J73" s="33">
        <f>F73/12*G73</f>
        <v>4602.3040000000001</v>
      </c>
      <c r="K73" s="33">
        <f>F73/12*G73</f>
        <v>4602.3040000000001</v>
      </c>
      <c r="L73" s="33">
        <f>F73/12*G73</f>
        <v>4602.3040000000001</v>
      </c>
      <c r="M73" s="33">
        <f>F73/12*G73</f>
        <v>4602.3040000000001</v>
      </c>
      <c r="N73" s="33">
        <f>F73/12*G73</f>
        <v>4602.3040000000001</v>
      </c>
      <c r="O73" s="33">
        <f>F73/12*G73</f>
        <v>4602.3040000000001</v>
      </c>
      <c r="P73" s="33">
        <f>F73/12*G73</f>
        <v>4602.3040000000001</v>
      </c>
      <c r="Q73" s="33">
        <f>F73/12*G73</f>
        <v>4602.3040000000001</v>
      </c>
      <c r="R73" s="33">
        <f>F73/12*G73</f>
        <v>4602.3040000000001</v>
      </c>
      <c r="S73" s="33">
        <f>F73/12*G73</f>
        <v>4602.3040000000001</v>
      </c>
      <c r="T73" s="33">
        <f>F73/12*G73</f>
        <v>4602.3040000000001</v>
      </c>
      <c r="U73" s="33">
        <f t="shared" si="10"/>
        <v>55227.648000000016</v>
      </c>
    </row>
    <row r="74" spans="1:21" s="19" customFormat="1">
      <c r="A74" s="80"/>
      <c r="B74" s="20" t="s">
        <v>26</v>
      </c>
      <c r="C74" s="81"/>
      <c r="D74" s="82"/>
      <c r="E74" s="83"/>
      <c r="F74" s="40"/>
      <c r="G74" s="84"/>
      <c r="H74" s="41">
        <f>SUM(H72:H73)</f>
        <v>62.897047999999998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>
        <f>SUM(U72:U73)</f>
        <v>62897.048000000017</v>
      </c>
    </row>
    <row r="75" spans="1:21" ht="25.5" customHeight="1">
      <c r="A75" s="132"/>
      <c r="B75" s="9" t="s">
        <v>85</v>
      </c>
      <c r="C75" s="60"/>
      <c r="D75" s="85"/>
      <c r="E75" s="30">
        <f>E73</f>
        <v>2054.6</v>
      </c>
      <c r="F75" s="49">
        <f>E75*12</f>
        <v>24655.199999999997</v>
      </c>
      <c r="G75" s="49">
        <v>1.74</v>
      </c>
      <c r="H75" s="62">
        <f>F75*G75/1000</f>
        <v>42.900047999999998</v>
      </c>
      <c r="I75" s="33">
        <f>F75/12*G75</f>
        <v>3575.0039999999999</v>
      </c>
      <c r="J75" s="33">
        <f>F75/12*G75</f>
        <v>3575.0039999999999</v>
      </c>
      <c r="K75" s="33">
        <f>F75/12*G75</f>
        <v>3575.0039999999999</v>
      </c>
      <c r="L75" s="33">
        <f>F75/12*G75</f>
        <v>3575.0039999999999</v>
      </c>
      <c r="M75" s="33">
        <f>F75/12*G75</f>
        <v>3575.0039999999999</v>
      </c>
      <c r="N75" s="33">
        <f>F75/12*G75</f>
        <v>3575.0039999999999</v>
      </c>
      <c r="O75" s="33">
        <f>F75/12*G75</f>
        <v>3575.0039999999999</v>
      </c>
      <c r="P75" s="33">
        <f>F75/12*G75</f>
        <v>3575.0039999999999</v>
      </c>
      <c r="Q75" s="33">
        <f>F75/12*G75</f>
        <v>3575.0039999999999</v>
      </c>
      <c r="R75" s="33">
        <f>F75/12*G75</f>
        <v>3575.0039999999999</v>
      </c>
      <c r="S75" s="33">
        <f>F75/12*G75</f>
        <v>3575.0039999999999</v>
      </c>
      <c r="T75" s="33">
        <f>F75/12*G75</f>
        <v>3575.0039999999999</v>
      </c>
      <c r="U75" s="33">
        <f t="shared" si="10"/>
        <v>42900.048000000003</v>
      </c>
    </row>
    <row r="76" spans="1:21" s="19" customFormat="1">
      <c r="A76" s="80"/>
      <c r="B76" s="86" t="s">
        <v>86</v>
      </c>
      <c r="C76" s="87"/>
      <c r="D76" s="86"/>
      <c r="E76" s="40"/>
      <c r="F76" s="40"/>
      <c r="G76" s="40"/>
      <c r="H76" s="72">
        <f>H75</f>
        <v>42.900047999999998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118">
        <f>U75</f>
        <v>42900.048000000003</v>
      </c>
    </row>
    <row r="77" spans="1:21" s="19" customFormat="1">
      <c r="A77" s="80"/>
      <c r="B77" s="86" t="s">
        <v>87</v>
      </c>
      <c r="C77" s="88"/>
      <c r="D77" s="89"/>
      <c r="E77" s="90"/>
      <c r="F77" s="90"/>
      <c r="G77" s="90"/>
      <c r="H77" s="72">
        <f>SUM(H76+H74+H71+H53+H41+H32+H22)</f>
        <v>513.34199408239988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118">
        <f>SUM(U76+U74+U71+U53+U41+U32+U22)</f>
        <v>491167.46938239998</v>
      </c>
    </row>
    <row r="78" spans="1:21">
      <c r="A78" s="132"/>
      <c r="B78" s="85" t="s">
        <v>88</v>
      </c>
      <c r="C78" s="60"/>
      <c r="D78" s="85"/>
      <c r="E78" s="49"/>
      <c r="F78" s="49"/>
      <c r="G78" s="49" t="s">
        <v>89</v>
      </c>
      <c r="H78" s="91">
        <f>E75</f>
        <v>2054.6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1" s="19" customFormat="1">
      <c r="A79" s="80"/>
      <c r="B79" s="89" t="s">
        <v>90</v>
      </c>
      <c r="C79" s="88"/>
      <c r="D79" s="89"/>
      <c r="E79" s="90"/>
      <c r="F79" s="90"/>
      <c r="G79" s="90"/>
      <c r="H79" s="92">
        <f>SUM(H77/H78/12*1000)</f>
        <v>20.820840799604138</v>
      </c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119"/>
    </row>
    <row r="80" spans="1:21">
      <c r="A80" s="93"/>
      <c r="B80" s="85"/>
      <c r="C80" s="60"/>
      <c r="D80" s="85"/>
      <c r="E80" s="49"/>
      <c r="F80" s="49"/>
      <c r="G80" s="49"/>
      <c r="H80" s="94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120"/>
    </row>
    <row r="81" spans="1:21">
      <c r="A81" s="132"/>
      <c r="B81" s="66" t="s">
        <v>91</v>
      </c>
      <c r="C81" s="60"/>
      <c r="D81" s="85"/>
      <c r="E81" s="49"/>
      <c r="F81" s="49"/>
      <c r="G81" s="49"/>
      <c r="H81" s="49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1:21" ht="25.5">
      <c r="A82" s="123" t="s">
        <v>205</v>
      </c>
      <c r="B82" s="124" t="s">
        <v>206</v>
      </c>
      <c r="C82" s="123" t="s">
        <v>207</v>
      </c>
      <c r="D82" s="137"/>
      <c r="E82" s="49"/>
      <c r="F82" s="49">
        <v>1</v>
      </c>
      <c r="G82" s="49">
        <v>666.24</v>
      </c>
      <c r="H82" s="62">
        <f t="shared" ref="H82" si="12">G82*F82/1000</f>
        <v>0.66624000000000005</v>
      </c>
      <c r="I82" s="33">
        <f>G82</f>
        <v>666.24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f t="shared" ref="U82:U103" si="13">SUM(I82:T82)</f>
        <v>666.24</v>
      </c>
    </row>
    <row r="83" spans="1:21" ht="25.5">
      <c r="A83" s="116" t="s">
        <v>208</v>
      </c>
      <c r="B83" s="115" t="s">
        <v>209</v>
      </c>
      <c r="C83" s="116" t="s">
        <v>210</v>
      </c>
      <c r="D83" s="137"/>
      <c r="E83" s="49"/>
      <c r="F83" s="49">
        <v>2</v>
      </c>
      <c r="G83" s="49">
        <v>1046.06</v>
      </c>
      <c r="H83" s="62">
        <f t="shared" ref="H83:H84" si="14">G83*F83/1000</f>
        <v>2.09212</v>
      </c>
      <c r="I83" s="33">
        <f>G83*2</f>
        <v>2092.12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f t="shared" si="13"/>
        <v>2092.12</v>
      </c>
    </row>
    <row r="84" spans="1:21">
      <c r="A84" s="116" t="s">
        <v>211</v>
      </c>
      <c r="B84" s="115" t="s">
        <v>215</v>
      </c>
      <c r="C84" s="116" t="s">
        <v>60</v>
      </c>
      <c r="D84" s="85"/>
      <c r="E84" s="49"/>
      <c r="F84" s="49">
        <v>3</v>
      </c>
      <c r="G84" s="49">
        <v>140</v>
      </c>
      <c r="H84" s="62">
        <f t="shared" si="14"/>
        <v>0.42</v>
      </c>
      <c r="I84" s="33">
        <f>G84</f>
        <v>140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G84*2</f>
        <v>280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f t="shared" si="13"/>
        <v>420</v>
      </c>
    </row>
    <row r="85" spans="1:21">
      <c r="A85" s="116" t="s">
        <v>211</v>
      </c>
      <c r="B85" s="115" t="s">
        <v>212</v>
      </c>
      <c r="C85" s="116" t="s">
        <v>60</v>
      </c>
      <c r="D85" s="85"/>
      <c r="E85" s="49"/>
      <c r="F85" s="49">
        <v>1</v>
      </c>
      <c r="G85" s="49">
        <v>27.36</v>
      </c>
      <c r="H85" s="62">
        <f t="shared" ref="H85:H86" si="15">G85*F85/1000</f>
        <v>2.7359999999999999E-2</v>
      </c>
      <c r="I85" s="33">
        <f>G85</f>
        <v>27.36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f t="shared" si="13"/>
        <v>27.36</v>
      </c>
    </row>
    <row r="86" spans="1:21" ht="25.5" customHeight="1">
      <c r="A86" s="116" t="s">
        <v>213</v>
      </c>
      <c r="B86" s="115" t="s">
        <v>214</v>
      </c>
      <c r="C86" s="116" t="s">
        <v>139</v>
      </c>
      <c r="D86" s="85"/>
      <c r="E86" s="49"/>
      <c r="F86" s="49">
        <v>1.5</v>
      </c>
      <c r="G86" s="49">
        <v>293.17</v>
      </c>
      <c r="H86" s="62">
        <f t="shared" si="15"/>
        <v>0.43975500000000001</v>
      </c>
      <c r="I86" s="33">
        <f>G86*0.5</f>
        <v>146.58500000000001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f>G86</f>
        <v>293.17</v>
      </c>
      <c r="T86" s="33">
        <v>0</v>
      </c>
      <c r="U86" s="33">
        <f t="shared" si="13"/>
        <v>439.755</v>
      </c>
    </row>
    <row r="87" spans="1:21" ht="26.25" customHeight="1">
      <c r="A87" s="123" t="s">
        <v>196</v>
      </c>
      <c r="B87" s="124" t="s">
        <v>135</v>
      </c>
      <c r="C87" s="116" t="s">
        <v>60</v>
      </c>
      <c r="D87" s="85"/>
      <c r="E87" s="49"/>
      <c r="F87" s="49">
        <v>432</v>
      </c>
      <c r="G87" s="49">
        <v>53.42</v>
      </c>
      <c r="H87" s="49">
        <f t="shared" ref="H87:H95" si="16">G87*F87/1000</f>
        <v>23.077440000000003</v>
      </c>
      <c r="I87" s="33">
        <f>G87*36</f>
        <v>1923.1200000000001</v>
      </c>
      <c r="J87" s="33">
        <f>G87*36</f>
        <v>1923.1200000000001</v>
      </c>
      <c r="K87" s="33">
        <f>G87*36</f>
        <v>1923.1200000000001</v>
      </c>
      <c r="L87" s="33">
        <f>G87*36</f>
        <v>1923.1200000000001</v>
      </c>
      <c r="M87" s="33">
        <f>G87*36</f>
        <v>1923.1200000000001</v>
      </c>
      <c r="N87" s="33">
        <f>G87*36</f>
        <v>1923.1200000000001</v>
      </c>
      <c r="O87" s="33">
        <f>G87*36</f>
        <v>1923.1200000000001</v>
      </c>
      <c r="P87" s="33">
        <f>G87*36</f>
        <v>1923.1200000000001</v>
      </c>
      <c r="Q87" s="33">
        <f>G87*36</f>
        <v>1923.1200000000001</v>
      </c>
      <c r="R87" s="33">
        <f>G87*36</f>
        <v>1923.1200000000001</v>
      </c>
      <c r="S87" s="33">
        <f>G87*36</f>
        <v>1923.1200000000001</v>
      </c>
      <c r="T87" s="33">
        <f>G87*36</f>
        <v>1923.1200000000001</v>
      </c>
      <c r="U87" s="33">
        <f t="shared" si="13"/>
        <v>23077.439999999999</v>
      </c>
    </row>
    <row r="88" spans="1:21" ht="27.75" customHeight="1">
      <c r="A88" s="123" t="s">
        <v>199</v>
      </c>
      <c r="B88" s="124" t="s">
        <v>138</v>
      </c>
      <c r="C88" s="114" t="s">
        <v>60</v>
      </c>
      <c r="D88" s="85"/>
      <c r="E88" s="49"/>
      <c r="F88" s="49">
        <v>4</v>
      </c>
      <c r="G88" s="49">
        <v>189.88</v>
      </c>
      <c r="H88" s="62">
        <f t="shared" si="16"/>
        <v>0.75951999999999997</v>
      </c>
      <c r="I88" s="33">
        <f>G88</f>
        <v>189.88</v>
      </c>
      <c r="J88" s="33">
        <v>0</v>
      </c>
      <c r="K88" s="33">
        <v>0</v>
      </c>
      <c r="L88" s="33">
        <v>0</v>
      </c>
      <c r="M88" s="33">
        <v>0</v>
      </c>
      <c r="N88" s="33">
        <f>G88</f>
        <v>189.88</v>
      </c>
      <c r="O88" s="33">
        <v>0</v>
      </c>
      <c r="P88" s="33">
        <v>0</v>
      </c>
      <c r="Q88" s="33">
        <v>0</v>
      </c>
      <c r="R88" s="33">
        <f>G88</f>
        <v>189.88</v>
      </c>
      <c r="S88" s="33">
        <f>G88</f>
        <v>189.88</v>
      </c>
      <c r="T88" s="33">
        <v>0</v>
      </c>
      <c r="U88" s="33">
        <f t="shared" si="13"/>
        <v>759.52</v>
      </c>
    </row>
    <row r="89" spans="1:21">
      <c r="A89" s="141" t="s">
        <v>129</v>
      </c>
      <c r="B89" s="124" t="s">
        <v>130</v>
      </c>
      <c r="C89" s="123" t="s">
        <v>131</v>
      </c>
      <c r="D89" s="85"/>
      <c r="E89" s="49"/>
      <c r="F89" s="49">
        <v>5.5</v>
      </c>
      <c r="G89" s="49">
        <v>1582</v>
      </c>
      <c r="H89" s="62">
        <f t="shared" si="16"/>
        <v>8.7010000000000005</v>
      </c>
      <c r="I89" s="33">
        <v>0</v>
      </c>
      <c r="J89" s="33">
        <v>0</v>
      </c>
      <c r="K89" s="33">
        <f>G89</f>
        <v>1582</v>
      </c>
      <c r="L89" s="33">
        <f>G89</f>
        <v>1582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f>G89*2</f>
        <v>3164</v>
      </c>
      <c r="S89" s="33">
        <f>G89*1.5</f>
        <v>2373</v>
      </c>
      <c r="T89" s="33">
        <v>0</v>
      </c>
      <c r="U89" s="33">
        <f t="shared" si="13"/>
        <v>8701</v>
      </c>
    </row>
    <row r="90" spans="1:21" ht="12.75" customHeight="1">
      <c r="A90" s="142" t="s">
        <v>220</v>
      </c>
      <c r="B90" s="143" t="s">
        <v>132</v>
      </c>
      <c r="C90" s="142" t="s">
        <v>133</v>
      </c>
      <c r="D90" s="85"/>
      <c r="E90" s="49"/>
      <c r="F90" s="49">
        <v>1</v>
      </c>
      <c r="G90" s="49">
        <v>1120.8900000000001</v>
      </c>
      <c r="H90" s="62">
        <f t="shared" si="16"/>
        <v>1.1208900000000002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f>G90</f>
        <v>1120.8900000000001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f t="shared" si="13"/>
        <v>1120.8900000000001</v>
      </c>
    </row>
    <row r="91" spans="1:21" ht="12.75" customHeight="1">
      <c r="A91" s="123" t="s">
        <v>221</v>
      </c>
      <c r="B91" s="124" t="s">
        <v>222</v>
      </c>
      <c r="C91" s="123" t="s">
        <v>136</v>
      </c>
      <c r="D91" s="85"/>
      <c r="E91" s="49"/>
      <c r="F91" s="49">
        <v>1</v>
      </c>
      <c r="G91" s="49">
        <v>237.44</v>
      </c>
      <c r="H91" s="62">
        <f t="shared" si="16"/>
        <v>0.23743999999999998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f>G91</f>
        <v>237.44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f t="shared" si="13"/>
        <v>237.44</v>
      </c>
    </row>
    <row r="92" spans="1:21" ht="25.5" customHeight="1">
      <c r="A92" s="123" t="s">
        <v>223</v>
      </c>
      <c r="B92" s="124" t="s">
        <v>224</v>
      </c>
      <c r="C92" s="123" t="s">
        <v>137</v>
      </c>
      <c r="D92" s="85"/>
      <c r="E92" s="49"/>
      <c r="F92" s="49">
        <v>51</v>
      </c>
      <c r="G92" s="49">
        <v>1332.61</v>
      </c>
      <c r="H92" s="62">
        <f t="shared" si="16"/>
        <v>67.96311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f>G92*51</f>
        <v>67963.11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f t="shared" si="13"/>
        <v>67963.11</v>
      </c>
    </row>
    <row r="93" spans="1:21" ht="25.5" customHeight="1">
      <c r="A93" s="123" t="s">
        <v>134</v>
      </c>
      <c r="B93" s="124" t="s">
        <v>202</v>
      </c>
      <c r="C93" s="123" t="s">
        <v>137</v>
      </c>
      <c r="D93" s="85"/>
      <c r="E93" s="49"/>
      <c r="F93" s="49">
        <v>5</v>
      </c>
      <c r="G93" s="49">
        <v>1272</v>
      </c>
      <c r="H93" s="62">
        <f t="shared" si="16"/>
        <v>6.36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f>G93*2</f>
        <v>2544</v>
      </c>
      <c r="O93" s="33">
        <v>0</v>
      </c>
      <c r="P93" s="33">
        <f>G93*2</f>
        <v>2544</v>
      </c>
      <c r="Q93" s="33">
        <v>0</v>
      </c>
      <c r="R93" s="33">
        <f>G93</f>
        <v>1272</v>
      </c>
      <c r="S93" s="33">
        <v>0</v>
      </c>
      <c r="T93" s="33">
        <v>0</v>
      </c>
      <c r="U93" s="33">
        <f t="shared" si="13"/>
        <v>6360</v>
      </c>
    </row>
    <row r="94" spans="1:21" ht="25.5">
      <c r="A94" s="144" t="s">
        <v>198</v>
      </c>
      <c r="B94" s="124" t="s">
        <v>112</v>
      </c>
      <c r="C94" s="144" t="s">
        <v>34</v>
      </c>
      <c r="D94" s="85"/>
      <c r="E94" s="49"/>
      <c r="F94" s="49">
        <v>12</v>
      </c>
      <c r="G94" s="49">
        <v>589.84</v>
      </c>
      <c r="H94" s="62">
        <f t="shared" si="16"/>
        <v>7.0780799999999999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f>G94*8</f>
        <v>4718.72</v>
      </c>
      <c r="O94" s="33">
        <v>0</v>
      </c>
      <c r="P94" s="33">
        <f>G94*(1+1)</f>
        <v>1179.68</v>
      </c>
      <c r="Q94" s="33">
        <v>0</v>
      </c>
      <c r="R94" s="33">
        <f>G94</f>
        <v>589.84</v>
      </c>
      <c r="S94" s="33">
        <v>0</v>
      </c>
      <c r="T94" s="33">
        <f>G94</f>
        <v>589.84</v>
      </c>
      <c r="U94" s="33">
        <f t="shared" si="13"/>
        <v>7078.0800000000008</v>
      </c>
    </row>
    <row r="95" spans="1:21" ht="25.5">
      <c r="A95" s="116" t="s">
        <v>208</v>
      </c>
      <c r="B95" s="115" t="s">
        <v>232</v>
      </c>
      <c r="C95" s="116" t="s">
        <v>210</v>
      </c>
      <c r="D95" s="137"/>
      <c r="E95" s="49"/>
      <c r="F95" s="49">
        <v>3</v>
      </c>
      <c r="G95" s="49">
        <v>832.06</v>
      </c>
      <c r="H95" s="62">
        <f t="shared" si="16"/>
        <v>2.4961799999999998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f>G95*3</f>
        <v>2496.1799999999998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f t="shared" si="13"/>
        <v>2496.1799999999998</v>
      </c>
    </row>
    <row r="96" spans="1:21" ht="25.5">
      <c r="A96" s="116" t="s">
        <v>233</v>
      </c>
      <c r="B96" s="115" t="s">
        <v>234</v>
      </c>
      <c r="C96" s="116" t="s">
        <v>210</v>
      </c>
      <c r="D96" s="137"/>
      <c r="E96" s="49"/>
      <c r="F96" s="49">
        <v>1</v>
      </c>
      <c r="G96" s="49">
        <v>671.73</v>
      </c>
      <c r="H96" s="62">
        <f t="shared" ref="H96:H97" si="17">G96*F96/1000</f>
        <v>0.67173000000000005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f>G96</f>
        <v>671.73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f t="shared" si="13"/>
        <v>671.73</v>
      </c>
    </row>
    <row r="97" spans="1:23">
      <c r="A97" s="116" t="s">
        <v>211</v>
      </c>
      <c r="B97" s="115" t="s">
        <v>235</v>
      </c>
      <c r="C97" s="116" t="s">
        <v>60</v>
      </c>
      <c r="D97" s="85"/>
      <c r="E97" s="49"/>
      <c r="F97" s="49">
        <v>1</v>
      </c>
      <c r="G97" s="49">
        <v>82</v>
      </c>
      <c r="H97" s="62">
        <f t="shared" si="17"/>
        <v>8.2000000000000003E-2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f>G97</f>
        <v>82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f t="shared" si="13"/>
        <v>82</v>
      </c>
    </row>
    <row r="98" spans="1:23">
      <c r="A98" s="116" t="s">
        <v>211</v>
      </c>
      <c r="B98" s="115" t="s">
        <v>236</v>
      </c>
      <c r="C98" s="116" t="s">
        <v>60</v>
      </c>
      <c r="D98" s="85"/>
      <c r="E98" s="49"/>
      <c r="F98" s="49">
        <v>1</v>
      </c>
      <c r="G98" s="49">
        <v>45</v>
      </c>
      <c r="H98" s="62">
        <f t="shared" ref="H98" si="18">G98*F98/1000</f>
        <v>4.4999999999999998E-2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f>G98</f>
        <v>45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f t="shared" si="13"/>
        <v>45</v>
      </c>
    </row>
    <row r="99" spans="1:23" ht="25.5">
      <c r="A99" s="144" t="s">
        <v>197</v>
      </c>
      <c r="B99" s="124" t="s">
        <v>107</v>
      </c>
      <c r="C99" s="144" t="s">
        <v>34</v>
      </c>
      <c r="D99" s="85"/>
      <c r="E99" s="49"/>
      <c r="F99" s="49">
        <v>2</v>
      </c>
      <c r="G99" s="49">
        <v>83.36</v>
      </c>
      <c r="H99" s="49">
        <f t="shared" ref="H99" si="19">G99*F99/1000</f>
        <v>0.16672000000000001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f>G99</f>
        <v>83.36</v>
      </c>
      <c r="P99" s="33">
        <v>0</v>
      </c>
      <c r="Q99" s="33">
        <v>0</v>
      </c>
      <c r="R99" s="33">
        <v>0</v>
      </c>
      <c r="S99" s="33">
        <v>0</v>
      </c>
      <c r="T99" s="33">
        <f>G99</f>
        <v>83.36</v>
      </c>
      <c r="U99" s="33">
        <f t="shared" si="13"/>
        <v>166.72</v>
      </c>
    </row>
    <row r="100" spans="1:23" s="19" customFormat="1" ht="25.5">
      <c r="A100" s="123" t="s">
        <v>184</v>
      </c>
      <c r="B100" s="124" t="s">
        <v>153</v>
      </c>
      <c r="C100" s="123" t="s">
        <v>57</v>
      </c>
      <c r="D100" s="85"/>
      <c r="E100" s="49"/>
      <c r="F100" s="49">
        <v>0.04</v>
      </c>
      <c r="G100" s="49">
        <v>3581.13</v>
      </c>
      <c r="H100" s="139">
        <f>G100*F100/1000</f>
        <v>0.14324520000000002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>G100*0.01</f>
        <v>35.811300000000003</v>
      </c>
      <c r="P100" s="33">
        <f>G100*0.01</f>
        <v>35.811300000000003</v>
      </c>
      <c r="Q100" s="33">
        <v>0</v>
      </c>
      <c r="R100" s="33">
        <v>0</v>
      </c>
      <c r="S100" s="33">
        <v>0</v>
      </c>
      <c r="T100" s="33">
        <f>G100*0.02</f>
        <v>71.622600000000006</v>
      </c>
      <c r="U100" s="33">
        <f t="shared" si="13"/>
        <v>143.24520000000001</v>
      </c>
    </row>
    <row r="101" spans="1:23" s="145" customFormat="1" ht="25.5">
      <c r="A101" s="123" t="s">
        <v>225</v>
      </c>
      <c r="B101" s="124" t="s">
        <v>226</v>
      </c>
      <c r="C101" s="123" t="s">
        <v>141</v>
      </c>
      <c r="D101" s="85"/>
      <c r="E101" s="49"/>
      <c r="F101" s="49">
        <f>12/10</f>
        <v>1.2</v>
      </c>
      <c r="G101" s="49">
        <v>2064.25</v>
      </c>
      <c r="H101" s="139">
        <f t="shared" ref="H101:H104" si="20">G101*F101/1000</f>
        <v>2.4771000000000001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>G101*1.2</f>
        <v>2477.1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f t="shared" si="13"/>
        <v>2477.1</v>
      </c>
    </row>
    <row r="102" spans="1:23" s="148" customFormat="1">
      <c r="A102" s="144" t="s">
        <v>230</v>
      </c>
      <c r="B102" s="146" t="s">
        <v>231</v>
      </c>
      <c r="C102" s="144" t="s">
        <v>229</v>
      </c>
      <c r="D102" s="146"/>
      <c r="E102" s="147"/>
      <c r="F102" s="138">
        <v>1</v>
      </c>
      <c r="G102" s="138">
        <v>1465.97</v>
      </c>
      <c r="H102" s="139">
        <f t="shared" si="20"/>
        <v>1.46597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f>G102</f>
        <v>1465.97</v>
      </c>
      <c r="Q102" s="33">
        <v>0</v>
      </c>
      <c r="R102" s="33">
        <v>0</v>
      </c>
      <c r="S102" s="33">
        <v>0</v>
      </c>
      <c r="T102" s="33">
        <v>0</v>
      </c>
      <c r="U102" s="33">
        <f t="shared" si="13"/>
        <v>1465.97</v>
      </c>
    </row>
    <row r="103" spans="1:23" s="19" customFormat="1">
      <c r="A103" s="128" t="s">
        <v>227</v>
      </c>
      <c r="B103" s="11" t="s">
        <v>228</v>
      </c>
      <c r="C103" s="23" t="s">
        <v>60</v>
      </c>
      <c r="D103" s="85"/>
      <c r="E103" s="49"/>
      <c r="F103" s="49">
        <v>1</v>
      </c>
      <c r="G103" s="49">
        <v>86.15</v>
      </c>
      <c r="H103" s="139">
        <f t="shared" si="20"/>
        <v>8.6150000000000004E-2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f>G103</f>
        <v>86.15</v>
      </c>
      <c r="Q103" s="33">
        <v>0</v>
      </c>
      <c r="R103" s="33">
        <v>0</v>
      </c>
      <c r="S103" s="33">
        <v>0</v>
      </c>
      <c r="T103" s="33">
        <v>0</v>
      </c>
      <c r="U103" s="33">
        <f t="shared" si="13"/>
        <v>86.15</v>
      </c>
    </row>
    <row r="104" spans="1:23" ht="25.5" customHeight="1">
      <c r="A104" s="123" t="s">
        <v>134</v>
      </c>
      <c r="B104" s="124" t="s">
        <v>237</v>
      </c>
      <c r="C104" s="123" t="s">
        <v>137</v>
      </c>
      <c r="D104" s="85"/>
      <c r="E104" s="49"/>
      <c r="F104" s="49">
        <v>1</v>
      </c>
      <c r="G104" s="49">
        <v>1187</v>
      </c>
      <c r="H104" s="62">
        <f t="shared" si="20"/>
        <v>1.1870000000000001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f>G104</f>
        <v>1187</v>
      </c>
      <c r="S104" s="33">
        <v>0</v>
      </c>
      <c r="T104" s="33">
        <v>0</v>
      </c>
      <c r="U104" s="33">
        <f t="shared" ref="U104" si="21">SUM(I104:T104)</f>
        <v>1187</v>
      </c>
    </row>
    <row r="105" spans="1:23" ht="25.5" customHeight="1">
      <c r="A105" s="123" t="s">
        <v>200</v>
      </c>
      <c r="B105" s="124" t="s">
        <v>140</v>
      </c>
      <c r="C105" s="123" t="s">
        <v>141</v>
      </c>
      <c r="D105" s="85"/>
      <c r="E105" s="49"/>
      <c r="F105" s="49">
        <f>3/10</f>
        <v>0.3</v>
      </c>
      <c r="G105" s="49">
        <v>5945.91</v>
      </c>
      <c r="H105" s="62">
        <f>G105*F105/1000</f>
        <v>1.7837729999999998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f>G105*0.3</f>
        <v>1783.7729999999999</v>
      </c>
      <c r="S105" s="33">
        <v>0</v>
      </c>
      <c r="T105" s="33">
        <v>0</v>
      </c>
      <c r="U105" s="33">
        <f>SUM(I105:T105)</f>
        <v>1783.7729999999999</v>
      </c>
    </row>
    <row r="106" spans="1:23" ht="12.75" customHeight="1">
      <c r="A106" s="149" t="s">
        <v>201</v>
      </c>
      <c r="B106" s="150" t="s">
        <v>154</v>
      </c>
      <c r="C106" s="123" t="s">
        <v>60</v>
      </c>
      <c r="D106" s="85"/>
      <c r="E106" s="49"/>
      <c r="F106" s="49">
        <v>1</v>
      </c>
      <c r="G106" s="49">
        <v>189.67</v>
      </c>
      <c r="H106" s="62">
        <f>G106*F106/1000</f>
        <v>0.18966999999999998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f>G106</f>
        <v>189.67</v>
      </c>
      <c r="T106" s="33">
        <v>0</v>
      </c>
      <c r="U106" s="33">
        <f>SUM(I106:T106)</f>
        <v>189.67</v>
      </c>
    </row>
    <row r="107" spans="1:23" ht="25.5" customHeight="1">
      <c r="A107" s="116" t="s">
        <v>240</v>
      </c>
      <c r="B107" s="115" t="s">
        <v>238</v>
      </c>
      <c r="C107" s="116" t="s">
        <v>239</v>
      </c>
      <c r="D107" s="85"/>
      <c r="E107" s="49"/>
      <c r="F107" s="49">
        <f>1/100</f>
        <v>0.01</v>
      </c>
      <c r="G107" s="49">
        <v>33699.17</v>
      </c>
      <c r="H107" s="62">
        <f>G107*F107/1000</f>
        <v>0.33699170000000001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f>G107*0.01</f>
        <v>336.99169999999998</v>
      </c>
      <c r="T107" s="33">
        <v>0</v>
      </c>
      <c r="U107" s="33">
        <f>SUM(I107:T107)</f>
        <v>336.99169999999998</v>
      </c>
    </row>
    <row r="108" spans="1:23" ht="12.75" customHeight="1">
      <c r="A108" s="123" t="s">
        <v>247</v>
      </c>
      <c r="B108" s="124" t="s">
        <v>248</v>
      </c>
      <c r="C108" s="123" t="s">
        <v>136</v>
      </c>
      <c r="D108" s="137"/>
      <c r="E108" s="138"/>
      <c r="F108" s="138">
        <v>1</v>
      </c>
      <c r="G108" s="138">
        <v>195.85</v>
      </c>
      <c r="H108" s="139">
        <f t="shared" ref="H108" si="22">G108*F108/1000</f>
        <v>0.19585</v>
      </c>
      <c r="I108" s="156">
        <v>0</v>
      </c>
      <c r="J108" s="156">
        <v>0</v>
      </c>
      <c r="K108" s="156">
        <v>0</v>
      </c>
      <c r="L108" s="156">
        <v>0</v>
      </c>
      <c r="M108" s="156">
        <v>0</v>
      </c>
      <c r="N108" s="156">
        <v>0</v>
      </c>
      <c r="O108" s="156">
        <v>0</v>
      </c>
      <c r="P108" s="156">
        <v>0</v>
      </c>
      <c r="Q108" s="156">
        <v>0</v>
      </c>
      <c r="R108" s="156">
        <v>0</v>
      </c>
      <c r="S108" s="156">
        <v>0</v>
      </c>
      <c r="T108" s="156">
        <f>G108</f>
        <v>195.85</v>
      </c>
      <c r="U108" s="33">
        <f t="shared" ref="U108:U109" si="23">SUM(I108:T108)</f>
        <v>195.85</v>
      </c>
    </row>
    <row r="109" spans="1:23" ht="12.75" customHeight="1">
      <c r="A109" s="149" t="s">
        <v>241</v>
      </c>
      <c r="B109" s="152" t="s">
        <v>242</v>
      </c>
      <c r="C109" s="153" t="s">
        <v>18</v>
      </c>
      <c r="D109" s="154"/>
      <c r="E109" s="61"/>
      <c r="F109" s="155">
        <f>0.3/10</f>
        <v>0.03</v>
      </c>
      <c r="G109" s="49">
        <v>29021.3</v>
      </c>
      <c r="H109" s="62">
        <f t="shared" ref="H109:H110" si="24">G109*F109/1000</f>
        <v>0.87063899999999994</v>
      </c>
      <c r="I109" s="156">
        <v>0</v>
      </c>
      <c r="J109" s="156">
        <v>0</v>
      </c>
      <c r="K109" s="156">
        <v>0</v>
      </c>
      <c r="L109" s="156">
        <v>0</v>
      </c>
      <c r="M109" s="156">
        <v>0</v>
      </c>
      <c r="N109" s="156">
        <v>0</v>
      </c>
      <c r="O109" s="156">
        <v>0</v>
      </c>
      <c r="P109" s="156">
        <v>0</v>
      </c>
      <c r="Q109" s="156">
        <v>0</v>
      </c>
      <c r="R109" s="156">
        <v>0</v>
      </c>
      <c r="S109" s="156">
        <v>0</v>
      </c>
      <c r="T109" s="156">
        <f>G109*0.03</f>
        <v>870.6389999999999</v>
      </c>
      <c r="U109" s="33">
        <f t="shared" si="23"/>
        <v>870.6389999999999</v>
      </c>
      <c r="V109" s="157"/>
      <c r="W109" s="158"/>
    </row>
    <row r="110" spans="1:23" ht="38.25">
      <c r="A110" s="151" t="s">
        <v>243</v>
      </c>
      <c r="B110" s="115" t="s">
        <v>244</v>
      </c>
      <c r="C110" s="116" t="s">
        <v>141</v>
      </c>
      <c r="D110" s="9"/>
      <c r="E110" s="61"/>
      <c r="F110" s="49">
        <f>0.7/10</f>
        <v>6.9999999999999993E-2</v>
      </c>
      <c r="G110" s="49">
        <v>10276.98</v>
      </c>
      <c r="H110" s="62">
        <f t="shared" si="24"/>
        <v>0.71938859999999993</v>
      </c>
      <c r="I110" s="156">
        <v>0</v>
      </c>
      <c r="J110" s="156">
        <v>0</v>
      </c>
      <c r="K110" s="156">
        <v>0</v>
      </c>
      <c r="L110" s="156">
        <v>0</v>
      </c>
      <c r="M110" s="156">
        <v>0</v>
      </c>
      <c r="N110" s="156">
        <v>0</v>
      </c>
      <c r="O110" s="156">
        <v>0</v>
      </c>
      <c r="P110" s="156">
        <v>0</v>
      </c>
      <c r="Q110" s="156">
        <v>0</v>
      </c>
      <c r="R110" s="33">
        <v>0</v>
      </c>
      <c r="S110" s="156">
        <v>0</v>
      </c>
      <c r="T110" s="156">
        <f>G110*0.07</f>
        <v>719.3886</v>
      </c>
      <c r="U110" s="33">
        <f t="shared" ref="U110" si="25">SUM(I110:T110)</f>
        <v>719.3886</v>
      </c>
    </row>
    <row r="111" spans="1:23">
      <c r="A111" s="95"/>
      <c r="B111" s="96" t="s">
        <v>92</v>
      </c>
      <c r="C111" s="95"/>
      <c r="D111" s="95"/>
      <c r="E111" s="90"/>
      <c r="F111" s="90"/>
      <c r="G111" s="90"/>
      <c r="H111" s="41">
        <f>SUM(H81:H110)</f>
        <v>131.86036250000001</v>
      </c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40">
        <f>SUM(U81:U110)</f>
        <v>131860.36250000002</v>
      </c>
    </row>
    <row r="112" spans="1:23" ht="12" customHeight="1">
      <c r="A112" s="93"/>
      <c r="B112" s="97"/>
      <c r="C112" s="98"/>
      <c r="D112" s="98"/>
      <c r="E112" s="49"/>
      <c r="F112" s="49"/>
      <c r="G112" s="49"/>
      <c r="H112" s="99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121"/>
    </row>
    <row r="113" spans="1:21" s="19" customFormat="1" ht="25.5">
      <c r="A113" s="132"/>
      <c r="B113" s="18" t="s">
        <v>93</v>
      </c>
      <c r="C113" s="60"/>
      <c r="D113" s="85"/>
      <c r="E113" s="49"/>
      <c r="F113" s="49"/>
      <c r="G113" s="49"/>
      <c r="H113" s="100">
        <f>H111/E114/12*1000</f>
        <v>5.3481765509912718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121"/>
    </row>
    <row r="114" spans="1:21">
      <c r="A114" s="80"/>
      <c r="B114" s="101" t="s">
        <v>94</v>
      </c>
      <c r="C114" s="102"/>
      <c r="D114" s="101"/>
      <c r="E114" s="135">
        <v>2054.6</v>
      </c>
      <c r="F114" s="103">
        <f>SUM(E114*12)</f>
        <v>24655.199999999997</v>
      </c>
      <c r="G114" s="104">
        <f>H79+H113</f>
        <v>26.169017350595411</v>
      </c>
      <c r="H114" s="105">
        <f>SUM(F114*G114/1000)</f>
        <v>645.20235658239994</v>
      </c>
      <c r="I114" s="90">
        <f t="shared" ref="I114:T114" si="26">SUM(I11:I113)</f>
        <v>55816.259379250005</v>
      </c>
      <c r="J114" s="90">
        <f t="shared" si="26"/>
        <v>39568.526555250006</v>
      </c>
      <c r="K114" s="90">
        <f t="shared" si="26"/>
        <v>40533.577447250005</v>
      </c>
      <c r="L114" s="90">
        <f t="shared" si="26"/>
        <v>41917.949975250005</v>
      </c>
      <c r="M114" s="90">
        <f t="shared" si="26"/>
        <v>95158.168237199992</v>
      </c>
      <c r="N114" s="90">
        <f t="shared" si="26"/>
        <v>108869.1292106</v>
      </c>
      <c r="O114" s="90">
        <f t="shared" si="26"/>
        <v>37890.949334600002</v>
      </c>
      <c r="P114" s="90">
        <f t="shared" si="26"/>
        <v>37008.091510600003</v>
      </c>
      <c r="Q114" s="90">
        <f t="shared" si="26"/>
        <v>40315.040187300001</v>
      </c>
      <c r="R114" s="90">
        <f t="shared" si="26"/>
        <v>40358.453210599997</v>
      </c>
      <c r="S114" s="90">
        <f t="shared" si="26"/>
        <v>43492.460079249999</v>
      </c>
      <c r="T114" s="90">
        <f t="shared" si="26"/>
        <v>42099.226755250005</v>
      </c>
      <c r="U114" s="40">
        <f>U77+U111</f>
        <v>623027.83188239997</v>
      </c>
    </row>
    <row r="115" spans="1:21">
      <c r="A115" s="64"/>
      <c r="B115" s="64"/>
      <c r="C115" s="64"/>
      <c r="D115" s="64"/>
      <c r="E115" s="106"/>
      <c r="F115" s="106"/>
      <c r="G115" s="106"/>
      <c r="H115" s="106"/>
      <c r="I115" s="106"/>
      <c r="J115" s="106"/>
      <c r="K115" s="106"/>
      <c r="L115" s="106"/>
      <c r="M115" s="64"/>
      <c r="N115" s="106"/>
      <c r="O115" s="64"/>
      <c r="P115" s="64"/>
      <c r="Q115" s="64"/>
      <c r="R115" s="64"/>
      <c r="S115" s="64"/>
      <c r="T115" s="64"/>
      <c r="U115" s="64"/>
    </row>
    <row r="116" spans="1:21">
      <c r="A116" s="64"/>
      <c r="B116" s="64"/>
      <c r="C116" s="64"/>
      <c r="D116" s="64"/>
      <c r="E116" s="106"/>
      <c r="F116" s="106"/>
      <c r="G116" s="106"/>
      <c r="H116" s="106"/>
      <c r="I116" s="106"/>
      <c r="J116" s="107"/>
      <c r="K116" s="108"/>
      <c r="L116" s="107"/>
      <c r="M116" s="106"/>
      <c r="N116" s="64"/>
      <c r="O116" s="64"/>
      <c r="P116" s="64"/>
      <c r="Q116" s="64"/>
      <c r="R116" s="64"/>
      <c r="S116" s="64"/>
      <c r="T116" s="64"/>
      <c r="U116" s="64"/>
    </row>
    <row r="117" spans="1:21" ht="45">
      <c r="A117" s="64"/>
      <c r="B117" s="113" t="s">
        <v>203</v>
      </c>
      <c r="C117" s="162">
        <v>132186.31</v>
      </c>
      <c r="D117" s="163"/>
      <c r="E117" s="163"/>
      <c r="F117" s="164"/>
      <c r="G117" s="106"/>
      <c r="H117" s="106"/>
      <c r="I117" s="106"/>
      <c r="J117" s="107"/>
      <c r="K117" s="108"/>
      <c r="L117" s="107"/>
      <c r="M117" s="106"/>
      <c r="N117" s="64"/>
      <c r="O117" s="64"/>
      <c r="P117" s="64"/>
      <c r="Q117" s="64"/>
      <c r="R117" s="64"/>
      <c r="S117" s="64"/>
      <c r="T117" s="64"/>
      <c r="U117" s="64"/>
    </row>
    <row r="118" spans="1:21" ht="30">
      <c r="A118" s="64"/>
      <c r="B118" s="113" t="s">
        <v>216</v>
      </c>
      <c r="C118" s="162">
        <f>46824.35*12</f>
        <v>561892.19999999995</v>
      </c>
      <c r="D118" s="163"/>
      <c r="E118" s="163"/>
      <c r="F118" s="164"/>
      <c r="G118" s="106"/>
      <c r="H118" s="106"/>
      <c r="I118" s="106"/>
      <c r="J118" s="107"/>
      <c r="K118" s="108"/>
      <c r="L118" s="107"/>
      <c r="M118" s="106"/>
      <c r="N118" s="64"/>
      <c r="O118" s="64"/>
      <c r="P118" s="64"/>
      <c r="Q118" s="64"/>
      <c r="R118" s="64"/>
      <c r="S118" s="64"/>
      <c r="T118" s="64"/>
      <c r="U118" s="64"/>
    </row>
    <row r="119" spans="1:21" ht="30">
      <c r="A119" s="64"/>
      <c r="B119" s="113" t="s">
        <v>217</v>
      </c>
      <c r="C119" s="162">
        <f>SUM(U114-U111)</f>
        <v>491167.46938239993</v>
      </c>
      <c r="D119" s="163"/>
      <c r="E119" s="163"/>
      <c r="F119" s="164"/>
      <c r="G119" s="106"/>
      <c r="H119" s="106"/>
      <c r="I119" s="106"/>
      <c r="J119" s="107"/>
      <c r="K119" s="108"/>
      <c r="L119" s="107"/>
      <c r="M119" s="106"/>
      <c r="N119" s="64"/>
      <c r="O119" s="64"/>
      <c r="P119" s="64"/>
      <c r="Q119" s="64"/>
      <c r="R119" s="64"/>
      <c r="S119" s="64"/>
      <c r="T119" s="64"/>
      <c r="U119" s="64"/>
    </row>
    <row r="120" spans="1:21" ht="30">
      <c r="A120" s="64"/>
      <c r="B120" s="113" t="s">
        <v>218</v>
      </c>
      <c r="C120" s="162">
        <f>SUM(U111)</f>
        <v>131860.36250000002</v>
      </c>
      <c r="D120" s="163"/>
      <c r="E120" s="163"/>
      <c r="F120" s="164"/>
      <c r="G120" s="106"/>
      <c r="H120" s="106"/>
      <c r="I120" s="106"/>
      <c r="J120" s="107"/>
      <c r="K120" s="108"/>
      <c r="L120" s="107"/>
      <c r="M120" s="106"/>
      <c r="N120" s="64"/>
      <c r="O120" s="64"/>
      <c r="P120" s="64"/>
      <c r="Q120" s="64"/>
      <c r="R120" s="64"/>
      <c r="S120" s="64"/>
      <c r="T120" s="64"/>
      <c r="U120" s="64"/>
    </row>
    <row r="121" spans="1:21" ht="18">
      <c r="A121" s="64"/>
      <c r="B121" s="117" t="s">
        <v>219</v>
      </c>
      <c r="C121" s="162">
        <f>60792.6+32352.06+41724.12+47152.41+44788.61+33161.34+61324.5+36096.78+39041.15+57842.01+30009.9+48693.21</f>
        <v>532978.69000000006</v>
      </c>
      <c r="D121" s="163"/>
      <c r="E121" s="163"/>
      <c r="F121" s="164"/>
      <c r="G121" s="64"/>
      <c r="I121" s="109" t="s">
        <v>103</v>
      </c>
      <c r="J121" s="110"/>
      <c r="K121" s="111"/>
      <c r="L121" s="112"/>
      <c r="M121" s="109"/>
      <c r="N121" s="109"/>
      <c r="O121" s="64"/>
      <c r="P121" s="64"/>
      <c r="Q121" s="64"/>
      <c r="R121" s="64"/>
      <c r="S121" s="64"/>
      <c r="T121" s="64"/>
      <c r="U121" s="64"/>
    </row>
    <row r="122" spans="1:21" ht="78.75">
      <c r="A122" s="64"/>
      <c r="B122" s="140" t="s">
        <v>245</v>
      </c>
      <c r="C122" s="165">
        <v>129283.83</v>
      </c>
      <c r="D122" s="166"/>
      <c r="E122" s="166"/>
      <c r="F122" s="167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</row>
    <row r="123" spans="1:21" ht="45">
      <c r="A123" s="64"/>
      <c r="B123" s="113" t="s">
        <v>246</v>
      </c>
      <c r="C123" s="159">
        <f>SUM(U114-C118)+C117</f>
        <v>193321.94188240002</v>
      </c>
      <c r="D123" s="160"/>
      <c r="E123" s="160"/>
      <c r="F123" s="161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</row>
    <row r="125" spans="1:21">
      <c r="J125" s="4"/>
      <c r="K125" s="5"/>
      <c r="L125" s="5"/>
      <c r="M125" s="3"/>
    </row>
    <row r="126" spans="1:21">
      <c r="G126" s="6"/>
      <c r="H126" s="6"/>
    </row>
    <row r="127" spans="1:21">
      <c r="G127" s="7"/>
    </row>
  </sheetData>
  <mergeCells count="11">
    <mergeCell ref="B3:L3"/>
    <mergeCell ref="B4:L4"/>
    <mergeCell ref="B5:L5"/>
    <mergeCell ref="B6:L6"/>
    <mergeCell ref="C117:F117"/>
    <mergeCell ref="C123:F123"/>
    <mergeCell ref="C118:F118"/>
    <mergeCell ref="C119:F119"/>
    <mergeCell ref="C120:F120"/>
    <mergeCell ref="C121:F121"/>
    <mergeCell ref="C122:F122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Окт.,51</vt:lpstr>
      <vt:lpstr>'Окт.,51'!Область_печати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2018-03-21T05:29:23Z</cp:lastPrinted>
  <dcterms:created xsi:type="dcterms:W3CDTF">2014-02-05T12:20:20Z</dcterms:created>
  <dcterms:modified xsi:type="dcterms:W3CDTF">2018-03-27T08:59:10Z</dcterms:modified>
</cp:coreProperties>
</file>