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75" yWindow="-75" windowWidth="16065" windowHeight="11280" activeTab="11"/>
  </bookViews>
  <sheets>
    <sheet name="01.20" sheetId="29" r:id="rId1"/>
    <sheet name="02.20" sheetId="30" r:id="rId2"/>
    <sheet name="03.20" sheetId="31" r:id="rId3"/>
    <sheet name="04.20" sheetId="32" r:id="rId4"/>
    <sheet name="05.20" sheetId="33" r:id="rId5"/>
    <sheet name="06.20" sheetId="34" r:id="rId6"/>
    <sheet name="07.20" sheetId="35" r:id="rId7"/>
    <sheet name="08.20" sheetId="36" r:id="rId8"/>
    <sheet name="09.20" sheetId="37" r:id="rId9"/>
    <sheet name="10.20" sheetId="38" r:id="rId10"/>
    <sheet name="11.20" sheetId="27" r:id="rId11"/>
    <sheet name="12.20" sheetId="28" r:id="rId12"/>
  </sheets>
  <definedNames>
    <definedName name="_xlnm.Print_Titles" localSheetId="0">'01.20'!$12:$13</definedName>
    <definedName name="_xlnm.Print_Titles" localSheetId="11">'12.20'!$12:$13</definedName>
    <definedName name="_xlnm.Print_Area" localSheetId="0">'01.20'!$A$1:$I$127</definedName>
    <definedName name="_xlnm.Print_Area" localSheetId="11">'12.20'!$A$1:$I$120</definedName>
  </definedNames>
  <calcPr calcId="124519"/>
</workbook>
</file>

<file path=xl/calcChain.xml><?xml version="1.0" encoding="utf-8"?>
<calcChain xmlns="http://schemas.openxmlformats.org/spreadsheetml/2006/main">
  <c r="I90" i="28"/>
  <c r="I97"/>
  <c r="I96"/>
  <c r="I95"/>
  <c r="I93"/>
  <c r="E89"/>
  <c r="F89" s="1"/>
  <c r="F88"/>
  <c r="H88" s="1"/>
  <c r="F82"/>
  <c r="H82" s="1"/>
  <c r="I80"/>
  <c r="H80"/>
  <c r="F79"/>
  <c r="H79" s="1"/>
  <c r="F52"/>
  <c r="F45"/>
  <c r="H45" s="1"/>
  <c r="I44"/>
  <c r="H44"/>
  <c r="F43"/>
  <c r="I43" s="1"/>
  <c r="F42"/>
  <c r="H42" s="1"/>
  <c r="H41"/>
  <c r="F40"/>
  <c r="H40" s="1"/>
  <c r="F39"/>
  <c r="I39" s="1"/>
  <c r="I38"/>
  <c r="I26"/>
  <c r="H26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H89" l="1"/>
  <c r="I89"/>
  <c r="I88"/>
  <c r="I82"/>
  <c r="I79"/>
  <c r="H39"/>
  <c r="I40"/>
  <c r="I42"/>
  <c r="H43"/>
  <c r="I45"/>
  <c r="I18"/>
  <c r="H18"/>
  <c r="I16"/>
  <c r="I19"/>
  <c r="I21"/>
  <c r="I23"/>
  <c r="I25"/>
  <c r="I90" i="27" l="1"/>
  <c r="I44"/>
  <c r="I43"/>
  <c r="I98"/>
  <c r="I97"/>
  <c r="I95"/>
  <c r="I94"/>
  <c r="E89"/>
  <c r="F89" s="1"/>
  <c r="F88"/>
  <c r="H88" s="1"/>
  <c r="I80"/>
  <c r="H80"/>
  <c r="F79"/>
  <c r="H79" s="1"/>
  <c r="F82"/>
  <c r="H82" s="1"/>
  <c r="F63"/>
  <c r="H63" s="1"/>
  <c r="I60"/>
  <c r="F45"/>
  <c r="F43"/>
  <c r="F42"/>
  <c r="F40"/>
  <c r="F39"/>
  <c r="I26"/>
  <c r="H26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F16"/>
  <c r="I16" s="1"/>
  <c r="I64" i="38"/>
  <c r="I89" s="1"/>
  <c r="I99"/>
  <c r="I96"/>
  <c r="I95"/>
  <c r="I94"/>
  <c r="I93"/>
  <c r="I91"/>
  <c r="E88"/>
  <c r="F88" s="1"/>
  <c r="F87"/>
  <c r="H87" s="1"/>
  <c r="F81"/>
  <c r="H81" s="1"/>
  <c r="I79"/>
  <c r="H79"/>
  <c r="F78"/>
  <c r="H78" s="1"/>
  <c r="F62"/>
  <c r="I62" s="1"/>
  <c r="F32"/>
  <c r="H32" s="1"/>
  <c r="F31"/>
  <c r="I31" s="1"/>
  <c r="F30"/>
  <c r="H30" s="1"/>
  <c r="F29"/>
  <c r="I29" s="1"/>
  <c r="I26"/>
  <c r="H26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16" i="27" l="1"/>
  <c r="H21"/>
  <c r="H19"/>
  <c r="H23"/>
  <c r="H89"/>
  <c r="I89"/>
  <c r="I88"/>
  <c r="I79"/>
  <c r="I82"/>
  <c r="I63"/>
  <c r="H25"/>
  <c r="H17"/>
  <c r="H18"/>
  <c r="H20"/>
  <c r="H22"/>
  <c r="H24"/>
  <c r="H22" i="38"/>
  <c r="H29"/>
  <c r="H62"/>
  <c r="H17"/>
  <c r="H20"/>
  <c r="H24"/>
  <c r="H31"/>
  <c r="H88"/>
  <c r="I88"/>
  <c r="I87"/>
  <c r="I81"/>
  <c r="I78"/>
  <c r="I30"/>
  <c r="I32"/>
  <c r="I18"/>
  <c r="H18"/>
  <c r="I16"/>
  <c r="I19"/>
  <c r="I21"/>
  <c r="I23"/>
  <c r="I25"/>
  <c r="I92" i="37" l="1"/>
  <c r="I71"/>
  <c r="I89"/>
  <c r="E88"/>
  <c r="F88" s="1"/>
  <c r="F87"/>
  <c r="H87" s="1"/>
  <c r="F81"/>
  <c r="H81" s="1"/>
  <c r="I79"/>
  <c r="H79"/>
  <c r="F78"/>
  <c r="H78" s="1"/>
  <c r="F71"/>
  <c r="F70"/>
  <c r="F69"/>
  <c r="F68"/>
  <c r="F67"/>
  <c r="F66"/>
  <c r="F65"/>
  <c r="F64"/>
  <c r="F62"/>
  <c r="H62" s="1"/>
  <c r="F55"/>
  <c r="F53"/>
  <c r="F52"/>
  <c r="F51"/>
  <c r="F50"/>
  <c r="F49"/>
  <c r="F48"/>
  <c r="F47"/>
  <c r="F46"/>
  <c r="F32"/>
  <c r="H32" s="1"/>
  <c r="F31"/>
  <c r="I31" s="1"/>
  <c r="F30"/>
  <c r="H30" s="1"/>
  <c r="F29"/>
  <c r="I29" s="1"/>
  <c r="I26"/>
  <c r="H26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75" i="36"/>
  <c r="H29" i="37" l="1"/>
  <c r="H31"/>
  <c r="H88"/>
  <c r="I88"/>
  <c r="I87"/>
  <c r="I81"/>
  <c r="I78"/>
  <c r="I62"/>
  <c r="I30"/>
  <c r="I32"/>
  <c r="I18"/>
  <c r="H18"/>
  <c r="I16"/>
  <c r="H17"/>
  <c r="I19"/>
  <c r="H20"/>
  <c r="I21"/>
  <c r="H22"/>
  <c r="I23"/>
  <c r="H24"/>
  <c r="I25"/>
  <c r="I64" i="36"/>
  <c r="F83" l="1"/>
  <c r="I18"/>
  <c r="I97"/>
  <c r="I95"/>
  <c r="I94"/>
  <c r="F91"/>
  <c r="I91" s="1"/>
  <c r="E90"/>
  <c r="F90" s="1"/>
  <c r="F89"/>
  <c r="F75"/>
  <c r="F32"/>
  <c r="F31"/>
  <c r="F30"/>
  <c r="F29"/>
  <c r="F25"/>
  <c r="F24"/>
  <c r="F23"/>
  <c r="F22"/>
  <c r="F21"/>
  <c r="F20"/>
  <c r="F19"/>
  <c r="E18"/>
  <c r="F18" s="1"/>
  <c r="F17"/>
  <c r="F16"/>
  <c r="I91" i="33"/>
  <c r="I87"/>
  <c r="I91" i="35" l="1"/>
  <c r="I99"/>
  <c r="I96"/>
  <c r="I95"/>
  <c r="I94"/>
  <c r="I93"/>
  <c r="I99" i="31" l="1"/>
  <c r="I98"/>
  <c r="I100" i="34" l="1"/>
  <c r="I25"/>
  <c r="I91" s="1"/>
  <c r="I23"/>
  <c r="I99"/>
  <c r="I98"/>
  <c r="I97"/>
  <c r="I96"/>
  <c r="I95"/>
  <c r="I94"/>
  <c r="I93"/>
  <c r="I99" i="33"/>
  <c r="I98"/>
  <c r="I94"/>
  <c r="I93"/>
  <c r="I98" i="32"/>
  <c r="I97"/>
  <c r="I96" l="1"/>
  <c r="I95"/>
  <c r="I65" l="1"/>
  <c r="I90" s="1"/>
  <c r="I92"/>
  <c r="I97" i="31" l="1"/>
  <c r="I89"/>
  <c r="I92"/>
  <c r="I91"/>
  <c r="I43"/>
  <c r="I37"/>
  <c r="I104" i="29" l="1"/>
  <c r="I103"/>
  <c r="I102"/>
  <c r="I101"/>
  <c r="I100"/>
  <c r="I99" i="30"/>
  <c r="I90"/>
  <c r="I40"/>
  <c r="I98"/>
  <c r="I97"/>
  <c r="I94"/>
  <c r="I93"/>
  <c r="I92"/>
  <c r="I37"/>
  <c r="I99" i="29"/>
  <c r="I97"/>
  <c r="I95"/>
  <c r="I94"/>
  <c r="I93"/>
  <c r="I92"/>
  <c r="I65"/>
  <c r="I38"/>
  <c r="I65" i="27" l="1"/>
  <c r="I38"/>
  <c r="I44" i="38"/>
  <c r="I64" i="37"/>
  <c r="I59" i="36"/>
  <c r="H32"/>
  <c r="I31"/>
  <c r="H30"/>
  <c r="I29"/>
  <c r="H26"/>
  <c r="I25"/>
  <c r="H24"/>
  <c r="I23"/>
  <c r="H22"/>
  <c r="I21"/>
  <c r="H20"/>
  <c r="I19"/>
  <c r="H18"/>
  <c r="H17"/>
  <c r="I16"/>
  <c r="I85" i="35"/>
  <c r="I75"/>
  <c r="I64"/>
  <c r="F32"/>
  <c r="H32" s="1"/>
  <c r="F31"/>
  <c r="I31" s="1"/>
  <c r="F30"/>
  <c r="H30" s="1"/>
  <c r="F29"/>
  <c r="I29" s="1"/>
  <c r="F26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H18" s="1"/>
  <c r="F17"/>
  <c r="H17" s="1"/>
  <c r="F16"/>
  <c r="I16" s="1"/>
  <c r="F26" i="34"/>
  <c r="I26" s="1"/>
  <c r="F25"/>
  <c r="F24"/>
  <c r="I24" s="1"/>
  <c r="F23"/>
  <c r="F22"/>
  <c r="I22" s="1"/>
  <c r="F21"/>
  <c r="I21" s="1"/>
  <c r="F20"/>
  <c r="I20" s="1"/>
  <c r="F19"/>
  <c r="I19" s="1"/>
  <c r="E18"/>
  <c r="F18" s="1"/>
  <c r="F17"/>
  <c r="I17" s="1"/>
  <c r="F16"/>
  <c r="I16" s="1"/>
  <c r="F22" i="33"/>
  <c r="H22" s="1"/>
  <c r="F26"/>
  <c r="H26" s="1"/>
  <c r="F25"/>
  <c r="I25" s="1"/>
  <c r="F24"/>
  <c r="H24" s="1"/>
  <c r="F23"/>
  <c r="I23" s="1"/>
  <c r="F21"/>
  <c r="I21" s="1"/>
  <c r="F20"/>
  <c r="H20" s="1"/>
  <c r="F19"/>
  <c r="I19" s="1"/>
  <c r="E18"/>
  <c r="F18" s="1"/>
  <c r="F17"/>
  <c r="I17" s="1"/>
  <c r="F16"/>
  <c r="I16" s="1"/>
  <c r="F26" i="32"/>
  <c r="H26" s="1"/>
  <c r="F25"/>
  <c r="I25" s="1"/>
  <c r="F24"/>
  <c r="H24" s="1"/>
  <c r="F23"/>
  <c r="I23" s="1"/>
  <c r="F22"/>
  <c r="H22" s="1"/>
  <c r="F21"/>
  <c r="I21" s="1"/>
  <c r="F20"/>
  <c r="H20" s="1"/>
  <c r="F19"/>
  <c r="I19" s="1"/>
  <c r="E18"/>
  <c r="F18" s="1"/>
  <c r="F17"/>
  <c r="H17" s="1"/>
  <c r="F16"/>
  <c r="I16" s="1"/>
  <c r="F26" i="31"/>
  <c r="H26" s="1"/>
  <c r="F25"/>
  <c r="I25" s="1"/>
  <c r="F24"/>
  <c r="H24" s="1"/>
  <c r="F23"/>
  <c r="I23" s="1"/>
  <c r="F22"/>
  <c r="H22" s="1"/>
  <c r="F21"/>
  <c r="I21" s="1"/>
  <c r="F20"/>
  <c r="H20" s="1"/>
  <c r="H19"/>
  <c r="F19"/>
  <c r="I19" s="1"/>
  <c r="E18"/>
  <c r="F18" s="1"/>
  <c r="F17"/>
  <c r="H17" s="1"/>
  <c r="F16"/>
  <c r="I16" s="1"/>
  <c r="F26" i="30"/>
  <c r="H26" s="1"/>
  <c r="F26" i="29"/>
  <c r="I22" i="33" l="1"/>
  <c r="H16" i="36"/>
  <c r="H29"/>
  <c r="H19"/>
  <c r="H31"/>
  <c r="I30"/>
  <c r="I32"/>
  <c r="I17"/>
  <c r="I20"/>
  <c r="H21"/>
  <c r="I22"/>
  <c r="H23"/>
  <c r="I24"/>
  <c r="H25"/>
  <c r="I26"/>
  <c r="H23" i="35"/>
  <c r="H29"/>
  <c r="H31"/>
  <c r="I30"/>
  <c r="I32"/>
  <c r="H19"/>
  <c r="H16"/>
  <c r="H21"/>
  <c r="H25"/>
  <c r="I17"/>
  <c r="I18"/>
  <c r="I20"/>
  <c r="I22"/>
  <c r="I24"/>
  <c r="I26"/>
  <c r="H22" i="34"/>
  <c r="H26"/>
  <c r="H17"/>
  <c r="H20"/>
  <c r="H24"/>
  <c r="H18"/>
  <c r="I18"/>
  <c r="H16"/>
  <c r="H19"/>
  <c r="H21"/>
  <c r="H23"/>
  <c r="H25"/>
  <c r="H17" i="33"/>
  <c r="H18"/>
  <c r="I18"/>
  <c r="H16"/>
  <c r="H19"/>
  <c r="I20"/>
  <c r="H21"/>
  <c r="H23"/>
  <c r="I24"/>
  <c r="H25"/>
  <c r="I26"/>
  <c r="H18" i="32"/>
  <c r="I18"/>
  <c r="H16"/>
  <c r="I17"/>
  <c r="H19"/>
  <c r="I20"/>
  <c r="H21"/>
  <c r="I22"/>
  <c r="H23"/>
  <c r="I24"/>
  <c r="H25"/>
  <c r="I26"/>
  <c r="H18" i="31"/>
  <c r="I18"/>
  <c r="H16"/>
  <c r="I17"/>
  <c r="I20"/>
  <c r="H21"/>
  <c r="I22"/>
  <c r="H23"/>
  <c r="I24"/>
  <c r="H25"/>
  <c r="I26"/>
  <c r="I26" i="30"/>
  <c r="I87" i="34" l="1"/>
  <c r="H60" i="32" l="1"/>
  <c r="I60"/>
  <c r="I59"/>
  <c r="I41" l="1"/>
  <c r="I58" i="31" l="1"/>
  <c r="I59"/>
  <c r="I65" i="30" l="1"/>
  <c r="I60" i="29" l="1"/>
  <c r="I59"/>
  <c r="I76" i="28"/>
  <c r="I65"/>
  <c r="I60"/>
  <c r="H85" i="38"/>
  <c r="H83"/>
  <c r="H77"/>
  <c r="F76"/>
  <c r="H76" s="1"/>
  <c r="H89" s="1"/>
  <c r="I75"/>
  <c r="F75"/>
  <c r="H75" s="1"/>
  <c r="F74"/>
  <c r="H74" s="1"/>
  <c r="H73"/>
  <c r="F71"/>
  <c r="H71" s="1"/>
  <c r="F70"/>
  <c r="I70" s="1"/>
  <c r="F69"/>
  <c r="H69" s="1"/>
  <c r="F68"/>
  <c r="I68" s="1"/>
  <c r="F67"/>
  <c r="H67" s="1"/>
  <c r="F66"/>
  <c r="I66" s="1"/>
  <c r="F65"/>
  <c r="H65" s="1"/>
  <c r="F64"/>
  <c r="H64" s="1"/>
  <c r="F61"/>
  <c r="H61" s="1"/>
  <c r="I59"/>
  <c r="H59"/>
  <c r="F58"/>
  <c r="H58" s="1"/>
  <c r="F55"/>
  <c r="I55" s="1"/>
  <c r="I54"/>
  <c r="H54"/>
  <c r="F53"/>
  <c r="H53" s="1"/>
  <c r="F52"/>
  <c r="I52" s="1"/>
  <c r="F51"/>
  <c r="H51" s="1"/>
  <c r="F50"/>
  <c r="I50" s="1"/>
  <c r="F49"/>
  <c r="H49" s="1"/>
  <c r="F48"/>
  <c r="I48" s="1"/>
  <c r="F47"/>
  <c r="H47" s="1"/>
  <c r="F46"/>
  <c r="I46" s="1"/>
  <c r="F44"/>
  <c r="H44" s="1"/>
  <c r="I43"/>
  <c r="H43"/>
  <c r="F42"/>
  <c r="I42" s="1"/>
  <c r="F41"/>
  <c r="H41" s="1"/>
  <c r="I40"/>
  <c r="H39"/>
  <c r="F38"/>
  <c r="I38" s="1"/>
  <c r="F37"/>
  <c r="H37" s="1"/>
  <c r="I36"/>
  <c r="H36"/>
  <c r="H34"/>
  <c r="H33"/>
  <c r="I75" i="37"/>
  <c r="H85"/>
  <c r="H83"/>
  <c r="H77"/>
  <c r="F76"/>
  <c r="H76" s="1"/>
  <c r="H89" s="1"/>
  <c r="F75"/>
  <c r="H75" s="1"/>
  <c r="F74"/>
  <c r="H74" s="1"/>
  <c r="H73"/>
  <c r="H70"/>
  <c r="I69"/>
  <c r="H68"/>
  <c r="I67"/>
  <c r="H66"/>
  <c r="H65"/>
  <c r="H64"/>
  <c r="F61"/>
  <c r="H61" s="1"/>
  <c r="I59"/>
  <c r="H59"/>
  <c r="F58"/>
  <c r="I58" s="1"/>
  <c r="H55"/>
  <c r="I54"/>
  <c r="H54"/>
  <c r="I53"/>
  <c r="H52"/>
  <c r="I51"/>
  <c r="H50"/>
  <c r="I49"/>
  <c r="H48"/>
  <c r="I47"/>
  <c r="H46"/>
  <c r="F44"/>
  <c r="I44" s="1"/>
  <c r="I43"/>
  <c r="H43"/>
  <c r="F42"/>
  <c r="H42" s="1"/>
  <c r="F41"/>
  <c r="I41" s="1"/>
  <c r="I40"/>
  <c r="H39"/>
  <c r="F38"/>
  <c r="H38" s="1"/>
  <c r="F37"/>
  <c r="I37" s="1"/>
  <c r="I36"/>
  <c r="H36"/>
  <c r="H34"/>
  <c r="H33"/>
  <c r="H52" i="38" l="1"/>
  <c r="H70"/>
  <c r="H68"/>
  <c r="H66"/>
  <c r="H55"/>
  <c r="H50"/>
  <c r="H48"/>
  <c r="H46"/>
  <c r="H42"/>
  <c r="H38"/>
  <c r="I37"/>
  <c r="I41"/>
  <c r="I47"/>
  <c r="I49"/>
  <c r="I51"/>
  <c r="I53"/>
  <c r="I58"/>
  <c r="I67"/>
  <c r="I69"/>
  <c r="I71"/>
  <c r="H49" i="37"/>
  <c r="H71"/>
  <c r="H47"/>
  <c r="H51"/>
  <c r="H69"/>
  <c r="H67"/>
  <c r="H58"/>
  <c r="H53"/>
  <c r="H44"/>
  <c r="H41"/>
  <c r="H37"/>
  <c r="I38"/>
  <c r="I42"/>
  <c r="I46"/>
  <c r="I48"/>
  <c r="I50"/>
  <c r="I52"/>
  <c r="I55"/>
  <c r="I66"/>
  <c r="I68"/>
  <c r="I70"/>
  <c r="H84" i="38" l="1"/>
  <c r="I101"/>
  <c r="I94" i="37"/>
  <c r="H84"/>
  <c r="H95" i="36" l="1"/>
  <c r="H94"/>
  <c r="I89"/>
  <c r="H87"/>
  <c r="H85"/>
  <c r="I83"/>
  <c r="I92" s="1"/>
  <c r="I81"/>
  <c r="I79"/>
  <c r="H79"/>
  <c r="F78"/>
  <c r="I78" s="1"/>
  <c r="H77"/>
  <c r="F76"/>
  <c r="H76" s="1"/>
  <c r="H92" s="1"/>
  <c r="H75"/>
  <c r="F74"/>
  <c r="H74" s="1"/>
  <c r="H73"/>
  <c r="F71"/>
  <c r="I71" s="1"/>
  <c r="F70"/>
  <c r="H70" s="1"/>
  <c r="F69"/>
  <c r="I69" s="1"/>
  <c r="F68"/>
  <c r="H68" s="1"/>
  <c r="F67"/>
  <c r="I67" s="1"/>
  <c r="F66"/>
  <c r="H66" s="1"/>
  <c r="F65"/>
  <c r="H65" s="1"/>
  <c r="F64"/>
  <c r="H64" s="1"/>
  <c r="F62"/>
  <c r="H62" s="1"/>
  <c r="F61"/>
  <c r="H61" s="1"/>
  <c r="H59"/>
  <c r="F58"/>
  <c r="I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I40"/>
  <c r="H39"/>
  <c r="F38"/>
  <c r="H38" s="1"/>
  <c r="F37"/>
  <c r="I37" s="1"/>
  <c r="I36"/>
  <c r="H36"/>
  <c r="H34"/>
  <c r="H33"/>
  <c r="I59" i="30"/>
  <c r="H83" i="36" l="1"/>
  <c r="H89"/>
  <c r="H78"/>
  <c r="H71"/>
  <c r="H69"/>
  <c r="H67"/>
  <c r="H58"/>
  <c r="H53"/>
  <c r="H51"/>
  <c r="H49"/>
  <c r="H47"/>
  <c r="H44"/>
  <c r="H41"/>
  <c r="H37"/>
  <c r="I90"/>
  <c r="H90"/>
  <c r="I38"/>
  <c r="I42"/>
  <c r="I46"/>
  <c r="I48"/>
  <c r="I50"/>
  <c r="I52"/>
  <c r="I55"/>
  <c r="I62"/>
  <c r="I66"/>
  <c r="I68"/>
  <c r="I70"/>
  <c r="H86" l="1"/>
  <c r="I99"/>
  <c r="H93" i="35"/>
  <c r="E90"/>
  <c r="F90" s="1"/>
  <c r="F89"/>
  <c r="I89" s="1"/>
  <c r="H87"/>
  <c r="H85"/>
  <c r="F83"/>
  <c r="I83" s="1"/>
  <c r="I81"/>
  <c r="I79"/>
  <c r="H79"/>
  <c r="F78"/>
  <c r="I78" s="1"/>
  <c r="H77"/>
  <c r="F76"/>
  <c r="H76" s="1"/>
  <c r="H91" s="1"/>
  <c r="F75"/>
  <c r="H75" s="1"/>
  <c r="F74"/>
  <c r="H74" s="1"/>
  <c r="H73"/>
  <c r="F71"/>
  <c r="I71" s="1"/>
  <c r="F70"/>
  <c r="H70" s="1"/>
  <c r="F69"/>
  <c r="I69" s="1"/>
  <c r="F68"/>
  <c r="H68" s="1"/>
  <c r="F67"/>
  <c r="I67" s="1"/>
  <c r="F66"/>
  <c r="H66" s="1"/>
  <c r="F65"/>
  <c r="H65" s="1"/>
  <c r="F64"/>
  <c r="H64" s="1"/>
  <c r="F62"/>
  <c r="H62" s="1"/>
  <c r="F61"/>
  <c r="H61" s="1"/>
  <c r="I59"/>
  <c r="H59"/>
  <c r="F58"/>
  <c r="I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I40"/>
  <c r="H39"/>
  <c r="F38"/>
  <c r="H38" s="1"/>
  <c r="F37"/>
  <c r="I37" s="1"/>
  <c r="I36"/>
  <c r="H36"/>
  <c r="H34"/>
  <c r="H33"/>
  <c r="I75" i="34"/>
  <c r="H95"/>
  <c r="H94"/>
  <c r="H93"/>
  <c r="E90"/>
  <c r="F90" s="1"/>
  <c r="F89"/>
  <c r="H89" s="1"/>
  <c r="H87"/>
  <c r="H85"/>
  <c r="F83"/>
  <c r="H83" s="1"/>
  <c r="I81"/>
  <c r="I79"/>
  <c r="H79"/>
  <c r="F78"/>
  <c r="I78" s="1"/>
  <c r="H77"/>
  <c r="F76"/>
  <c r="H76" s="1"/>
  <c r="H91" s="1"/>
  <c r="F75"/>
  <c r="H75" s="1"/>
  <c r="F74"/>
  <c r="H74" s="1"/>
  <c r="H73"/>
  <c r="F71"/>
  <c r="I71" s="1"/>
  <c r="F70"/>
  <c r="I70" s="1"/>
  <c r="F69"/>
  <c r="I69" s="1"/>
  <c r="F68"/>
  <c r="I68" s="1"/>
  <c r="F67"/>
  <c r="I67" s="1"/>
  <c r="F66"/>
  <c r="I66" s="1"/>
  <c r="F65"/>
  <c r="H65" s="1"/>
  <c r="I64"/>
  <c r="F64"/>
  <c r="H64" s="1"/>
  <c r="F62"/>
  <c r="I62" s="1"/>
  <c r="F61"/>
  <c r="H61" s="1"/>
  <c r="I59"/>
  <c r="H59"/>
  <c r="F58"/>
  <c r="I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F44"/>
  <c r="I44" s="1"/>
  <c r="I43"/>
  <c r="H43"/>
  <c r="F42"/>
  <c r="I42" s="1"/>
  <c r="F41"/>
  <c r="I41" s="1"/>
  <c r="I40"/>
  <c r="H39"/>
  <c r="F38"/>
  <c r="I38" s="1"/>
  <c r="F37"/>
  <c r="I37" s="1"/>
  <c r="I36"/>
  <c r="H36"/>
  <c r="H34"/>
  <c r="H33"/>
  <c r="F32"/>
  <c r="I32" s="1"/>
  <c r="F31"/>
  <c r="I31" s="1"/>
  <c r="F30"/>
  <c r="I30" s="1"/>
  <c r="F29"/>
  <c r="I29" s="1"/>
  <c r="E90" i="33"/>
  <c r="F90" s="1"/>
  <c r="F89"/>
  <c r="I89" s="1"/>
  <c r="H87"/>
  <c r="H85"/>
  <c r="F83"/>
  <c r="I83" s="1"/>
  <c r="I81"/>
  <c r="I79"/>
  <c r="H79"/>
  <c r="F78"/>
  <c r="I78" s="1"/>
  <c r="H77"/>
  <c r="F76"/>
  <c r="H76" s="1"/>
  <c r="H91" s="1"/>
  <c r="I75"/>
  <c r="F75"/>
  <c r="H75" s="1"/>
  <c r="F74"/>
  <c r="H74" s="1"/>
  <c r="H73"/>
  <c r="F71"/>
  <c r="I71" s="1"/>
  <c r="F70"/>
  <c r="H70" s="1"/>
  <c r="F69"/>
  <c r="I69" s="1"/>
  <c r="F68"/>
  <c r="H68" s="1"/>
  <c r="F67"/>
  <c r="I67" s="1"/>
  <c r="F66"/>
  <c r="H66" s="1"/>
  <c r="F65"/>
  <c r="H65" s="1"/>
  <c r="I64"/>
  <c r="F64"/>
  <c r="H64" s="1"/>
  <c r="F62"/>
  <c r="H62" s="1"/>
  <c r="F61"/>
  <c r="H61" s="1"/>
  <c r="I59"/>
  <c r="H59"/>
  <c r="F58"/>
  <c r="I58" s="1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F44"/>
  <c r="I44" s="1"/>
  <c r="I43"/>
  <c r="H43"/>
  <c r="F42"/>
  <c r="H42" s="1"/>
  <c r="F41"/>
  <c r="I41" s="1"/>
  <c r="I40"/>
  <c r="H39"/>
  <c r="F38"/>
  <c r="H38" s="1"/>
  <c r="F37"/>
  <c r="I37" s="1"/>
  <c r="I36"/>
  <c r="H36"/>
  <c r="H34"/>
  <c r="H33"/>
  <c r="F32"/>
  <c r="H32" s="1"/>
  <c r="F31"/>
  <c r="I31" s="1"/>
  <c r="F30"/>
  <c r="H30" s="1"/>
  <c r="F29"/>
  <c r="I29" s="1"/>
  <c r="H78" i="35" l="1"/>
  <c r="H83"/>
  <c r="H89"/>
  <c r="H29" i="34"/>
  <c r="H78"/>
  <c r="H71" i="35"/>
  <c r="H69"/>
  <c r="H67"/>
  <c r="H86" s="1"/>
  <c r="H58"/>
  <c r="H53"/>
  <c r="H51"/>
  <c r="H49"/>
  <c r="H47"/>
  <c r="H44"/>
  <c r="H41"/>
  <c r="H37"/>
  <c r="I90"/>
  <c r="H90"/>
  <c r="I38"/>
  <c r="I42"/>
  <c r="I46"/>
  <c r="I48"/>
  <c r="I50"/>
  <c r="I52"/>
  <c r="I55"/>
  <c r="I62"/>
  <c r="I66"/>
  <c r="I68"/>
  <c r="I70"/>
  <c r="H71" i="34"/>
  <c r="H69"/>
  <c r="H67"/>
  <c r="H58"/>
  <c r="H53"/>
  <c r="H51"/>
  <c r="H49"/>
  <c r="H47"/>
  <c r="H44"/>
  <c r="H41"/>
  <c r="H37"/>
  <c r="H31"/>
  <c r="H90"/>
  <c r="I90"/>
  <c r="H30"/>
  <c r="H32"/>
  <c r="H38"/>
  <c r="H42"/>
  <c r="H46"/>
  <c r="H48"/>
  <c r="H50"/>
  <c r="H52"/>
  <c r="H55"/>
  <c r="H62"/>
  <c r="H66"/>
  <c r="H68"/>
  <c r="H70"/>
  <c r="I83"/>
  <c r="I89"/>
  <c r="H78" i="33"/>
  <c r="H29"/>
  <c r="H47"/>
  <c r="H51"/>
  <c r="H69"/>
  <c r="H31"/>
  <c r="H49"/>
  <c r="H53"/>
  <c r="H67"/>
  <c r="H83"/>
  <c r="H89"/>
  <c r="H71"/>
  <c r="H58"/>
  <c r="H37"/>
  <c r="H41"/>
  <c r="H44"/>
  <c r="I90"/>
  <c r="H90"/>
  <c r="I30"/>
  <c r="I32"/>
  <c r="I38"/>
  <c r="I42"/>
  <c r="I46"/>
  <c r="I48"/>
  <c r="I50"/>
  <c r="I52"/>
  <c r="I55"/>
  <c r="I62"/>
  <c r="I66"/>
  <c r="I68"/>
  <c r="I70"/>
  <c r="I101" l="1"/>
  <c r="I101" i="35"/>
  <c r="I102" i="34"/>
  <c r="H86" i="33"/>
  <c r="H86" i="34"/>
  <c r="H94" i="32" l="1"/>
  <c r="H93"/>
  <c r="E89"/>
  <c r="F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3"/>
  <c r="H63" s="1"/>
  <c r="F62"/>
  <c r="H62" s="1"/>
  <c r="F59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I44"/>
  <c r="H44"/>
  <c r="F43"/>
  <c r="H43" s="1"/>
  <c r="F42"/>
  <c r="I42" s="1"/>
  <c r="H40"/>
  <c r="F39"/>
  <c r="I39" s="1"/>
  <c r="F38"/>
  <c r="H38" s="1"/>
  <c r="I37"/>
  <c r="H37"/>
  <c r="H35"/>
  <c r="H34"/>
  <c r="F33"/>
  <c r="I33" s="1"/>
  <c r="E33"/>
  <c r="F32"/>
  <c r="I32" s="1"/>
  <c r="F31"/>
  <c r="H31" s="1"/>
  <c r="F30"/>
  <c r="I30" s="1"/>
  <c r="F29"/>
  <c r="H29" s="1"/>
  <c r="E88" i="31"/>
  <c r="F88" s="1"/>
  <c r="H88" s="1"/>
  <c r="F87"/>
  <c r="I87" s="1"/>
  <c r="H85"/>
  <c r="H83"/>
  <c r="F81"/>
  <c r="I81" s="1"/>
  <c r="I79"/>
  <c r="H79"/>
  <c r="F78"/>
  <c r="I78" s="1"/>
  <c r="H77"/>
  <c r="F76"/>
  <c r="H76" s="1"/>
  <c r="H89" s="1"/>
  <c r="I75"/>
  <c r="F75"/>
  <c r="H75" s="1"/>
  <c r="F74"/>
  <c r="H74" s="1"/>
  <c r="H73"/>
  <c r="F71"/>
  <c r="I71" s="1"/>
  <c r="F70"/>
  <c r="H70" s="1"/>
  <c r="F69"/>
  <c r="I69" s="1"/>
  <c r="F68"/>
  <c r="H68" s="1"/>
  <c r="F67"/>
  <c r="I67" s="1"/>
  <c r="F66"/>
  <c r="H66" s="1"/>
  <c r="F65"/>
  <c r="H65" s="1"/>
  <c r="I64"/>
  <c r="F64"/>
  <c r="H64" s="1"/>
  <c r="F62"/>
  <c r="I62" s="1"/>
  <c r="F61"/>
  <c r="H61" s="1"/>
  <c r="H59"/>
  <c r="F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I46" s="1"/>
  <c r="F44"/>
  <c r="I44" s="1"/>
  <c r="H43"/>
  <c r="F42"/>
  <c r="I42" s="1"/>
  <c r="F41"/>
  <c r="I41" s="1"/>
  <c r="H40"/>
  <c r="F39"/>
  <c r="I39" s="1"/>
  <c r="F38"/>
  <c r="H38" s="1"/>
  <c r="H37"/>
  <c r="H35"/>
  <c r="H34"/>
  <c r="F33"/>
  <c r="I33" s="1"/>
  <c r="E33"/>
  <c r="F32"/>
  <c r="I32" s="1"/>
  <c r="F31"/>
  <c r="H31" s="1"/>
  <c r="F30"/>
  <c r="I30" s="1"/>
  <c r="F29"/>
  <c r="H29" s="1"/>
  <c r="H32" l="1"/>
  <c r="H42" i="32"/>
  <c r="H33"/>
  <c r="H39"/>
  <c r="H45"/>
  <c r="H71" i="31"/>
  <c r="H39"/>
  <c r="H67"/>
  <c r="H42"/>
  <c r="H30"/>
  <c r="H33"/>
  <c r="H62"/>
  <c r="H69"/>
  <c r="H81"/>
  <c r="H87"/>
  <c r="H79" i="32"/>
  <c r="H72"/>
  <c r="H70"/>
  <c r="H68"/>
  <c r="H59"/>
  <c r="H54"/>
  <c r="H52"/>
  <c r="H50"/>
  <c r="H48"/>
  <c r="H32"/>
  <c r="H30"/>
  <c r="H89"/>
  <c r="I89"/>
  <c r="I29"/>
  <c r="I31"/>
  <c r="I38"/>
  <c r="I43"/>
  <c r="I47"/>
  <c r="I49"/>
  <c r="I51"/>
  <c r="I53"/>
  <c r="I56"/>
  <c r="I63"/>
  <c r="I67"/>
  <c r="I69"/>
  <c r="I71"/>
  <c r="I82"/>
  <c r="I88"/>
  <c r="H46" i="31"/>
  <c r="H49"/>
  <c r="H53"/>
  <c r="H51"/>
  <c r="I29"/>
  <c r="I31"/>
  <c r="I38"/>
  <c r="H41"/>
  <c r="H44"/>
  <c r="H47"/>
  <c r="I48"/>
  <c r="I50"/>
  <c r="I52"/>
  <c r="I55"/>
  <c r="H58"/>
  <c r="I66"/>
  <c r="I68"/>
  <c r="I70"/>
  <c r="H78"/>
  <c r="I88"/>
  <c r="I100" i="32" l="1"/>
  <c r="I101" i="31"/>
  <c r="H84"/>
  <c r="H85" i="32"/>
  <c r="I43" i="30" l="1"/>
  <c r="I44" i="29"/>
  <c r="H93" i="30" l="1"/>
  <c r="H92"/>
  <c r="I60"/>
  <c r="E89"/>
  <c r="F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3"/>
  <c r="H63" s="1"/>
  <c r="F62"/>
  <c r="H62" s="1"/>
  <c r="H60"/>
  <c r="F59"/>
  <c r="F56"/>
  <c r="H56" s="1"/>
  <c r="I55"/>
  <c r="H55"/>
  <c r="F54"/>
  <c r="I54" s="1"/>
  <c r="F53"/>
  <c r="H53" s="1"/>
  <c r="F52"/>
  <c r="I52" s="1"/>
  <c r="F51"/>
  <c r="I51" s="1"/>
  <c r="F50"/>
  <c r="H50" s="1"/>
  <c r="F49"/>
  <c r="I49" s="1"/>
  <c r="F48"/>
  <c r="H48" s="1"/>
  <c r="F47"/>
  <c r="I47" s="1"/>
  <c r="F44"/>
  <c r="H44" s="1"/>
  <c r="H43"/>
  <c r="F42"/>
  <c r="I42" s="1"/>
  <c r="F41"/>
  <c r="H41" s="1"/>
  <c r="H40"/>
  <c r="F39"/>
  <c r="H39" s="1"/>
  <c r="F38"/>
  <c r="I38" s="1"/>
  <c r="H37"/>
  <c r="H35"/>
  <c r="H34"/>
  <c r="F33"/>
  <c r="H33" s="1"/>
  <c r="E33"/>
  <c r="F32"/>
  <c r="H32" s="1"/>
  <c r="F31"/>
  <c r="I31" s="1"/>
  <c r="F30"/>
  <c r="H30" s="1"/>
  <c r="F29"/>
  <c r="I29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31" l="1"/>
  <c r="H51"/>
  <c r="H22"/>
  <c r="H42"/>
  <c r="H47"/>
  <c r="H17"/>
  <c r="H20"/>
  <c r="H24"/>
  <c r="H29"/>
  <c r="H38"/>
  <c r="H49"/>
  <c r="H89"/>
  <c r="I89"/>
  <c r="I18"/>
  <c r="H18"/>
  <c r="I16"/>
  <c r="I19"/>
  <c r="I21"/>
  <c r="I23"/>
  <c r="I25"/>
  <c r="I30"/>
  <c r="I32"/>
  <c r="I33"/>
  <c r="I39"/>
  <c r="I41"/>
  <c r="I44"/>
  <c r="I48"/>
  <c r="I50"/>
  <c r="H52"/>
  <c r="I53"/>
  <c r="H54"/>
  <c r="I56"/>
  <c r="H59"/>
  <c r="I63"/>
  <c r="I67"/>
  <c r="H68"/>
  <c r="I69"/>
  <c r="H70"/>
  <c r="I71"/>
  <c r="H72"/>
  <c r="H79"/>
  <c r="I82"/>
  <c r="I88"/>
  <c r="I101" l="1"/>
  <c r="H85"/>
  <c r="F63" i="29" l="1"/>
  <c r="H63" s="1"/>
  <c r="H95" l="1"/>
  <c r="H92"/>
  <c r="E89" l="1"/>
  <c r="F89" s="1"/>
  <c r="H89" s="1"/>
  <c r="F88"/>
  <c r="H88" s="1"/>
  <c r="H86"/>
  <c r="H84"/>
  <c r="F82"/>
  <c r="H82" s="1"/>
  <c r="I80"/>
  <c r="H80"/>
  <c r="F79"/>
  <c r="I79" s="1"/>
  <c r="H78"/>
  <c r="F77"/>
  <c r="H77" s="1"/>
  <c r="H90" s="1"/>
  <c r="I76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F62"/>
  <c r="H62" s="1"/>
  <c r="H60"/>
  <c r="F59"/>
  <c r="F56"/>
  <c r="H56" s="1"/>
  <c r="I55"/>
  <c r="H55"/>
  <c r="F54"/>
  <c r="I54" s="1"/>
  <c r="F53"/>
  <c r="H53" s="1"/>
  <c r="F52"/>
  <c r="I52" s="1"/>
  <c r="F51"/>
  <c r="H51" s="1"/>
  <c r="F50"/>
  <c r="I50" s="1"/>
  <c r="F49"/>
  <c r="H49" s="1"/>
  <c r="F48"/>
  <c r="I48" s="1"/>
  <c r="F47"/>
  <c r="H47" s="1"/>
  <c r="F45"/>
  <c r="I45" s="1"/>
  <c r="H44"/>
  <c r="F43"/>
  <c r="F42"/>
  <c r="I42" s="1"/>
  <c r="H41"/>
  <c r="F40"/>
  <c r="I40" s="1"/>
  <c r="F39"/>
  <c r="H39" s="1"/>
  <c r="H38"/>
  <c r="H36"/>
  <c r="H35"/>
  <c r="F34"/>
  <c r="I34" s="1"/>
  <c r="E34"/>
  <c r="F33"/>
  <c r="I33" s="1"/>
  <c r="F32"/>
  <c r="H32" s="1"/>
  <c r="F31"/>
  <c r="I31" s="1"/>
  <c r="F30"/>
  <c r="H30" s="1"/>
  <c r="F27"/>
  <c r="I27" s="1"/>
  <c r="H26"/>
  <c r="F25"/>
  <c r="I25" s="1"/>
  <c r="F24"/>
  <c r="F23"/>
  <c r="I23" s="1"/>
  <c r="F22"/>
  <c r="F21"/>
  <c r="I21" s="1"/>
  <c r="F20"/>
  <c r="H20" s="1"/>
  <c r="F19"/>
  <c r="I19" s="1"/>
  <c r="E18"/>
  <c r="F18" s="1"/>
  <c r="H18" s="1"/>
  <c r="F17"/>
  <c r="H17" s="1"/>
  <c r="F16"/>
  <c r="I16" s="1"/>
  <c r="H86" i="28"/>
  <c r="H84"/>
  <c r="H78"/>
  <c r="F77"/>
  <c r="H77" s="1"/>
  <c r="H90" s="1"/>
  <c r="F76"/>
  <c r="H76" s="1"/>
  <c r="F75"/>
  <c r="H75" s="1"/>
  <c r="H74"/>
  <c r="F72"/>
  <c r="I72" s="1"/>
  <c r="F71"/>
  <c r="H71" s="1"/>
  <c r="F70"/>
  <c r="I70" s="1"/>
  <c r="F69"/>
  <c r="H69" s="1"/>
  <c r="F68"/>
  <c r="I68" s="1"/>
  <c r="F67"/>
  <c r="H67" s="1"/>
  <c r="F66"/>
  <c r="H66" s="1"/>
  <c r="F65"/>
  <c r="H65" s="1"/>
  <c r="H63"/>
  <c r="F62"/>
  <c r="H62" s="1"/>
  <c r="H60"/>
  <c r="F59"/>
  <c r="I59" s="1"/>
  <c r="F56"/>
  <c r="H56" s="1"/>
  <c r="I55"/>
  <c r="H55"/>
  <c r="F54"/>
  <c r="I54" s="1"/>
  <c r="F53"/>
  <c r="H53" s="1"/>
  <c r="I52"/>
  <c r="F51"/>
  <c r="H51" s="1"/>
  <c r="F50"/>
  <c r="I50" s="1"/>
  <c r="F49"/>
  <c r="H49" s="1"/>
  <c r="F48"/>
  <c r="I48" s="1"/>
  <c r="F47"/>
  <c r="H47" s="1"/>
  <c r="H38"/>
  <c r="H36"/>
  <c r="H35"/>
  <c r="F34"/>
  <c r="I34" s="1"/>
  <c r="E34"/>
  <c r="F33"/>
  <c r="I33" s="1"/>
  <c r="F32"/>
  <c r="H32" s="1"/>
  <c r="F31"/>
  <c r="I31" s="1"/>
  <c r="F30"/>
  <c r="H30" s="1"/>
  <c r="F27"/>
  <c r="I27" s="1"/>
  <c r="H33" l="1"/>
  <c r="H22" i="29"/>
  <c r="I22"/>
  <c r="H24"/>
  <c r="I24"/>
  <c r="H33"/>
  <c r="H45"/>
  <c r="H70"/>
  <c r="H43"/>
  <c r="I43"/>
  <c r="H40"/>
  <c r="H50"/>
  <c r="H16"/>
  <c r="H31"/>
  <c r="H34"/>
  <c r="H42"/>
  <c r="H48"/>
  <c r="H68"/>
  <c r="H72"/>
  <c r="H79"/>
  <c r="H27"/>
  <c r="H59"/>
  <c r="H52"/>
  <c r="H54"/>
  <c r="H19"/>
  <c r="H21"/>
  <c r="H25"/>
  <c r="H23"/>
  <c r="I17"/>
  <c r="I18"/>
  <c r="I20"/>
  <c r="I26"/>
  <c r="I30"/>
  <c r="I32"/>
  <c r="I39"/>
  <c r="I47"/>
  <c r="I49"/>
  <c r="I51"/>
  <c r="I53"/>
  <c r="I56"/>
  <c r="I63"/>
  <c r="I67"/>
  <c r="I69"/>
  <c r="I71"/>
  <c r="I82"/>
  <c r="I88"/>
  <c r="I89"/>
  <c r="H27" i="28"/>
  <c r="H59"/>
  <c r="H68"/>
  <c r="H72"/>
  <c r="H31"/>
  <c r="H34"/>
  <c r="H70"/>
  <c r="H48"/>
  <c r="H52"/>
  <c r="H50"/>
  <c r="H54"/>
  <c r="I30"/>
  <c r="I32"/>
  <c r="I47"/>
  <c r="I49"/>
  <c r="I51"/>
  <c r="I53"/>
  <c r="I56"/>
  <c r="I63"/>
  <c r="I67"/>
  <c r="I69"/>
  <c r="I71"/>
  <c r="I90" i="29" l="1"/>
  <c r="I106"/>
  <c r="H85"/>
  <c r="H85" i="28"/>
  <c r="I99" l="1"/>
  <c r="I76" i="27"/>
  <c r="I55"/>
  <c r="H86"/>
  <c r="H84"/>
  <c r="H78"/>
  <c r="F77"/>
  <c r="H77" s="1"/>
  <c r="F76"/>
  <c r="H76" s="1"/>
  <c r="F75"/>
  <c r="H75" s="1"/>
  <c r="H74"/>
  <c r="F72"/>
  <c r="H72" s="1"/>
  <c r="F71"/>
  <c r="H71" s="1"/>
  <c r="F70"/>
  <c r="H70" s="1"/>
  <c r="F69"/>
  <c r="H69" s="1"/>
  <c r="F68"/>
  <c r="H68" s="1"/>
  <c r="F67"/>
  <c r="H67" s="1"/>
  <c r="F66"/>
  <c r="H66" s="1"/>
  <c r="F65"/>
  <c r="H65" s="1"/>
  <c r="F62"/>
  <c r="H62" s="1"/>
  <c r="H60"/>
  <c r="F59"/>
  <c r="H59" s="1"/>
  <c r="F56"/>
  <c r="H56" s="1"/>
  <c r="H55"/>
  <c r="F54"/>
  <c r="H54" s="1"/>
  <c r="F53"/>
  <c r="H53" s="1"/>
  <c r="F52"/>
  <c r="H52" s="1"/>
  <c r="F51"/>
  <c r="H51" s="1"/>
  <c r="F50"/>
  <c r="H50" s="1"/>
  <c r="F49"/>
  <c r="H49" s="1"/>
  <c r="F48"/>
  <c r="H48" s="1"/>
  <c r="F47"/>
  <c r="H47" s="1"/>
  <c r="H45"/>
  <c r="H44"/>
  <c r="H42"/>
  <c r="H41"/>
  <c r="H40"/>
  <c r="H39"/>
  <c r="H38"/>
  <c r="F27"/>
  <c r="H27" s="1"/>
  <c r="H36"/>
  <c r="H35"/>
  <c r="F34"/>
  <c r="H34" s="1"/>
  <c r="E34"/>
  <c r="F33"/>
  <c r="H33" s="1"/>
  <c r="F32"/>
  <c r="H32" s="1"/>
  <c r="F31"/>
  <c r="H31" s="1"/>
  <c r="F30"/>
  <c r="H30" s="1"/>
  <c r="H43" l="1"/>
  <c r="I59"/>
  <c r="I72"/>
  <c r="I70"/>
  <c r="I68"/>
  <c r="I67"/>
  <c r="I71"/>
  <c r="I69"/>
  <c r="I52"/>
  <c r="I56"/>
  <c r="I45"/>
  <c r="I40"/>
  <c r="I54"/>
  <c r="I50"/>
  <c r="I48"/>
  <c r="I42"/>
  <c r="I39"/>
  <c r="I53"/>
  <c r="I51"/>
  <c r="I49"/>
  <c r="I32"/>
  <c r="I30"/>
  <c r="I27"/>
  <c r="I33"/>
  <c r="H85"/>
  <c r="I47" l="1"/>
  <c r="I34"/>
  <c r="I31"/>
  <c r="H90" l="1"/>
  <c r="I100" l="1"/>
</calcChain>
</file>

<file path=xl/sharedStrings.xml><?xml version="1.0" encoding="utf-8"?>
<sst xmlns="http://schemas.openxmlformats.org/spreadsheetml/2006/main" count="2922" uniqueCount="313">
  <si>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</si>
  <si>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</si>
  <si>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</si>
  <si>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</si>
  <si>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</si>
  <si>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</si>
  <si>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</si>
  <si>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</si>
  <si>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</si>
  <si>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</si>
  <si>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</si>
  <si>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</si>
  <si>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</si>
  <si>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</si>
  <si>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</si>
  <si>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</si>
  <si>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</si>
  <si>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</si>
  <si>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</si>
  <si>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</si>
  <si>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</si>
  <si>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</si>
  <si>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</si>
  <si>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</si>
  <si>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</si>
  <si>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</si>
  <si>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</si>
  <si>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</si>
  <si>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</si>
  <si>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</si>
  <si>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</si>
  <si>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</si>
  <si>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</si>
  <si>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</si>
  <si>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</si>
  <si>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</si>
  <si>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</si>
  <si>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</si>
  <si>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</si>
  <si>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</si>
  <si>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</si>
  <si>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</si>
  <si>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</si>
  <si>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</si>
  <si>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</si>
  <si>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</si>
  <si>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</si>
  <si>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</si>
  <si>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</si>
  <si>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</si>
  <si>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</si>
  <si>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</si>
  <si>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</si>
  <si>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</si>
  <si>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</si>
  <si>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</si>
  <si>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</si>
  <si>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</si>
  <si>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</si>
  <si>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</si>
  <si>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</si>
  <si>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</si>
  <si>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</si>
  <si>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</si>
  <si>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</si>
  <si>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</si>
  <si>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</si>
  <si>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</si>
  <si>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 xml:space="preserve">Подметание снега с тротуара, крылец, конт. площадок </t>
  </si>
  <si>
    <t>Стоимость песка -100м2-0,002м3</t>
  </si>
  <si>
    <t>3 раза в год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</si>
  <si>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</si>
  <si>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</si>
  <si>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</si>
  <si>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</si>
  <si>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</si>
  <si>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</si>
  <si>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</si>
  <si>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</si>
  <si>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</si>
  <si>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</si>
  <si>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Подключение и отключение сварочного аппарата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</si>
  <si>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</si>
  <si>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II. Уборка земельного участка</t>
  </si>
  <si>
    <t>АКТ №11</t>
  </si>
  <si>
    <t>100м2</t>
  </si>
  <si>
    <t>155 раз за сезон</t>
  </si>
  <si>
    <t>1000м2</t>
  </si>
  <si>
    <t xml:space="preserve">Пескопосыпка территории: крыльца и тротуары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</si>
  <si>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</si>
  <si>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</si>
  <si>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</si>
  <si>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Уборка контейнерной площадки (16 кв.м.)</t>
  </si>
  <si>
    <t>Уборка газонов</t>
  </si>
  <si>
    <t>шт</t>
  </si>
  <si>
    <t>100м3</t>
  </si>
  <si>
    <t>1000м3</t>
  </si>
  <si>
    <t>ТО внутридомового газ.оборудования</t>
  </si>
  <si>
    <t>Аварийно-диспетчерское обслуживание</t>
  </si>
  <si>
    <t>Прочистка каналов</t>
  </si>
  <si>
    <t>АКТ №12</t>
  </si>
  <si>
    <t>Влажное подметание лестничных клеток 1 этажа</t>
  </si>
  <si>
    <t>Влажное подметание лестничных клеток 2-5 этажа</t>
  </si>
  <si>
    <t>Мытье лестничных  площадок и маршей 1-5 этаж.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</si>
  <si>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</si>
  <si>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</si>
  <si>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</si>
  <si>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</si>
  <si>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</si>
  <si>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</si>
  <si>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</si>
  <si>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</si>
  <si>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</si>
  <si>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отопительных приборов</t>
  </si>
  <si>
    <t xml:space="preserve">6 раз за сезон </t>
  </si>
  <si>
    <t>Смена плавкой вставки в электрощитке</t>
  </si>
  <si>
    <t>Обслуживание прибора учета тепловой энергии</t>
  </si>
  <si>
    <t>1 шт</t>
  </si>
  <si>
    <t>Снятие показаний эл.счетчика коммунального назначения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</si>
  <si>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</si>
  <si>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№16 по ул.Советская пгт.Ярега
</t>
  </si>
  <si>
    <t>III. Проведение технических осмотров</t>
  </si>
  <si>
    <t>IV. Содержание общего имущества МКД</t>
  </si>
  <si>
    <t>генеральный директор Куканов Ю.Л.</t>
  </si>
  <si>
    <t>V. Прочие услуги</t>
  </si>
  <si>
    <t>III. Содержание общего имущества МКД</t>
  </si>
  <si>
    <t>IV. Прочие услуги</t>
  </si>
  <si>
    <t>АКТ №1</t>
  </si>
  <si>
    <t xml:space="preserve"> </t>
  </si>
  <si>
    <t>Осмотр кровли металлической</t>
  </si>
  <si>
    <t>Очистка края кровли от слежавшегося снега со сбрасыванием сосулек (10% от S кровли и козырьки)</t>
  </si>
  <si>
    <t>Подметание территории с усовершенствованным покрытием асф.: крыльца, контейнерн пл., проезд, тротуар</t>
  </si>
  <si>
    <t>5 раз в год</t>
  </si>
  <si>
    <t>АКТ №2</t>
  </si>
  <si>
    <t>место</t>
  </si>
  <si>
    <t>48 раза в сезон</t>
  </si>
  <si>
    <t>48 раз за сезон</t>
  </si>
  <si>
    <t>Очистка урн от мусора</t>
  </si>
  <si>
    <t>48 раз</t>
  </si>
  <si>
    <t>26 раз за сезон</t>
  </si>
  <si>
    <t>Вывоз снега с придомовой территории</t>
  </si>
  <si>
    <t>1м3</t>
  </si>
  <si>
    <t>24 раза за сезон</t>
  </si>
  <si>
    <t>Очистка вручную от снега и наледи люков каналиационных и водопроводных колодцев</t>
  </si>
  <si>
    <t>2 раза в месяц</t>
  </si>
  <si>
    <t>Работы автовышки</t>
  </si>
  <si>
    <t>маш-час</t>
  </si>
  <si>
    <t>Смена светодиодных светильников в.о.</t>
  </si>
  <si>
    <t>Стоимость светодиодного светильника</t>
  </si>
  <si>
    <t>руб</t>
  </si>
  <si>
    <t>Смена светодиодных светильников н.о.</t>
  </si>
  <si>
    <t>Снятие показаний с общедомовых приборов учёта холодной воды</t>
  </si>
  <si>
    <t>Водоснабжение, канализация</t>
  </si>
  <si>
    <t>ТО внутренних сетей водопровода и канализации</t>
  </si>
  <si>
    <t>руб/м2 в мес</t>
  </si>
  <si>
    <t>Итого затраты за месяц</t>
  </si>
  <si>
    <r>
      <t xml:space="preserve">1. Исполнителем  предъявлены  к  приемке  следующие  оказанные  на  основании  Договора  на  содержание  и  ремонт  многоквартирного  дома  № </t>
    </r>
    <r>
      <rPr>
        <u/>
        <sz val="12"/>
        <rFont val="Times New Roman"/>
        <family val="1"/>
        <charset val="204"/>
      </rPr>
      <t xml:space="preserve">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ул.Советская, д.16</t>
    </r>
  </si>
  <si>
    <t>Очистка канализационной сети внутренней</t>
  </si>
  <si>
    <t>АКТ №3</t>
  </si>
  <si>
    <t>39 м3</t>
  </si>
  <si>
    <t>АКТ №5</t>
  </si>
  <si>
    <t>АКТ №6</t>
  </si>
  <si>
    <t>ООО «Движение»</t>
  </si>
  <si>
    <t>АКТ №4</t>
  </si>
  <si>
    <t>АКТ №7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</si>
  <si>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31.10.2017г.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</si>
  <si>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АКТ №8</t>
  </si>
  <si>
    <t>Смена арматуры - вентилей и клапанов обратных муфтовых диаметром до 20 мм</t>
  </si>
  <si>
    <t>АКТ №9</t>
  </si>
  <si>
    <t>АКТ №10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</si>
  <si>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</si>
  <si>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</si>
  <si>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</t>
  </si>
  <si>
    <t>Установка хомута диаметром до 50 мм</t>
  </si>
  <si>
    <t>40 м3</t>
  </si>
  <si>
    <t xml:space="preserve">Осмотр водопроводов, канализации, отопления </t>
  </si>
  <si>
    <t>Организация и содержание мест накопления ТКО</t>
  </si>
  <si>
    <t>13 раз</t>
  </si>
  <si>
    <t>8 раз</t>
  </si>
  <si>
    <t>2 раза</t>
  </si>
  <si>
    <t xml:space="preserve">1 раз </t>
  </si>
  <si>
    <t>21 раз</t>
  </si>
  <si>
    <t>4 раза</t>
  </si>
  <si>
    <t>25 раз</t>
  </si>
  <si>
    <t xml:space="preserve">2 раза </t>
  </si>
  <si>
    <t>1 раз</t>
  </si>
  <si>
    <t>2 маш-часа</t>
  </si>
  <si>
    <t>1 маш-час</t>
  </si>
  <si>
    <t xml:space="preserve">1 раз   </t>
  </si>
  <si>
    <t xml:space="preserve">1 раз     </t>
  </si>
  <si>
    <t>Смена арматуры - вентилей и клапанов обратных муфтовых диаметром до 32 мм</t>
  </si>
  <si>
    <t>ХВС подвал</t>
  </si>
  <si>
    <t>за период с 01.01.2020 г. по 31.01.2020 г.</t>
  </si>
  <si>
    <t>Смена арматуры - вентилей и клапанов обратных муфтовых диаметром до 20 мм ( без материалов)</t>
  </si>
  <si>
    <t>Замена уголкана пол./суш. ( без материалов)</t>
  </si>
  <si>
    <t>кв.43 ГВС</t>
  </si>
  <si>
    <t>кв.8</t>
  </si>
  <si>
    <t>кв.66 ХВС</t>
  </si>
  <si>
    <t>кв.66; кв.43</t>
  </si>
  <si>
    <t>за период с 01.02.2020 г. по 29.02.2020 г.</t>
  </si>
  <si>
    <t>20 февраля</t>
  </si>
  <si>
    <t>Смена пакетных выключателей</t>
  </si>
  <si>
    <t>Смена плавкой вставки на электрощите</t>
  </si>
  <si>
    <t>Осмотр электросетей, армазуры и электрооборудования на лестничных клетках</t>
  </si>
  <si>
    <t>100шт</t>
  </si>
  <si>
    <t>Замена ПРЭМ</t>
  </si>
  <si>
    <t>ПРЭМ расходомер электромагнитный</t>
  </si>
  <si>
    <t>2 шт. р/у, с/о</t>
  </si>
  <si>
    <t>Обивка дверей ДВП одной стороны ( за 2017г)</t>
  </si>
  <si>
    <t>10 м2</t>
  </si>
  <si>
    <t>Уборка чердаков от мусора (2017г)</t>
  </si>
  <si>
    <t>Ремонт пола в подвале (за 2017г)</t>
  </si>
  <si>
    <t>Ремонт отмостки 70 м2 ( за 2017г)</t>
  </si>
  <si>
    <t>подвал, под.№8</t>
  </si>
  <si>
    <t>за период с 01.03.2020 г. по 31.03.2020 г.</t>
  </si>
  <si>
    <t>25 марта</t>
  </si>
  <si>
    <t>3,16 марта</t>
  </si>
  <si>
    <t>ГВС кв.44</t>
  </si>
  <si>
    <t>за период с 01.04.2020 г. по 30.04.2020 г.</t>
  </si>
  <si>
    <t>Замена муфты</t>
  </si>
  <si>
    <t>подвал</t>
  </si>
  <si>
    <t>Корректировка сметы по установке узла учета ГВС</t>
  </si>
  <si>
    <t>за период с 01.05.2020 г. по 31.05.2020 г.</t>
  </si>
  <si>
    <t>Ремонт групповых щитков на лестничной клетке без ремонта автоматов</t>
  </si>
  <si>
    <t>ХВС кв.33</t>
  </si>
  <si>
    <t>за период с 01.06.2020 г. по 30.06.2020 г.</t>
  </si>
  <si>
    <t>Смена внутренних трубопроводов на полипропиленовые трубы PN 20 Dу 25</t>
  </si>
  <si>
    <t>Смена внутренних трубопроводов на полипропиленовые трубы PN 25 Dу 25</t>
  </si>
  <si>
    <t>Вскрыли "шахту" для работ ВДИС</t>
  </si>
  <si>
    <t>ГВС с 5 по 3 эт. 6м</t>
  </si>
  <si>
    <t>ХВС 1 м кв.70</t>
  </si>
  <si>
    <t>ГВС подвал -2 шт.</t>
  </si>
  <si>
    <t>ХВС подвал -2шт.</t>
  </si>
  <si>
    <t>1 шт. кв 5 п/с;1 шт.кв.43 п/с</t>
  </si>
  <si>
    <t>кв.70</t>
  </si>
  <si>
    <t>2. Всего за период с 01.06.2020 по 30.06.2020 выполнено работ (оказано услуг) на общую сумму: 85968,50 руб.</t>
  </si>
  <si>
    <t>(восемьдесят пять тысяч девятьсот шестьдесят восемь рублей 50 копеек)</t>
  </si>
  <si>
    <t>ВДГО</t>
  </si>
  <si>
    <t>за период с 01.07.2020 г. по 31.07.2020 г.</t>
  </si>
  <si>
    <t xml:space="preserve">Кошение травы </t>
  </si>
  <si>
    <t>570 м2</t>
  </si>
  <si>
    <t>ХВС 1 м кв.66</t>
  </si>
  <si>
    <t>2 шт, подвал</t>
  </si>
  <si>
    <t>ГВС подвал 1 шт.</t>
  </si>
  <si>
    <t>за период с 01.08.2020 г. по 31.08.2020 г.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</si>
  <si>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14.07.2020г.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</si>
  <si>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 раз в 2 месяца</t>
  </si>
  <si>
    <t>Работы по ведению техничесой документации, сбору и начислению платежей</t>
  </si>
  <si>
    <t>1м2</t>
  </si>
  <si>
    <t>Работу по проведению одного общего собрания собственников МКД</t>
  </si>
  <si>
    <t>Кошение травы ручной газонокосилкой</t>
  </si>
  <si>
    <t>Ремонт штукатурки боковой стороны крыльца</t>
  </si>
  <si>
    <t>880 м2</t>
  </si>
  <si>
    <t>под.№8( 4 м2)</t>
  </si>
  <si>
    <t>18 шт.</t>
  </si>
  <si>
    <t>за период с 01.09.2020 г. по 30.09.2020 г.</t>
  </si>
  <si>
    <t>по мере необходимости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</si>
  <si>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</si>
  <si>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14.07.2020г.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</si>
  <si>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Регулировка таймера освещения</t>
  </si>
  <si>
    <t>Замена эмента питания тепловычислителя</t>
  </si>
  <si>
    <t>Ремонт скамейки ( под.№ 3)</t>
  </si>
  <si>
    <t>Смена внутренних трубопроводов на полипропиленовые трубы PN 25 Dу 20</t>
  </si>
  <si>
    <t>Осмотр водопроводов, канализации, отопления</t>
  </si>
  <si>
    <t>100 кв.</t>
  </si>
  <si>
    <t>кв.66</t>
  </si>
  <si>
    <t>0,5 м ГВС подвал</t>
  </si>
  <si>
    <t>генеральный директор Кочанова И.Л.</t>
  </si>
  <si>
    <t>за период с 01.11.2020 г. по 30.11.2020 г.</t>
  </si>
  <si>
    <t>1 час</t>
  </si>
  <si>
    <t>Закрепление железа над балконом</t>
  </si>
  <si>
    <t>Осмотр кровли</t>
  </si>
  <si>
    <t>Демонтаж бетонного основания вокруг канализационного стояка</t>
  </si>
  <si>
    <t>кв.69</t>
  </si>
  <si>
    <t>за период с 01.12.2020 г. по 31.12.2020 г.</t>
  </si>
  <si>
    <r>
      <t xml:space="preserve">    Собственники помещений в многоквартирном доме, расположенном по адресу: пгт.Ярега, ул.Советская, д.16, именуемые в дальнейшем "Заказчик", 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14.07.2020г.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</si>
  <si>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0,9 ч ( 21 и 23 дек)</t>
  </si>
  <si>
    <t>Демонтаж короба для работ ВДИС</t>
  </si>
  <si>
    <t>Восстановление короба после работ ВДИС</t>
  </si>
  <si>
    <t>под.№6</t>
  </si>
  <si>
    <t>кан.-я под.№6 -1шт.</t>
  </si>
  <si>
    <t>8 м</t>
  </si>
  <si>
    <t>2. Всего за период с 01.01.2020 по 31.01.2020 выполнено работ (оказано услуг) на общую сумму: 268112,56 руб.</t>
  </si>
  <si>
    <t>(двести шестьдесят восемь тысяч сто двенадцать рублей 56 копеек)</t>
  </si>
  <si>
    <t>12 раз</t>
  </si>
  <si>
    <t>2. Всего за период с 01.02.2020 по 29.02.2020 выполнено работ (оказано услуг) на общую сумму: 145336,86 руб.</t>
  </si>
  <si>
    <t>(сто сорок пять тысяч триста тридцать шесть рублей 86 копеек)</t>
  </si>
  <si>
    <t>4 м</t>
  </si>
  <si>
    <t>2. Всего за период с 01.03.2020 по 31.03.2020 выполнено работ (оказано услуг) на общую сумму: 101219,46 руб.</t>
  </si>
  <si>
    <t>( сто одна тысяча двести шестнадцать рублей 46 копеек)</t>
  </si>
  <si>
    <t>29 м</t>
  </si>
  <si>
    <t>2. Всего за период с 01.04.2020 по 30.04.2020 выполнено работ (оказано услуг) на общую сумму: 103932,88 руб.</t>
  </si>
  <si>
    <t>(сто три тысячи девятьсот тридцать два рубля 88 копеек)</t>
  </si>
  <si>
    <t>7 м</t>
  </si>
  <si>
    <t>2. Всего за период с 01.05.2020 по 31.05.2020 выполнено работ (оказано услуг) на общую сумму: 112131,59 руб.</t>
  </si>
  <si>
    <t>(сто двенадцать тысяч сто тридцать один рубль 59 копеек)</t>
  </si>
  <si>
    <t>6 м</t>
  </si>
  <si>
    <t>2. Всего за период с 01.07.2020 по 31.07.2020 выполнено работ (оказано услуг) на общую сумму: 179473,93 руб.</t>
  </si>
  <si>
    <t>(сто семьдесят девять тысяч четыреста семьдесят три рубля 93 копейки)</t>
  </si>
  <si>
    <t>2. Всего за период с 01.08.2020 по 31.08.2020 выполнено работ (оказано услуг) на общую сумму: 96493,49 руб.</t>
  </si>
  <si>
    <t>(девяносто шесть тысяч четыреста девяносто три рубля 49 копеек)</t>
  </si>
  <si>
    <t>5 м</t>
  </si>
  <si>
    <t>2. Всего за период с 01.09.2020 по 30.09.2020 выполнено работ (оказано услуг) на общую сумму: 102820,21 руб.</t>
  </si>
  <si>
    <t>(сто две тысячи восемьсот двадцать рублей 21 копейка)</t>
  </si>
  <si>
    <t>9 м</t>
  </si>
  <si>
    <t>2. Всего за период с 01.10.2020 по 31.10.2020 выполнено работ (оказано услуг) на общую сумму: 79068,20 руб.</t>
  </si>
  <si>
    <t>(семьдесят девять тысяч шестьдесят восемь рублей 20 копеек)</t>
  </si>
  <si>
    <t>25 м</t>
  </si>
  <si>
    <t>2. Всего за период с 01.11.2020 по 30.11.2020 выполнено работ (оказано услуг) на общую сумму: 77751,92 руб.</t>
  </si>
  <si>
    <t>(семьдесят семь тысяч семьсот пятьдесят один рубль 92 копейки)</t>
  </si>
  <si>
    <t>21 м</t>
  </si>
  <si>
    <t>2. Всего за период с 01.12.2020 по 31.12.2020 выполнено работ (оказано услуг) на общую сумму: 95494,99 руб.</t>
  </si>
  <si>
    <t>(девяносто пять тысяч четыреста девяносто четыре рубля 99 копеек)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</si>
</sst>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rgb="FFFFFF00"/>
        <bgColor indexed="41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06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4" fontId="11" fillId="3" borderId="8" xfId="0" applyNumberFormat="1" applyFont="1" applyFill="1" applyBorder="1" applyAlignment="1">
      <alignment horizontal="center" vertical="center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 wrapText="1"/>
    </xf>
    <xf numFmtId="4" fontId="17" fillId="2" borderId="8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left" vertical="center" wrapText="1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9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 wrapText="1"/>
    </xf>
    <xf numFmtId="4" fontId="13" fillId="5" borderId="5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4" fontId="11" fillId="2" borderId="15" xfId="0" applyNumberFormat="1" applyFont="1" applyFill="1" applyBorder="1" applyAlignment="1">
      <alignment horizontal="center" vertical="center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4" fontId="11" fillId="0" borderId="11" xfId="0" applyNumberFormat="1" applyFont="1" applyFill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3" fillId="0" borderId="3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/>
    </xf>
    <xf numFmtId="4" fontId="20" fillId="2" borderId="8" xfId="0" applyNumberFormat="1" applyFont="1" applyFill="1" applyBorder="1" applyAlignment="1">
      <alignment horizontal="center" vertical="center"/>
    </xf>
    <xf numFmtId="14" fontId="11" fillId="2" borderId="8" xfId="0" applyNumberFormat="1" applyFont="1" applyFill="1" applyBorder="1" applyAlignment="1">
      <alignment horizontal="left" vertical="center" wrapText="1"/>
    </xf>
    <xf numFmtId="4" fontId="20" fillId="2" borderId="8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4" fontId="11" fillId="3" borderId="0" xfId="0" applyNumberFormat="1" applyFont="1" applyFill="1" applyBorder="1" applyAlignment="1">
      <alignment horizontal="center" vertical="center" wrapText="1"/>
    </xf>
    <xf numFmtId="4" fontId="11" fillId="3" borderId="0" xfId="0" applyNumberFormat="1" applyFont="1" applyFill="1" applyBorder="1" applyAlignment="1">
      <alignment horizontal="center" vertical="center"/>
    </xf>
    <xf numFmtId="4" fontId="11" fillId="0" borderId="10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left" vertical="center" wrapText="1"/>
    </xf>
    <xf numFmtId="4" fontId="20" fillId="2" borderId="11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 wrapText="1"/>
    </xf>
    <xf numFmtId="4" fontId="13" fillId="2" borderId="3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3" fillId="2" borderId="3" xfId="0" applyNumberFormat="1" applyFont="1" applyFill="1" applyBorder="1" applyAlignment="1" applyProtection="1">
      <alignment horizontal="center" vertical="center"/>
    </xf>
    <xf numFmtId="4" fontId="20" fillId="3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2" fontId="11" fillId="0" borderId="4" xfId="0" applyNumberFormat="1" applyFont="1" applyFill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7"/>
  <sheetViews>
    <sheetView view="pageBreakPreview" topLeftCell="A96" zoomScale="60" workbookViewId="0">
      <selection activeCell="B108" sqref="B108:G108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127</v>
      </c>
      <c r="B3" s="200"/>
      <c r="C3" s="200"/>
      <c r="D3" s="200"/>
      <c r="E3" s="200"/>
      <c r="F3" s="200"/>
      <c r="G3" s="200"/>
      <c r="H3" s="200"/>
      <c r="I3" s="200"/>
    </row>
    <row r="4" spans="1:9" ht="31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192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01"/>
      <c r="C6" s="101"/>
      <c r="D6" s="101"/>
      <c r="E6" s="101"/>
      <c r="F6" s="101"/>
      <c r="G6" s="101"/>
      <c r="H6" s="101"/>
      <c r="I6" s="19">
        <v>43861</v>
      </c>
    </row>
    <row r="7" spans="1:9" ht="15.75">
      <c r="B7" s="99"/>
      <c r="C7" s="99"/>
      <c r="D7" s="99"/>
      <c r="E7" s="2"/>
      <c r="F7" s="2"/>
      <c r="G7" s="2"/>
      <c r="H7" s="2"/>
    </row>
    <row r="8" spans="1:9" ht="78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47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 ht="15.7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t="15.75" hidden="1" customHeight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F19/2*G19</f>
        <v>428.48639999999995</v>
      </c>
    </row>
    <row r="20" spans="1:9" ht="15.75" hidden="1" customHeight="1">
      <c r="A20" s="18"/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t="15.75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t="15.75" hidden="1" customHeight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 t="shared" si="1"/>
        <v>4.67544</v>
      </c>
    </row>
    <row r="24" spans="1:9" ht="15.75" hidden="1" customHeight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si="1"/>
        <v>163.55840000000001</v>
      </c>
    </row>
    <row r="25" spans="1:9" ht="15.75" customHeight="1">
      <c r="A25" s="18">
        <v>5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 ht="15.75" customHeight="1">
      <c r="A26" s="18">
        <v>6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 ht="15.75" hidden="1" customHeight="1">
      <c r="A27" s="18">
        <v>7</v>
      </c>
      <c r="B27" s="79" t="s">
        <v>23</v>
      </c>
      <c r="C27" s="35" t="s">
        <v>24</v>
      </c>
      <c r="D27" s="79" t="s">
        <v>128</v>
      </c>
      <c r="E27" s="74">
        <v>4394.8999999999996</v>
      </c>
      <c r="F27" s="22">
        <f>SUM(E27*12)</f>
        <v>52738.799999999996</v>
      </c>
      <c r="G27" s="22">
        <v>3.34</v>
      </c>
      <c r="H27" s="75">
        <f>SUM(F27*G27/1000)</f>
        <v>176.14759199999997</v>
      </c>
      <c r="I27" s="10">
        <f>F27/12*G27</f>
        <v>14678.965999999999</v>
      </c>
    </row>
    <row r="28" spans="1:9" ht="15.75" customHeight="1">
      <c r="A28" s="190" t="s">
        <v>83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18"/>
      <c r="B29" s="92" t="s">
        <v>28</v>
      </c>
      <c r="C29" s="35"/>
      <c r="D29" s="23"/>
      <c r="E29" s="74"/>
      <c r="F29" s="22"/>
      <c r="G29" s="22"/>
      <c r="H29" s="75"/>
      <c r="I29" s="10"/>
    </row>
    <row r="30" spans="1:9" ht="15.75" hidden="1" customHeight="1">
      <c r="A30" s="18"/>
      <c r="B30" s="23" t="s">
        <v>93</v>
      </c>
      <c r="C30" s="35" t="s">
        <v>87</v>
      </c>
      <c r="D30" s="23" t="s">
        <v>135</v>
      </c>
      <c r="E30" s="22">
        <v>637</v>
      </c>
      <c r="F30" s="22">
        <f>SUM(E30*48/1000)</f>
        <v>30.576000000000001</v>
      </c>
      <c r="G30" s="22">
        <v>204.44</v>
      </c>
      <c r="H30" s="75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18"/>
      <c r="B31" s="23" t="s">
        <v>131</v>
      </c>
      <c r="C31" s="35" t="s">
        <v>87</v>
      </c>
      <c r="D31" s="23" t="s">
        <v>136</v>
      </c>
      <c r="E31" s="22">
        <v>188</v>
      </c>
      <c r="F31" s="22">
        <f>SUM(E31*48/1000)</f>
        <v>9.0239999999999991</v>
      </c>
      <c r="G31" s="22">
        <v>339.21</v>
      </c>
      <c r="H31" s="75">
        <f t="shared" si="2"/>
        <v>3.0610310399999996</v>
      </c>
      <c r="I31" s="10">
        <f t="shared" si="3"/>
        <v>510.17183999999992</v>
      </c>
    </row>
    <row r="32" spans="1:9" ht="15.75" hidden="1" customHeight="1">
      <c r="A32" s="18"/>
      <c r="B32" s="23" t="s">
        <v>27</v>
      </c>
      <c r="C32" s="35" t="s">
        <v>87</v>
      </c>
      <c r="D32" s="23" t="s">
        <v>54</v>
      </c>
      <c r="E32" s="22">
        <v>637</v>
      </c>
      <c r="F32" s="22">
        <f>SUM(E32/1000)</f>
        <v>0.63700000000000001</v>
      </c>
      <c r="G32" s="22">
        <v>3961.23</v>
      </c>
      <c r="H32" s="75">
        <f t="shared" si="2"/>
        <v>2.5233035100000003</v>
      </c>
      <c r="I32" s="10">
        <f>F32*G32</f>
        <v>2523.3035100000002</v>
      </c>
    </row>
    <row r="33" spans="1:9" ht="15.75" hidden="1" customHeight="1">
      <c r="A33" s="18"/>
      <c r="B33" s="23" t="s">
        <v>137</v>
      </c>
      <c r="C33" s="35" t="s">
        <v>40</v>
      </c>
      <c r="D33" s="23" t="s">
        <v>138</v>
      </c>
      <c r="E33" s="22">
        <v>8</v>
      </c>
      <c r="F33" s="22">
        <f>SUM(E33*48/100)</f>
        <v>3.84</v>
      </c>
      <c r="G33" s="22">
        <v>1707.63</v>
      </c>
      <c r="H33" s="75">
        <f t="shared" si="2"/>
        <v>6.5572992000000001</v>
      </c>
      <c r="I33" s="10">
        <f t="shared" si="3"/>
        <v>1092.8832</v>
      </c>
    </row>
    <row r="34" spans="1:9" ht="15.75" hidden="1" customHeight="1">
      <c r="A34" s="18"/>
      <c r="B34" s="23" t="s">
        <v>92</v>
      </c>
      <c r="C34" s="35" t="s">
        <v>30</v>
      </c>
      <c r="D34" s="23" t="s">
        <v>63</v>
      </c>
      <c r="E34" s="77">
        <f>1/3</f>
        <v>0.33333333333333331</v>
      </c>
      <c r="F34" s="22">
        <f>155/3</f>
        <v>51.666666666666664</v>
      </c>
      <c r="G34" s="22">
        <v>74.349999999999994</v>
      </c>
      <c r="H34" s="75">
        <f t="shared" si="2"/>
        <v>3.841416666666666</v>
      </c>
      <c r="I34" s="10">
        <f t="shared" si="3"/>
        <v>640.23611111111109</v>
      </c>
    </row>
    <row r="35" spans="1:9" ht="15.75" hidden="1" customHeight="1">
      <c r="A35" s="18"/>
      <c r="B35" s="23" t="s">
        <v>64</v>
      </c>
      <c r="C35" s="35" t="s">
        <v>32</v>
      </c>
      <c r="D35" s="23" t="s">
        <v>66</v>
      </c>
      <c r="E35" s="74"/>
      <c r="F35" s="22">
        <v>2</v>
      </c>
      <c r="G35" s="22">
        <v>250.92</v>
      </c>
      <c r="H35" s="75">
        <f t="shared" si="2"/>
        <v>0.50183999999999995</v>
      </c>
      <c r="I35" s="10">
        <v>0</v>
      </c>
    </row>
    <row r="36" spans="1:9" ht="15.75" hidden="1" customHeight="1">
      <c r="A36" s="18"/>
      <c r="B36" s="23" t="s">
        <v>65</v>
      </c>
      <c r="C36" s="35" t="s">
        <v>31</v>
      </c>
      <c r="D36" s="23" t="s">
        <v>66</v>
      </c>
      <c r="E36" s="74"/>
      <c r="F36" s="22">
        <v>3</v>
      </c>
      <c r="G36" s="22">
        <v>1490.31</v>
      </c>
      <c r="H36" s="75">
        <f t="shared" si="2"/>
        <v>4.4709300000000001</v>
      </c>
      <c r="I36" s="10">
        <v>0</v>
      </c>
    </row>
    <row r="37" spans="1:9" ht="15.75" customHeight="1">
      <c r="A37" s="18"/>
      <c r="B37" s="92" t="s">
        <v>5</v>
      </c>
      <c r="C37" s="35"/>
      <c r="D37" s="23"/>
      <c r="E37" s="74"/>
      <c r="F37" s="22"/>
      <c r="G37" s="22"/>
      <c r="H37" s="75" t="s">
        <v>128</v>
      </c>
      <c r="I37" s="10"/>
    </row>
    <row r="38" spans="1:9" ht="15.75" customHeight="1">
      <c r="A38" s="18">
        <v>7</v>
      </c>
      <c r="B38" s="24" t="s">
        <v>26</v>
      </c>
      <c r="C38" s="35" t="s">
        <v>31</v>
      </c>
      <c r="D38" s="23"/>
      <c r="E38" s="74"/>
      <c r="F38" s="22">
        <v>8</v>
      </c>
      <c r="G38" s="22">
        <v>2003</v>
      </c>
      <c r="H38" s="75">
        <f t="shared" ref="H38:H45" si="4">SUM(F38*G38/1000)</f>
        <v>16.024000000000001</v>
      </c>
      <c r="I38" s="10">
        <f>G38*1.3</f>
        <v>2603.9</v>
      </c>
    </row>
    <row r="39" spans="1:9" ht="15.75" customHeight="1">
      <c r="A39" s="18">
        <v>8</v>
      </c>
      <c r="B39" s="24" t="s">
        <v>67</v>
      </c>
      <c r="C39" s="49" t="s">
        <v>29</v>
      </c>
      <c r="D39" s="24" t="s">
        <v>182</v>
      </c>
      <c r="E39" s="25">
        <v>188</v>
      </c>
      <c r="F39" s="25">
        <f>SUM(E39*26/1000)</f>
        <v>4.8879999999999999</v>
      </c>
      <c r="G39" s="25">
        <v>2757.78</v>
      </c>
      <c r="H39" s="75">
        <f t="shared" si="4"/>
        <v>13.48002864</v>
      </c>
      <c r="I39" s="10">
        <f t="shared" ref="I39:I45" si="5">F39/6*G39</f>
        <v>2246.6714400000001</v>
      </c>
    </row>
    <row r="40" spans="1:9" ht="15.75" customHeight="1">
      <c r="A40" s="18">
        <v>9</v>
      </c>
      <c r="B40" s="23" t="s">
        <v>68</v>
      </c>
      <c r="C40" s="35" t="s">
        <v>29</v>
      </c>
      <c r="D40" s="23" t="s">
        <v>183</v>
      </c>
      <c r="E40" s="22">
        <v>188</v>
      </c>
      <c r="F40" s="25">
        <f>SUM(E40*155/1000)</f>
        <v>29.14</v>
      </c>
      <c r="G40" s="22">
        <v>460.02</v>
      </c>
      <c r="H40" s="75">
        <f t="shared" si="4"/>
        <v>13.404982799999999</v>
      </c>
      <c r="I40" s="10">
        <f t="shared" si="5"/>
        <v>2234.1637999999998</v>
      </c>
    </row>
    <row r="41" spans="1:9" ht="15.75" hidden="1" customHeight="1">
      <c r="A41" s="18">
        <v>11</v>
      </c>
      <c r="B41" s="23" t="s">
        <v>140</v>
      </c>
      <c r="C41" s="35" t="s">
        <v>141</v>
      </c>
      <c r="D41" s="23"/>
      <c r="E41" s="74"/>
      <c r="F41" s="25">
        <v>50</v>
      </c>
      <c r="G41" s="22">
        <v>213.2</v>
      </c>
      <c r="H41" s="75">
        <f t="shared" si="4"/>
        <v>10.66</v>
      </c>
      <c r="I41" s="10">
        <v>0</v>
      </c>
    </row>
    <row r="42" spans="1:9" ht="47.25" customHeight="1">
      <c r="A42" s="18">
        <v>10</v>
      </c>
      <c r="B42" s="23" t="s">
        <v>82</v>
      </c>
      <c r="C42" s="35" t="s">
        <v>87</v>
      </c>
      <c r="D42" s="23" t="s">
        <v>182</v>
      </c>
      <c r="E42" s="22">
        <v>188</v>
      </c>
      <c r="F42" s="25">
        <f>SUM(E42*26/1000)</f>
        <v>4.8879999999999999</v>
      </c>
      <c r="G42" s="22">
        <v>7611.16</v>
      </c>
      <c r="H42" s="75">
        <f t="shared" si="4"/>
        <v>37.20335008</v>
      </c>
      <c r="I42" s="10">
        <f t="shared" si="5"/>
        <v>6200.5583466666667</v>
      </c>
    </row>
    <row r="43" spans="1:9" ht="15.75" hidden="1" customHeight="1">
      <c r="A43" s="18">
        <v>11</v>
      </c>
      <c r="B43" s="23" t="s">
        <v>88</v>
      </c>
      <c r="C43" s="35" t="s">
        <v>87</v>
      </c>
      <c r="D43" s="23" t="s">
        <v>182</v>
      </c>
      <c r="E43" s="22">
        <v>188</v>
      </c>
      <c r="F43" s="25">
        <f>SUM(E43*24/1000)</f>
        <v>4.5119999999999996</v>
      </c>
      <c r="G43" s="22">
        <v>562.25</v>
      </c>
      <c r="H43" s="75">
        <f t="shared" si="4"/>
        <v>2.5368719999999998</v>
      </c>
      <c r="I43" s="10">
        <f>F43/7.5*G43</f>
        <v>338.24959999999993</v>
      </c>
    </row>
    <row r="44" spans="1:9" ht="15.75" hidden="1" customHeight="1">
      <c r="A44" s="18">
        <v>12</v>
      </c>
      <c r="B44" s="24" t="s">
        <v>69</v>
      </c>
      <c r="C44" s="49" t="s">
        <v>32</v>
      </c>
      <c r="D44" s="24"/>
      <c r="E44" s="78"/>
      <c r="F44" s="25">
        <v>0.9</v>
      </c>
      <c r="G44" s="25">
        <v>974.83</v>
      </c>
      <c r="H44" s="75">
        <f t="shared" si="4"/>
        <v>0.8773470000000001</v>
      </c>
      <c r="I44" s="10">
        <f>F44/7.5*G44</f>
        <v>116.97960000000002</v>
      </c>
    </row>
    <row r="45" spans="1:9" ht="29.25" customHeight="1">
      <c r="A45" s="18">
        <v>11</v>
      </c>
      <c r="B45" s="66" t="s">
        <v>143</v>
      </c>
      <c r="C45" s="53" t="s">
        <v>29</v>
      </c>
      <c r="D45" s="24" t="s">
        <v>184</v>
      </c>
      <c r="E45" s="78">
        <v>2.4</v>
      </c>
      <c r="F45" s="25">
        <f>SUM(E45*12/1000)</f>
        <v>2.8799999999999996E-2</v>
      </c>
      <c r="G45" s="25">
        <v>260.2</v>
      </c>
      <c r="H45" s="75">
        <f t="shared" si="4"/>
        <v>7.4937599999999986E-3</v>
      </c>
      <c r="I45" s="10">
        <f t="shared" si="5"/>
        <v>1.2489599999999998</v>
      </c>
    </row>
    <row r="46" spans="1:9" ht="15.75" customHeight="1">
      <c r="A46" s="190" t="s">
        <v>121</v>
      </c>
      <c r="B46" s="191"/>
      <c r="C46" s="191"/>
      <c r="D46" s="191"/>
      <c r="E46" s="191"/>
      <c r="F46" s="191"/>
      <c r="G46" s="191"/>
      <c r="H46" s="191"/>
      <c r="I46" s="192"/>
    </row>
    <row r="47" spans="1:9" ht="15.75" hidden="1" customHeight="1">
      <c r="A47" s="18"/>
      <c r="B47" s="23" t="s">
        <v>129</v>
      </c>
      <c r="C47" s="35" t="s">
        <v>87</v>
      </c>
      <c r="D47" s="23" t="s">
        <v>42</v>
      </c>
      <c r="E47" s="74">
        <v>1609.3</v>
      </c>
      <c r="F47" s="22">
        <f>SUM(E47*2/1000)</f>
        <v>3.2185999999999999</v>
      </c>
      <c r="G47" s="27">
        <v>1193.71</v>
      </c>
      <c r="H47" s="75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18"/>
      <c r="B48" s="23" t="s">
        <v>35</v>
      </c>
      <c r="C48" s="35" t="s">
        <v>87</v>
      </c>
      <c r="D48" s="23" t="s">
        <v>42</v>
      </c>
      <c r="E48" s="74">
        <v>104</v>
      </c>
      <c r="F48" s="22">
        <f>SUM(E48*2/1000)</f>
        <v>0.20799999999999999</v>
      </c>
      <c r="G48" s="27">
        <v>4419.05</v>
      </c>
      <c r="H48" s="75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18"/>
      <c r="B49" s="23" t="s">
        <v>36</v>
      </c>
      <c r="C49" s="35" t="s">
        <v>87</v>
      </c>
      <c r="D49" s="23" t="s">
        <v>42</v>
      </c>
      <c r="E49" s="74">
        <v>1996.87</v>
      </c>
      <c r="F49" s="22">
        <f>SUM(E49*2/1000)</f>
        <v>3.9937399999999998</v>
      </c>
      <c r="G49" s="27">
        <v>1803.69</v>
      </c>
      <c r="H49" s="75">
        <f t="shared" si="6"/>
        <v>7.2034689005999999</v>
      </c>
      <c r="I49" s="10">
        <f t="shared" si="7"/>
        <v>3601.7344502999999</v>
      </c>
    </row>
    <row r="50" spans="1:9" ht="15.75" hidden="1" customHeight="1">
      <c r="A50" s="18"/>
      <c r="B50" s="23" t="s">
        <v>37</v>
      </c>
      <c r="C50" s="35" t="s">
        <v>87</v>
      </c>
      <c r="D50" s="23" t="s">
        <v>42</v>
      </c>
      <c r="E50" s="74">
        <v>2654.21</v>
      </c>
      <c r="F50" s="22">
        <f>SUM(E50*2/1000)</f>
        <v>5.3084199999999999</v>
      </c>
      <c r="G50" s="27">
        <v>1243.43</v>
      </c>
      <c r="H50" s="75">
        <f t="shared" si="6"/>
        <v>6.6006486806</v>
      </c>
      <c r="I50" s="10">
        <f t="shared" si="7"/>
        <v>3300.3243403000001</v>
      </c>
    </row>
    <row r="51" spans="1:9" ht="15.75" hidden="1" customHeight="1">
      <c r="A51" s="18"/>
      <c r="B51" s="23" t="s">
        <v>33</v>
      </c>
      <c r="C51" s="35" t="s">
        <v>34</v>
      </c>
      <c r="D51" s="23" t="s">
        <v>42</v>
      </c>
      <c r="E51" s="74">
        <v>128.53</v>
      </c>
      <c r="F51" s="22">
        <f>SUM(E51*2/100)</f>
        <v>2.5706000000000002</v>
      </c>
      <c r="G51" s="27">
        <v>1352.76</v>
      </c>
      <c r="H51" s="75">
        <f t="shared" si="6"/>
        <v>3.4774048560000002</v>
      </c>
      <c r="I51" s="10">
        <f t="shared" si="7"/>
        <v>1738.7024280000001</v>
      </c>
    </row>
    <row r="52" spans="1:9" ht="15.75" customHeight="1">
      <c r="A52" s="18">
        <v>12</v>
      </c>
      <c r="B52" s="23" t="s">
        <v>56</v>
      </c>
      <c r="C52" s="35" t="s">
        <v>87</v>
      </c>
      <c r="D52" s="23" t="s">
        <v>185</v>
      </c>
      <c r="E52" s="74">
        <v>4394.8999999999996</v>
      </c>
      <c r="F52" s="22">
        <f>SUM(E52*5/1000)</f>
        <v>21.974499999999999</v>
      </c>
      <c r="G52" s="27">
        <v>1803.69</v>
      </c>
      <c r="H52" s="75">
        <f t="shared" si="6"/>
        <v>39.635185905</v>
      </c>
      <c r="I52" s="10">
        <f>F52/5*G52</f>
        <v>7927.0371809999997</v>
      </c>
    </row>
    <row r="53" spans="1:9" ht="31.5" hidden="1" customHeight="1">
      <c r="A53" s="18"/>
      <c r="B53" s="23" t="s">
        <v>89</v>
      </c>
      <c r="C53" s="35" t="s">
        <v>87</v>
      </c>
      <c r="D53" s="23" t="s">
        <v>42</v>
      </c>
      <c r="E53" s="74">
        <v>4394.8999999999996</v>
      </c>
      <c r="F53" s="22">
        <f>SUM(E53*2/1000)</f>
        <v>8.7897999999999996</v>
      </c>
      <c r="G53" s="27">
        <v>1591.6</v>
      </c>
      <c r="H53" s="75">
        <f t="shared" si="6"/>
        <v>13.989845679999998</v>
      </c>
      <c r="I53" s="10">
        <f t="shared" si="7"/>
        <v>6994.9228399999993</v>
      </c>
    </row>
    <row r="54" spans="1:9" ht="31.5" hidden="1" customHeight="1">
      <c r="A54" s="18"/>
      <c r="B54" s="23" t="s">
        <v>90</v>
      </c>
      <c r="C54" s="35" t="s">
        <v>38</v>
      </c>
      <c r="D54" s="23" t="s">
        <v>42</v>
      </c>
      <c r="E54" s="74">
        <v>40</v>
      </c>
      <c r="F54" s="22">
        <f>SUM(E54*2/100)</f>
        <v>0.8</v>
      </c>
      <c r="G54" s="27">
        <v>4058.32</v>
      </c>
      <c r="H54" s="75">
        <f t="shared" si="6"/>
        <v>3.2466560000000002</v>
      </c>
      <c r="I54" s="10">
        <f t="shared" si="7"/>
        <v>1623.3280000000002</v>
      </c>
    </row>
    <row r="55" spans="1:9" ht="15.75" hidden="1" customHeight="1">
      <c r="A55" s="18"/>
      <c r="B55" s="23" t="s">
        <v>39</v>
      </c>
      <c r="C55" s="35" t="s">
        <v>40</v>
      </c>
      <c r="D55" s="23" t="s">
        <v>42</v>
      </c>
      <c r="E55" s="74">
        <v>1</v>
      </c>
      <c r="F55" s="22">
        <v>0.02</v>
      </c>
      <c r="G55" s="27">
        <v>7412.92</v>
      </c>
      <c r="H55" s="75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18">
        <v>16</v>
      </c>
      <c r="B56" s="23" t="s">
        <v>41</v>
      </c>
      <c r="C56" s="35" t="s">
        <v>94</v>
      </c>
      <c r="D56" s="23" t="s">
        <v>70</v>
      </c>
      <c r="E56" s="74">
        <v>160</v>
      </c>
      <c r="F56" s="22">
        <f>SUM(E56)*3</f>
        <v>480</v>
      </c>
      <c r="G56" s="28">
        <v>86.15</v>
      </c>
      <c r="H56" s="75">
        <f t="shared" si="6"/>
        <v>41.351999999999997</v>
      </c>
      <c r="I56" s="10">
        <f>F56/3*G56</f>
        <v>13784</v>
      </c>
    </row>
    <row r="57" spans="1:9" ht="15.75" customHeight="1">
      <c r="A57" s="190" t="s">
        <v>122</v>
      </c>
      <c r="B57" s="191"/>
      <c r="C57" s="191"/>
      <c r="D57" s="191"/>
      <c r="E57" s="191"/>
      <c r="F57" s="191"/>
      <c r="G57" s="191"/>
      <c r="H57" s="191"/>
      <c r="I57" s="192"/>
    </row>
    <row r="58" spans="1:9" ht="15.75" hidden="1" customHeight="1">
      <c r="A58" s="18"/>
      <c r="B58" s="92" t="s">
        <v>43</v>
      </c>
      <c r="C58" s="35"/>
      <c r="D58" s="23"/>
      <c r="E58" s="74"/>
      <c r="F58" s="22"/>
      <c r="G58" s="22"/>
      <c r="H58" s="75"/>
      <c r="I58" s="10"/>
    </row>
    <row r="59" spans="1:9" ht="31.5" hidden="1" customHeight="1">
      <c r="A59" s="18">
        <v>15</v>
      </c>
      <c r="B59" s="23" t="s">
        <v>130</v>
      </c>
      <c r="C59" s="35" t="s">
        <v>85</v>
      </c>
      <c r="D59" s="23"/>
      <c r="E59" s="74">
        <v>160</v>
      </c>
      <c r="F59" s="22">
        <f>SUM(E59*6/100)</f>
        <v>9.6</v>
      </c>
      <c r="G59" s="27">
        <v>2029.3</v>
      </c>
      <c r="H59" s="75">
        <f>SUM(F59*G59/1000)</f>
        <v>19.481279999999998</v>
      </c>
      <c r="I59" s="10">
        <f>G59*(0.125+0.125)</f>
        <v>507.32499999999999</v>
      </c>
    </row>
    <row r="60" spans="1:9" ht="15.75" hidden="1" customHeight="1">
      <c r="A60" s="18">
        <v>16</v>
      </c>
      <c r="B60" s="23" t="s">
        <v>145</v>
      </c>
      <c r="C60" s="35" t="s">
        <v>146</v>
      </c>
      <c r="D60" s="23" t="s">
        <v>186</v>
      </c>
      <c r="E60" s="74"/>
      <c r="F60" s="22">
        <v>3</v>
      </c>
      <c r="G60" s="27">
        <v>1582.05</v>
      </c>
      <c r="H60" s="75">
        <f>SUM(F60*G60/1000)</f>
        <v>4.7461499999999992</v>
      </c>
      <c r="I60" s="10">
        <f>G60*2</f>
        <v>3164.1</v>
      </c>
    </row>
    <row r="61" spans="1:9" ht="15.75" customHeight="1">
      <c r="A61" s="18"/>
      <c r="B61" s="92" t="s">
        <v>44</v>
      </c>
      <c r="C61" s="35"/>
      <c r="D61" s="23"/>
      <c r="E61" s="74"/>
      <c r="F61" s="22"/>
      <c r="G61" s="94"/>
      <c r="H61" s="75"/>
      <c r="I61" s="10"/>
    </row>
    <row r="62" spans="1:9" ht="15.75" hidden="1" customHeight="1">
      <c r="A62" s="18"/>
      <c r="B62" s="23" t="s">
        <v>45</v>
      </c>
      <c r="C62" s="35" t="s">
        <v>85</v>
      </c>
      <c r="D62" s="23" t="s">
        <v>54</v>
      </c>
      <c r="E62" s="74">
        <v>206</v>
      </c>
      <c r="F62" s="22">
        <f>SUM(E62/100)</f>
        <v>2.06</v>
      </c>
      <c r="G62" s="22">
        <v>1040.8399999999999</v>
      </c>
      <c r="H62" s="75">
        <f>F62*G62/1000</f>
        <v>2.1441303999999999</v>
      </c>
      <c r="I62" s="10">
        <v>0</v>
      </c>
    </row>
    <row r="63" spans="1:9" ht="15.75" customHeight="1">
      <c r="A63" s="18">
        <v>13</v>
      </c>
      <c r="B63" s="23" t="s">
        <v>119</v>
      </c>
      <c r="C63" s="35" t="s">
        <v>25</v>
      </c>
      <c r="D63" s="23" t="s">
        <v>185</v>
      </c>
      <c r="E63" s="74">
        <v>200</v>
      </c>
      <c r="F63" s="22">
        <f>E63*12</f>
        <v>2400</v>
      </c>
      <c r="G63" s="52">
        <v>1.4</v>
      </c>
      <c r="H63" s="75">
        <f>F63*G63/1000</f>
        <v>3.36</v>
      </c>
      <c r="I63" s="10">
        <f>F63/12*G63</f>
        <v>280</v>
      </c>
    </row>
    <row r="64" spans="1:9" ht="15.75" customHeight="1">
      <c r="A64" s="18"/>
      <c r="B64" s="93" t="s">
        <v>46</v>
      </c>
      <c r="C64" s="80"/>
      <c r="D64" s="81"/>
      <c r="E64" s="82"/>
      <c r="F64" s="83"/>
      <c r="G64" s="83"/>
      <c r="H64" s="84" t="s">
        <v>128</v>
      </c>
      <c r="I64" s="10"/>
    </row>
    <row r="65" spans="1:9" ht="15.75" customHeight="1">
      <c r="A65" s="18">
        <v>14</v>
      </c>
      <c r="B65" s="50" t="s">
        <v>47</v>
      </c>
      <c r="C65" s="31" t="s">
        <v>94</v>
      </c>
      <c r="D65" s="23" t="s">
        <v>185</v>
      </c>
      <c r="E65" s="12">
        <v>10</v>
      </c>
      <c r="F65" s="22">
        <f>SUM(E65)</f>
        <v>10</v>
      </c>
      <c r="G65" s="27">
        <v>291.68</v>
      </c>
      <c r="H65" s="64">
        <f t="shared" ref="H65:H84" si="8">SUM(F65*G65/1000)</f>
        <v>2.9168000000000003</v>
      </c>
      <c r="I65" s="10">
        <f>G65*1</f>
        <v>291.68</v>
      </c>
    </row>
    <row r="66" spans="1:9" ht="15.75" hidden="1" customHeight="1">
      <c r="A66" s="18"/>
      <c r="B66" s="50" t="s">
        <v>48</v>
      </c>
      <c r="C66" s="31" t="s">
        <v>94</v>
      </c>
      <c r="D66" s="23" t="s">
        <v>66</v>
      </c>
      <c r="E66" s="12">
        <v>5</v>
      </c>
      <c r="F66" s="22">
        <f>SUM(E66)</f>
        <v>5</v>
      </c>
      <c r="G66" s="27">
        <v>100.01</v>
      </c>
      <c r="H66" s="64">
        <f t="shared" si="8"/>
        <v>0.50004999999999999</v>
      </c>
      <c r="I66" s="10">
        <v>0</v>
      </c>
    </row>
    <row r="67" spans="1:9" ht="15.75" hidden="1" customHeight="1">
      <c r="A67" s="18"/>
      <c r="B67" s="50" t="s">
        <v>49</v>
      </c>
      <c r="C67" s="33" t="s">
        <v>95</v>
      </c>
      <c r="D67" s="30" t="s">
        <v>54</v>
      </c>
      <c r="E67" s="74">
        <v>24063</v>
      </c>
      <c r="F67" s="28">
        <f>SUM(E67/100)</f>
        <v>240.63</v>
      </c>
      <c r="G67" s="27">
        <v>278.24</v>
      </c>
      <c r="H67" s="64">
        <f t="shared" si="8"/>
        <v>66.952891199999996</v>
      </c>
      <c r="I67" s="10">
        <f>F67*G67</f>
        <v>66952.891199999998</v>
      </c>
    </row>
    <row r="68" spans="1:9" ht="15.75" hidden="1" customHeight="1">
      <c r="A68" s="18"/>
      <c r="B68" s="50" t="s">
        <v>50</v>
      </c>
      <c r="C68" s="31" t="s">
        <v>96</v>
      </c>
      <c r="D68" s="30" t="s">
        <v>54</v>
      </c>
      <c r="E68" s="74">
        <v>24063</v>
      </c>
      <c r="F68" s="27">
        <f>SUM(E68/1000)</f>
        <v>24.062999999999999</v>
      </c>
      <c r="G68" s="27">
        <v>216.68</v>
      </c>
      <c r="H68" s="64">
        <f t="shared" si="8"/>
        <v>5.21397084</v>
      </c>
      <c r="I68" s="10">
        <f t="shared" ref="I68:I72" si="9">F68*G68</f>
        <v>5213.97084</v>
      </c>
    </row>
    <row r="69" spans="1:9" ht="15.75" hidden="1" customHeight="1">
      <c r="A69" s="18"/>
      <c r="B69" s="50" t="s">
        <v>51</v>
      </c>
      <c r="C69" s="31" t="s">
        <v>77</v>
      </c>
      <c r="D69" s="30" t="s">
        <v>54</v>
      </c>
      <c r="E69" s="74">
        <v>1300</v>
      </c>
      <c r="F69" s="27">
        <f>SUM(E69/100)</f>
        <v>13</v>
      </c>
      <c r="G69" s="27">
        <v>2720.94</v>
      </c>
      <c r="H69" s="64">
        <f t="shared" si="8"/>
        <v>35.372219999999999</v>
      </c>
      <c r="I69" s="10">
        <f t="shared" si="9"/>
        <v>35372.22</v>
      </c>
    </row>
    <row r="70" spans="1:9" ht="15.75" hidden="1" customHeight="1">
      <c r="A70" s="18"/>
      <c r="B70" s="46" t="s">
        <v>71</v>
      </c>
      <c r="C70" s="31" t="s">
        <v>32</v>
      </c>
      <c r="D70" s="30"/>
      <c r="E70" s="74">
        <v>10.4</v>
      </c>
      <c r="F70" s="27">
        <f>SUM(E70)</f>
        <v>10.4</v>
      </c>
      <c r="G70" s="27">
        <v>42.61</v>
      </c>
      <c r="H70" s="64">
        <f t="shared" si="8"/>
        <v>0.44314399999999998</v>
      </c>
      <c r="I70" s="10">
        <f t="shared" si="9"/>
        <v>443.14400000000001</v>
      </c>
    </row>
    <row r="71" spans="1:9" ht="31.5" hidden="1" customHeight="1">
      <c r="A71" s="18"/>
      <c r="B71" s="46" t="s">
        <v>72</v>
      </c>
      <c r="C71" s="31" t="s">
        <v>32</v>
      </c>
      <c r="D71" s="30"/>
      <c r="E71" s="74">
        <v>10.4</v>
      </c>
      <c r="F71" s="27">
        <f>SUM(E71)</f>
        <v>10.4</v>
      </c>
      <c r="G71" s="27">
        <v>46.04</v>
      </c>
      <c r="H71" s="64">
        <f t="shared" si="8"/>
        <v>0.47881600000000002</v>
      </c>
      <c r="I71" s="10">
        <f t="shared" si="9"/>
        <v>478.81600000000003</v>
      </c>
    </row>
    <row r="72" spans="1:9" ht="15.75" hidden="1" customHeight="1">
      <c r="A72" s="18"/>
      <c r="B72" s="30" t="s">
        <v>57</v>
      </c>
      <c r="C72" s="31" t="s">
        <v>58</v>
      </c>
      <c r="D72" s="30" t="s">
        <v>54</v>
      </c>
      <c r="E72" s="12">
        <v>5</v>
      </c>
      <c r="F72" s="22">
        <f>SUM(E72)</f>
        <v>5</v>
      </c>
      <c r="G72" s="27">
        <v>65.42</v>
      </c>
      <c r="H72" s="64">
        <f t="shared" si="8"/>
        <v>0.3271</v>
      </c>
      <c r="I72" s="10">
        <f t="shared" si="9"/>
        <v>327.10000000000002</v>
      </c>
    </row>
    <row r="73" spans="1:9" ht="15.75" customHeight="1">
      <c r="A73" s="18"/>
      <c r="B73" s="43" t="s">
        <v>73</v>
      </c>
      <c r="C73" s="31"/>
      <c r="D73" s="30"/>
      <c r="E73" s="12"/>
      <c r="F73" s="27"/>
      <c r="G73" s="27"/>
      <c r="H73" s="64" t="s">
        <v>128</v>
      </c>
      <c r="I73" s="10"/>
    </row>
    <row r="74" spans="1:9" ht="15.75" hidden="1" customHeight="1">
      <c r="A74" s="18"/>
      <c r="B74" s="30" t="s">
        <v>147</v>
      </c>
      <c r="C74" s="31" t="s">
        <v>94</v>
      </c>
      <c r="D74" s="23" t="s">
        <v>66</v>
      </c>
      <c r="E74" s="12">
        <v>1</v>
      </c>
      <c r="F74" s="27">
        <v>1</v>
      </c>
      <c r="G74" s="27">
        <v>1029.1199999999999</v>
      </c>
      <c r="H74" s="64">
        <f t="shared" ref="H74:H77" si="10">SUM(F74*G74/1000)</f>
        <v>1.0291199999999998</v>
      </c>
      <c r="I74" s="10">
        <v>0</v>
      </c>
    </row>
    <row r="75" spans="1:9" ht="15.75" hidden="1" customHeight="1">
      <c r="A75" s="18"/>
      <c r="B75" s="30" t="s">
        <v>148</v>
      </c>
      <c r="C75" s="31" t="s">
        <v>149</v>
      </c>
      <c r="D75" s="30"/>
      <c r="E75" s="12">
        <v>1</v>
      </c>
      <c r="F75" s="27">
        <f>E75</f>
        <v>1</v>
      </c>
      <c r="G75" s="27">
        <v>735</v>
      </c>
      <c r="H75" s="64">
        <f t="shared" si="10"/>
        <v>0.73499999999999999</v>
      </c>
      <c r="I75" s="10">
        <v>0</v>
      </c>
    </row>
    <row r="76" spans="1:9" ht="15.75" hidden="1" customHeight="1">
      <c r="A76" s="18">
        <v>19</v>
      </c>
      <c r="B76" s="30" t="s">
        <v>74</v>
      </c>
      <c r="C76" s="31" t="s">
        <v>75</v>
      </c>
      <c r="D76" s="23" t="s">
        <v>66</v>
      </c>
      <c r="E76" s="12">
        <v>7</v>
      </c>
      <c r="F76" s="27">
        <f>E76/10</f>
        <v>0.7</v>
      </c>
      <c r="G76" s="27">
        <v>657.87</v>
      </c>
      <c r="H76" s="64">
        <f t="shared" si="10"/>
        <v>0.46050899999999995</v>
      </c>
      <c r="I76" s="10">
        <f>G76*0.9</f>
        <v>592.08299999999997</v>
      </c>
    </row>
    <row r="77" spans="1:9" ht="15.75" hidden="1" customHeight="1">
      <c r="A77" s="18"/>
      <c r="B77" s="30" t="s">
        <v>115</v>
      </c>
      <c r="C77" s="31" t="s">
        <v>94</v>
      </c>
      <c r="D77" s="23" t="s">
        <v>66</v>
      </c>
      <c r="E77" s="12">
        <v>1</v>
      </c>
      <c r="F77" s="22">
        <f>SUM(E77)</f>
        <v>1</v>
      </c>
      <c r="G77" s="27">
        <v>1118.72</v>
      </c>
      <c r="H77" s="64">
        <f t="shared" si="10"/>
        <v>1.1187199999999999</v>
      </c>
      <c r="I77" s="10">
        <v>0</v>
      </c>
    </row>
    <row r="78" spans="1:9" ht="15.75" hidden="1" customHeight="1">
      <c r="A78" s="18"/>
      <c r="B78" s="66" t="s">
        <v>150</v>
      </c>
      <c r="C78" s="53" t="s">
        <v>94</v>
      </c>
      <c r="D78" s="23" t="s">
        <v>66</v>
      </c>
      <c r="E78" s="12">
        <v>1</v>
      </c>
      <c r="F78" s="52">
        <v>1</v>
      </c>
      <c r="G78" s="27">
        <v>1605.83</v>
      </c>
      <c r="H78" s="64">
        <f>SUM(F78*G78/1000)</f>
        <v>1.6058299999999999</v>
      </c>
      <c r="I78" s="10">
        <v>0</v>
      </c>
    </row>
    <row r="79" spans="1:9" ht="31.5" customHeight="1">
      <c r="A79" s="18">
        <v>15</v>
      </c>
      <c r="B79" s="66" t="s">
        <v>151</v>
      </c>
      <c r="C79" s="53" t="s">
        <v>94</v>
      </c>
      <c r="D79" s="30" t="s">
        <v>180</v>
      </c>
      <c r="E79" s="85">
        <v>2</v>
      </c>
      <c r="F79" s="83">
        <f>E79*12</f>
        <v>24</v>
      </c>
      <c r="G79" s="86">
        <v>53.42</v>
      </c>
      <c r="H79" s="64">
        <f t="shared" ref="H79:H80" si="11">SUM(F79*G79/1000)</f>
        <v>1.2820799999999999</v>
      </c>
      <c r="I79" s="10">
        <f>F79/12*G79</f>
        <v>106.84</v>
      </c>
    </row>
    <row r="80" spans="1:9" ht="15.75" customHeight="1">
      <c r="A80" s="18">
        <v>16</v>
      </c>
      <c r="B80" s="60" t="s">
        <v>116</v>
      </c>
      <c r="C80" s="31"/>
      <c r="D80" s="30" t="s">
        <v>180</v>
      </c>
      <c r="E80" s="12">
        <v>1</v>
      </c>
      <c r="F80" s="27">
        <v>12</v>
      </c>
      <c r="G80" s="27">
        <v>1194</v>
      </c>
      <c r="H80" s="64">
        <f t="shared" si="11"/>
        <v>14.327999999999999</v>
      </c>
      <c r="I80" s="10">
        <f>F80/12*G80</f>
        <v>1194</v>
      </c>
    </row>
    <row r="81" spans="1:11" ht="15.75" customHeight="1">
      <c r="A81" s="18"/>
      <c r="B81" s="95" t="s">
        <v>152</v>
      </c>
      <c r="C81" s="53"/>
      <c r="D81" s="30"/>
      <c r="E81" s="12"/>
      <c r="F81" s="27"/>
      <c r="G81" s="27"/>
      <c r="H81" s="64"/>
      <c r="I81" s="10"/>
    </row>
    <row r="82" spans="1:11" ht="15.75" customHeight="1">
      <c r="A82" s="18">
        <v>17</v>
      </c>
      <c r="B82" s="30" t="s">
        <v>153</v>
      </c>
      <c r="C82" s="36" t="s">
        <v>154</v>
      </c>
      <c r="D82" s="23"/>
      <c r="E82" s="12">
        <v>4394.8999999999996</v>
      </c>
      <c r="F82" s="27">
        <f>SUM(E82*12)</f>
        <v>52738.799999999996</v>
      </c>
      <c r="G82" s="27">
        <v>2.2799999999999998</v>
      </c>
      <c r="H82" s="64">
        <f t="shared" ref="H82" si="12">SUM(F82*G82/1000)</f>
        <v>120.24446399999998</v>
      </c>
      <c r="I82" s="10">
        <f>F82/12*G82</f>
        <v>10020.371999999998</v>
      </c>
    </row>
    <row r="83" spans="1:11" ht="15.75" hidden="1" customHeight="1">
      <c r="A83" s="18"/>
      <c r="B83" s="44" t="s">
        <v>76</v>
      </c>
      <c r="C83" s="31"/>
      <c r="D83" s="30"/>
      <c r="E83" s="12"/>
      <c r="F83" s="27"/>
      <c r="G83" s="27" t="s">
        <v>128</v>
      </c>
      <c r="H83" s="64" t="s">
        <v>128</v>
      </c>
      <c r="I83" s="10"/>
    </row>
    <row r="84" spans="1:11" ht="15.75" hidden="1" customHeight="1">
      <c r="A84" s="18"/>
      <c r="B84" s="32" t="s">
        <v>99</v>
      </c>
      <c r="C84" s="33" t="s">
        <v>77</v>
      </c>
      <c r="D84" s="50"/>
      <c r="E84" s="87"/>
      <c r="F84" s="28">
        <v>0.6</v>
      </c>
      <c r="G84" s="28">
        <v>3619.09</v>
      </c>
      <c r="H84" s="64">
        <f t="shared" si="8"/>
        <v>2.1714540000000002</v>
      </c>
      <c r="I84" s="10">
        <v>0</v>
      </c>
    </row>
    <row r="85" spans="1:11" ht="15.75" hidden="1" customHeight="1">
      <c r="A85" s="18"/>
      <c r="B85" s="100" t="s">
        <v>91</v>
      </c>
      <c r="C85" s="62"/>
      <c r="D85" s="20"/>
      <c r="E85" s="21"/>
      <c r="F85" s="59"/>
      <c r="G85" s="59"/>
      <c r="H85" s="88">
        <f>SUM(H59:H84)</f>
        <v>284.91172943999999</v>
      </c>
      <c r="I85" s="10"/>
    </row>
    <row r="86" spans="1:11" ht="15.75" hidden="1" customHeight="1">
      <c r="A86" s="18"/>
      <c r="B86" s="23" t="s">
        <v>97</v>
      </c>
      <c r="C86" s="89"/>
      <c r="D86" s="90"/>
      <c r="E86" s="91"/>
      <c r="F86" s="29">
        <v>1</v>
      </c>
      <c r="G86" s="29">
        <v>18792</v>
      </c>
      <c r="H86" s="64">
        <f>G86*F86/1000</f>
        <v>18.792000000000002</v>
      </c>
      <c r="I86" s="10">
        <v>0</v>
      </c>
    </row>
    <row r="87" spans="1:11" ht="15.75" customHeight="1">
      <c r="A87" s="190" t="s">
        <v>124</v>
      </c>
      <c r="B87" s="191"/>
      <c r="C87" s="191"/>
      <c r="D87" s="191"/>
      <c r="E87" s="191"/>
      <c r="F87" s="191"/>
      <c r="G87" s="191"/>
      <c r="H87" s="191"/>
      <c r="I87" s="192"/>
    </row>
    <row r="88" spans="1:11" ht="15.75" customHeight="1">
      <c r="A88" s="18">
        <v>18</v>
      </c>
      <c r="B88" s="23" t="s">
        <v>98</v>
      </c>
      <c r="C88" s="31" t="s">
        <v>55</v>
      </c>
      <c r="D88" s="51"/>
      <c r="E88" s="27">
        <v>4394.8999999999996</v>
      </c>
      <c r="F88" s="27">
        <f>SUM(E88*12)</f>
        <v>52738.799999999996</v>
      </c>
      <c r="G88" s="27">
        <v>3.1</v>
      </c>
      <c r="H88" s="64">
        <f>SUM(F88*G88/1000)</f>
        <v>163.49028000000001</v>
      </c>
      <c r="I88" s="10">
        <f>F88/12*G88</f>
        <v>13624.189999999999</v>
      </c>
    </row>
    <row r="89" spans="1:11" ht="30.75" customHeight="1">
      <c r="A89" s="18">
        <v>19</v>
      </c>
      <c r="B89" s="30" t="s">
        <v>78</v>
      </c>
      <c r="C89" s="31"/>
      <c r="D89" s="51"/>
      <c r="E89" s="74">
        <f>E88</f>
        <v>4394.8999999999996</v>
      </c>
      <c r="F89" s="27">
        <f>E89*12</f>
        <v>52738.799999999996</v>
      </c>
      <c r="G89" s="27">
        <v>3.5</v>
      </c>
      <c r="H89" s="64">
        <f>F89*G89/1000</f>
        <v>184.58579999999998</v>
      </c>
      <c r="I89" s="10">
        <f>F89/12*G89</f>
        <v>15382.149999999998</v>
      </c>
      <c r="K89" s="109"/>
    </row>
    <row r="90" spans="1:11" ht="15.75" customHeight="1">
      <c r="A90" s="18"/>
      <c r="B90" s="34" t="s">
        <v>80</v>
      </c>
      <c r="C90" s="62"/>
      <c r="D90" s="61"/>
      <c r="E90" s="59"/>
      <c r="F90" s="59"/>
      <c r="G90" s="59"/>
      <c r="H90" s="63">
        <f>SUM(H77)</f>
        <v>1.1187199999999999</v>
      </c>
      <c r="I90" s="59">
        <f>I89+I88+I82+I80+I79+I65+I63+I52+I45+I42+I40+I39+I38+I26+I25+I21+I18++I17+I16</f>
        <v>84741.761009666647</v>
      </c>
    </row>
    <row r="91" spans="1:11" ht="15.75" customHeight="1">
      <c r="A91" s="193" t="s">
        <v>60</v>
      </c>
      <c r="B91" s="194"/>
      <c r="C91" s="194"/>
      <c r="D91" s="194"/>
      <c r="E91" s="194"/>
      <c r="F91" s="194"/>
      <c r="G91" s="194"/>
      <c r="H91" s="194"/>
      <c r="I91" s="195"/>
    </row>
    <row r="92" spans="1:11" ht="18.75" customHeight="1">
      <c r="A92" s="18">
        <v>20</v>
      </c>
      <c r="B92" s="66" t="s">
        <v>118</v>
      </c>
      <c r="C92" s="53" t="s">
        <v>94</v>
      </c>
      <c r="D92" s="65"/>
      <c r="E92" s="27"/>
      <c r="F92" s="27">
        <v>10</v>
      </c>
      <c r="G92" s="27">
        <v>60.72</v>
      </c>
      <c r="H92" s="58">
        <f>G92*F92/1000</f>
        <v>0.60720000000000007</v>
      </c>
      <c r="I92" s="108">
        <f>G92*1</f>
        <v>60.72</v>
      </c>
    </row>
    <row r="93" spans="1:11" ht="34.5" customHeight="1">
      <c r="A93" s="18">
        <v>21</v>
      </c>
      <c r="B93" s="66" t="s">
        <v>193</v>
      </c>
      <c r="C93" s="53" t="s">
        <v>117</v>
      </c>
      <c r="D93" s="65" t="s">
        <v>195</v>
      </c>
      <c r="E93" s="27"/>
      <c r="F93" s="27">
        <v>1</v>
      </c>
      <c r="G93" s="27">
        <v>587.65</v>
      </c>
      <c r="H93" s="58"/>
      <c r="I93" s="108">
        <f>G93*1</f>
        <v>587.65</v>
      </c>
    </row>
    <row r="94" spans="1:11" ht="19.5" customHeight="1">
      <c r="A94" s="18">
        <v>22</v>
      </c>
      <c r="B94" s="66" t="s">
        <v>81</v>
      </c>
      <c r="C94" s="53" t="s">
        <v>94</v>
      </c>
      <c r="D94" s="65"/>
      <c r="E94" s="27"/>
      <c r="F94" s="27">
        <v>1</v>
      </c>
      <c r="G94" s="27">
        <v>215.85</v>
      </c>
      <c r="H94" s="58"/>
      <c r="I94" s="108">
        <f>G94*1</f>
        <v>215.85</v>
      </c>
    </row>
    <row r="95" spans="1:11" ht="16.5" customHeight="1">
      <c r="A95" s="18">
        <v>23</v>
      </c>
      <c r="B95" s="66" t="s">
        <v>173</v>
      </c>
      <c r="C95" s="53" t="s">
        <v>134</v>
      </c>
      <c r="D95" s="65" t="s">
        <v>197</v>
      </c>
      <c r="E95" s="27"/>
      <c r="F95" s="27">
        <v>1</v>
      </c>
      <c r="G95" s="27">
        <v>222.63</v>
      </c>
      <c r="H95" s="58">
        <f>G95*F95/1000</f>
        <v>0.22262999999999999</v>
      </c>
      <c r="I95" s="108">
        <f>G95*1</f>
        <v>222.63</v>
      </c>
    </row>
    <row r="96" spans="1:11" ht="18.75" customHeight="1">
      <c r="A96" s="18">
        <v>24</v>
      </c>
      <c r="B96" s="66" t="s">
        <v>157</v>
      </c>
      <c r="C96" s="53" t="s">
        <v>172</v>
      </c>
      <c r="D96" s="65" t="s">
        <v>281</v>
      </c>
      <c r="E96" s="27"/>
      <c r="F96" s="27">
        <v>8</v>
      </c>
      <c r="G96" s="27">
        <v>284</v>
      </c>
      <c r="H96" s="58"/>
      <c r="I96" s="108">
        <v>0</v>
      </c>
    </row>
    <row r="97" spans="1:9" ht="18" customHeight="1">
      <c r="A97" s="18">
        <v>25</v>
      </c>
      <c r="B97" s="66" t="s">
        <v>194</v>
      </c>
      <c r="C97" s="53" t="s">
        <v>94</v>
      </c>
      <c r="D97" s="65" t="s">
        <v>196</v>
      </c>
      <c r="E97" s="27"/>
      <c r="F97" s="27">
        <v>1</v>
      </c>
      <c r="G97" s="27">
        <v>202.46</v>
      </c>
      <c r="H97" s="58"/>
      <c r="I97" s="108">
        <f>G97*1</f>
        <v>202.46</v>
      </c>
    </row>
    <row r="98" spans="1:9" ht="15" customHeight="1">
      <c r="A98" s="18">
        <v>26</v>
      </c>
      <c r="B98" s="66" t="s">
        <v>175</v>
      </c>
      <c r="C98" s="53" t="s">
        <v>40</v>
      </c>
      <c r="D98" s="65" t="s">
        <v>179</v>
      </c>
      <c r="E98" s="27"/>
      <c r="F98" s="27">
        <v>0.02</v>
      </c>
      <c r="G98" s="27">
        <v>27139.18</v>
      </c>
      <c r="H98" s="58"/>
      <c r="I98" s="108">
        <v>0</v>
      </c>
    </row>
    <row r="99" spans="1:9" ht="30.75" customHeight="1">
      <c r="A99" s="18">
        <v>27</v>
      </c>
      <c r="B99" s="66" t="s">
        <v>170</v>
      </c>
      <c r="C99" s="53" t="s">
        <v>171</v>
      </c>
      <c r="D99" s="65" t="s">
        <v>198</v>
      </c>
      <c r="E99" s="27"/>
      <c r="F99" s="27">
        <v>2</v>
      </c>
      <c r="G99" s="27">
        <v>61.58</v>
      </c>
      <c r="H99" s="58"/>
      <c r="I99" s="108">
        <f>G99*2</f>
        <v>123.16</v>
      </c>
    </row>
    <row r="100" spans="1:9" ht="19.5" customHeight="1">
      <c r="A100" s="18">
        <v>28</v>
      </c>
      <c r="B100" s="66" t="s">
        <v>208</v>
      </c>
      <c r="C100" s="53" t="s">
        <v>209</v>
      </c>
      <c r="D100" s="65" t="s">
        <v>213</v>
      </c>
      <c r="E100" s="27"/>
      <c r="F100" s="27">
        <v>0.18</v>
      </c>
      <c r="G100" s="27">
        <v>6862.22</v>
      </c>
      <c r="H100" s="58"/>
      <c r="I100" s="108">
        <f>G100*0.18</f>
        <v>1235.1995999999999</v>
      </c>
    </row>
    <row r="101" spans="1:9" ht="16.5" customHeight="1">
      <c r="A101" s="18">
        <v>29</v>
      </c>
      <c r="B101" s="66" t="s">
        <v>210</v>
      </c>
      <c r="C101" s="53" t="s">
        <v>53</v>
      </c>
      <c r="D101" s="65"/>
      <c r="E101" s="27"/>
      <c r="F101" s="27">
        <v>1.4106000000000001</v>
      </c>
      <c r="G101" s="27">
        <v>1137.68</v>
      </c>
      <c r="H101" s="58"/>
      <c r="I101" s="108">
        <f>G101*1.4106</f>
        <v>1604.8114080000003</v>
      </c>
    </row>
    <row r="102" spans="1:9" ht="18.75" customHeight="1">
      <c r="A102" s="18">
        <v>30</v>
      </c>
      <c r="B102" s="67" t="s">
        <v>211</v>
      </c>
      <c r="C102" s="53" t="s">
        <v>55</v>
      </c>
      <c r="D102" s="65"/>
      <c r="E102" s="27"/>
      <c r="F102" s="27">
        <v>12</v>
      </c>
      <c r="G102" s="27">
        <v>494.86</v>
      </c>
      <c r="H102" s="58"/>
      <c r="I102" s="108">
        <f>G102*12</f>
        <v>5938.32</v>
      </c>
    </row>
    <row r="103" spans="1:9" ht="16.5" customHeight="1">
      <c r="A103" s="18">
        <v>31</v>
      </c>
      <c r="B103" s="67" t="s">
        <v>212</v>
      </c>
      <c r="C103" s="53" t="s">
        <v>149</v>
      </c>
      <c r="D103" s="65"/>
      <c r="E103" s="27"/>
      <c r="F103" s="27">
        <v>1</v>
      </c>
      <c r="G103" s="27">
        <v>173180</v>
      </c>
      <c r="H103" s="58"/>
      <c r="I103" s="108">
        <f>G103*1</f>
        <v>173180</v>
      </c>
    </row>
    <row r="104" spans="1:9">
      <c r="A104" s="18"/>
      <c r="B104" s="41" t="s">
        <v>52</v>
      </c>
      <c r="C104" s="37"/>
      <c r="D104" s="47"/>
      <c r="E104" s="37">
        <v>1</v>
      </c>
      <c r="F104" s="37"/>
      <c r="G104" s="37"/>
      <c r="H104" s="37"/>
      <c r="I104" s="21">
        <f>SUM(I92:I103)</f>
        <v>183370.80100800001</v>
      </c>
    </row>
    <row r="105" spans="1:9" ht="15.75" customHeight="1">
      <c r="A105" s="18"/>
      <c r="B105" s="45" t="s">
        <v>79</v>
      </c>
      <c r="C105" s="11"/>
      <c r="D105" s="11"/>
      <c r="E105" s="38"/>
      <c r="F105" s="38"/>
      <c r="G105" s="39"/>
      <c r="H105" s="39"/>
      <c r="I105" s="12">
        <v>0</v>
      </c>
    </row>
    <row r="106" spans="1:9" ht="15.75" customHeight="1">
      <c r="A106" s="48"/>
      <c r="B106" s="42" t="s">
        <v>155</v>
      </c>
      <c r="C106" s="26"/>
      <c r="D106" s="26"/>
      <c r="E106" s="26"/>
      <c r="F106" s="26"/>
      <c r="G106" s="26"/>
      <c r="H106" s="26"/>
      <c r="I106" s="40">
        <f>I90+I104</f>
        <v>268112.56201766664</v>
      </c>
    </row>
    <row r="107" spans="1:9" ht="15.75">
      <c r="A107" s="196" t="s">
        <v>282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15.75" customHeight="1">
      <c r="A108" s="54"/>
      <c r="B108" s="197" t="s">
        <v>283</v>
      </c>
      <c r="C108" s="197"/>
      <c r="D108" s="197"/>
      <c r="E108" s="197"/>
      <c r="F108" s="197"/>
      <c r="G108" s="197"/>
      <c r="H108" s="57"/>
      <c r="I108" s="2"/>
    </row>
    <row r="109" spans="1:9" ht="15.75" customHeight="1">
      <c r="A109" s="98"/>
      <c r="B109" s="184" t="s">
        <v>6</v>
      </c>
      <c r="C109" s="184"/>
      <c r="D109" s="184"/>
      <c r="E109" s="184"/>
      <c r="F109" s="184"/>
      <c r="G109" s="184"/>
      <c r="H109" s="13"/>
      <c r="I109" s="4"/>
    </row>
    <row r="110" spans="1:9" ht="15.75" customHeight="1">
      <c r="A110" s="7"/>
      <c r="B110" s="7"/>
      <c r="C110" s="7"/>
      <c r="D110" s="7"/>
      <c r="E110" s="7"/>
      <c r="F110" s="7"/>
      <c r="G110" s="7"/>
      <c r="H110" s="7"/>
      <c r="I110" s="7"/>
    </row>
    <row r="111" spans="1:9" ht="15.75" customHeight="1">
      <c r="A111" s="198" t="s">
        <v>7</v>
      </c>
      <c r="B111" s="198"/>
      <c r="C111" s="198"/>
      <c r="D111" s="198"/>
      <c r="E111" s="198"/>
      <c r="F111" s="198"/>
      <c r="G111" s="198"/>
      <c r="H111" s="198"/>
      <c r="I111" s="198"/>
    </row>
    <row r="112" spans="1:9" ht="15.75" customHeight="1">
      <c r="A112" s="198" t="s">
        <v>8</v>
      </c>
      <c r="B112" s="198"/>
      <c r="C112" s="198"/>
      <c r="D112" s="198"/>
      <c r="E112" s="198"/>
      <c r="F112" s="198"/>
      <c r="G112" s="198"/>
      <c r="H112" s="198"/>
      <c r="I112" s="198"/>
    </row>
    <row r="113" spans="1:9" ht="15.75">
      <c r="A113" s="188" t="s">
        <v>61</v>
      </c>
      <c r="B113" s="188"/>
      <c r="C113" s="188"/>
      <c r="D113" s="188"/>
      <c r="E113" s="188"/>
      <c r="F113" s="188"/>
      <c r="G113" s="188"/>
      <c r="H113" s="188"/>
      <c r="I113" s="188"/>
    </row>
    <row r="114" spans="1:9" ht="15.75" customHeight="1">
      <c r="A114" s="8"/>
    </row>
    <row r="115" spans="1:9" ht="15.75">
      <c r="A115" s="182" t="s">
        <v>9</v>
      </c>
      <c r="B115" s="182"/>
      <c r="C115" s="182"/>
      <c r="D115" s="182"/>
      <c r="E115" s="182"/>
      <c r="F115" s="182"/>
      <c r="G115" s="182"/>
      <c r="H115" s="182"/>
      <c r="I115" s="182"/>
    </row>
    <row r="116" spans="1:9" ht="15.75" customHeight="1">
      <c r="A116" s="3"/>
    </row>
    <row r="117" spans="1:9" ht="15.75">
      <c r="B117" s="99" t="s">
        <v>10</v>
      </c>
      <c r="C117" s="183" t="s">
        <v>123</v>
      </c>
      <c r="D117" s="183"/>
      <c r="E117" s="183"/>
      <c r="F117" s="55"/>
      <c r="I117" s="97"/>
    </row>
    <row r="118" spans="1:9">
      <c r="A118" s="98"/>
      <c r="C118" s="184" t="s">
        <v>11</v>
      </c>
      <c r="D118" s="184"/>
      <c r="E118" s="184"/>
      <c r="F118" s="13"/>
      <c r="I118" s="96" t="s">
        <v>12</v>
      </c>
    </row>
    <row r="119" spans="1:9" ht="15.75">
      <c r="A119" s="14"/>
      <c r="C119" s="9"/>
      <c r="D119" s="9"/>
      <c r="G119" s="9"/>
      <c r="H119" s="9"/>
    </row>
    <row r="120" spans="1:9" ht="15.75" customHeight="1">
      <c r="B120" s="99" t="s">
        <v>13</v>
      </c>
      <c r="C120" s="185"/>
      <c r="D120" s="185"/>
      <c r="E120" s="185"/>
      <c r="F120" s="56"/>
      <c r="I120" s="97"/>
    </row>
    <row r="121" spans="1:9" ht="15.75" customHeight="1">
      <c r="A121" s="98"/>
      <c r="C121" s="186" t="s">
        <v>11</v>
      </c>
      <c r="D121" s="186"/>
      <c r="E121" s="186"/>
      <c r="F121" s="98"/>
      <c r="I121" s="96" t="s">
        <v>12</v>
      </c>
    </row>
    <row r="122" spans="1:9" ht="15.75" customHeight="1">
      <c r="A122" s="3" t="s">
        <v>14</v>
      </c>
    </row>
    <row r="123" spans="1:9">
      <c r="A123" s="187" t="s">
        <v>15</v>
      </c>
      <c r="B123" s="187"/>
      <c r="C123" s="187"/>
      <c r="D123" s="187"/>
      <c r="E123" s="187"/>
      <c r="F123" s="187"/>
      <c r="G123" s="187"/>
      <c r="H123" s="187"/>
      <c r="I123" s="187"/>
    </row>
    <row r="124" spans="1:9" ht="45" customHeight="1">
      <c r="A124" s="181" t="s">
        <v>16</v>
      </c>
      <c r="B124" s="181"/>
      <c r="C124" s="181"/>
      <c r="D124" s="181"/>
      <c r="E124" s="181"/>
      <c r="F124" s="181"/>
      <c r="G124" s="181"/>
      <c r="H124" s="181"/>
      <c r="I124" s="181"/>
    </row>
    <row r="125" spans="1:9" ht="30" customHeight="1">
      <c r="A125" s="181" t="s">
        <v>17</v>
      </c>
      <c r="B125" s="181"/>
      <c r="C125" s="181"/>
      <c r="D125" s="181"/>
      <c r="E125" s="181"/>
      <c r="F125" s="181"/>
      <c r="G125" s="181"/>
      <c r="H125" s="181"/>
      <c r="I125" s="181"/>
    </row>
    <row r="126" spans="1:9" ht="30" customHeight="1">
      <c r="A126" s="181" t="s">
        <v>21</v>
      </c>
      <c r="B126" s="181"/>
      <c r="C126" s="181"/>
      <c r="D126" s="181"/>
      <c r="E126" s="181"/>
      <c r="F126" s="181"/>
      <c r="G126" s="181"/>
      <c r="H126" s="181"/>
      <c r="I126" s="181"/>
    </row>
    <row r="127" spans="1:9" ht="21.75" customHeight="1">
      <c r="A127" s="181" t="s">
        <v>20</v>
      </c>
      <c r="B127" s="181"/>
      <c r="C127" s="181"/>
      <c r="D127" s="181"/>
      <c r="E127" s="181"/>
      <c r="F127" s="181"/>
      <c r="G127" s="181"/>
      <c r="H127" s="181"/>
      <c r="I127" s="181"/>
    </row>
  </sheetData>
  <mergeCells count="28">
    <mergeCell ref="A14:I14"/>
    <mergeCell ref="A3:I3"/>
    <mergeCell ref="A4:I4"/>
    <mergeCell ref="A5:I5"/>
    <mergeCell ref="A8:I8"/>
    <mergeCell ref="A10:I10"/>
    <mergeCell ref="A113:I113"/>
    <mergeCell ref="A15:I15"/>
    <mergeCell ref="A28:I28"/>
    <mergeCell ref="A46:I46"/>
    <mergeCell ref="A57:I57"/>
    <mergeCell ref="A87:I87"/>
    <mergeCell ref="A91:I91"/>
    <mergeCell ref="A107:I107"/>
    <mergeCell ref="B108:G108"/>
    <mergeCell ref="B109:G109"/>
    <mergeCell ref="A111:I111"/>
    <mergeCell ref="A112:I112"/>
    <mergeCell ref="A124:I124"/>
    <mergeCell ref="A125:I125"/>
    <mergeCell ref="A126:I126"/>
    <mergeCell ref="A127:I127"/>
    <mergeCell ref="A115:I115"/>
    <mergeCell ref="C117:E117"/>
    <mergeCell ref="C118:E118"/>
    <mergeCell ref="C120:E120"/>
    <mergeCell ref="C121:E121"/>
    <mergeCell ref="A123:I123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  <rowBreaks count="1" manualBreakCount="1">
    <brk id="114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95" zoomScale="60" workbookViewId="0">
      <selection activeCell="I105" sqref="I105"/>
    </sheetView>
  </sheetViews>
  <sheetFormatPr defaultRowHeight="15"/>
  <cols>
    <col min="1" max="1" width="13.85546875" customWidth="1"/>
    <col min="2" max="2" width="49.28515625" customWidth="1"/>
    <col min="3" max="3" width="17.7109375" customWidth="1"/>
    <col min="4" max="4" width="17.42578125" customWidth="1"/>
    <col min="5" max="6" width="0" hidden="1" customWidth="1"/>
    <col min="7" max="7" width="16.140625" customWidth="1"/>
    <col min="8" max="8" width="0" hidden="1" customWidth="1"/>
    <col min="9" max="9" width="17.425781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169</v>
      </c>
      <c r="B3" s="200"/>
      <c r="C3" s="200"/>
      <c r="D3" s="200"/>
      <c r="E3" s="200"/>
      <c r="F3" s="200"/>
      <c r="G3" s="200"/>
      <c r="H3" s="200"/>
      <c r="I3" s="200"/>
    </row>
    <row r="4" spans="1:9" ht="33.7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257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52"/>
      <c r="C6" s="152"/>
      <c r="D6" s="152"/>
      <c r="E6" s="152"/>
      <c r="F6" s="152"/>
      <c r="G6" s="152"/>
      <c r="H6" s="152"/>
      <c r="I6" s="19">
        <v>44135</v>
      </c>
    </row>
    <row r="7" spans="1:9" ht="15.75">
      <c r="B7" s="153"/>
      <c r="C7" s="153"/>
      <c r="D7" s="153"/>
      <c r="E7" s="2"/>
      <c r="F7" s="2"/>
      <c r="G7" s="2"/>
      <c r="H7" s="2"/>
    </row>
    <row r="8" spans="1:9" ht="86.25" customHeight="1">
      <c r="A8" s="203" t="s">
        <v>258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66.7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72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7.2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261.45</v>
      </c>
      <c r="H16" s="75">
        <f t="shared" ref="H16:H25" si="0">SUM(F16*G16/1000)</f>
        <v>49.408402680000002</v>
      </c>
      <c r="I16" s="10">
        <f>F16/12*G16</f>
        <v>4117.3668899999993</v>
      </c>
    </row>
    <row r="17" spans="1:9" ht="19.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261.45</v>
      </c>
      <c r="H17" s="75">
        <f t="shared" si="0"/>
        <v>131.75574047999999</v>
      </c>
      <c r="I17" s="10">
        <f>F17/12*G17</f>
        <v>10979.645039999999</v>
      </c>
    </row>
    <row r="18" spans="1:9" ht="1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SUM(E18*18/100)</f>
        <v>109.02600000000001</v>
      </c>
      <c r="G18" s="22">
        <v>752.16</v>
      </c>
      <c r="H18" s="75">
        <f t="shared" si="0"/>
        <v>82.004996160000005</v>
      </c>
      <c r="I18" s="10">
        <f>F18/18*2*G18</f>
        <v>9111.6662400000005</v>
      </c>
    </row>
    <row r="19" spans="1:9" hidden="1">
      <c r="A19" s="18">
        <v>4</v>
      </c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253.7</v>
      </c>
      <c r="H19" s="75">
        <f t="shared" si="0"/>
        <v>0.97420799999999996</v>
      </c>
      <c r="I19" s="10">
        <f>F19/2*G19</f>
        <v>487.10399999999998</v>
      </c>
    </row>
    <row r="20" spans="1:9" hidden="1">
      <c r="A20" s="18">
        <v>4</v>
      </c>
      <c r="B20" s="23" t="s">
        <v>107</v>
      </c>
      <c r="C20" s="35" t="s">
        <v>85</v>
      </c>
      <c r="D20" s="23" t="s">
        <v>185</v>
      </c>
      <c r="E20" s="74">
        <v>58.4</v>
      </c>
      <c r="F20" s="22">
        <f>SUM(E20*2/100)</f>
        <v>1.1679999999999999</v>
      </c>
      <c r="G20" s="22">
        <v>324.83999999999997</v>
      </c>
      <c r="H20" s="75">
        <f t="shared" si="0"/>
        <v>0.37941311999999994</v>
      </c>
      <c r="I20" s="10">
        <f>F20/2*G20</f>
        <v>189.70655999999997</v>
      </c>
    </row>
    <row r="21" spans="1:9" hidden="1">
      <c r="A21" s="18">
        <v>5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322.20999999999998</v>
      </c>
      <c r="H21" s="75">
        <f t="shared" si="0"/>
        <v>0.175540008</v>
      </c>
      <c r="I21" s="10">
        <f>F21/6*G21</f>
        <v>29.256668000000001</v>
      </c>
    </row>
    <row r="22" spans="1:9" hidden="1">
      <c r="A22" s="18">
        <v>7</v>
      </c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401.44</v>
      </c>
      <c r="H22" s="75">
        <f t="shared" si="0"/>
        <v>2.8662815999999998</v>
      </c>
      <c r="I22" s="10">
        <f t="shared" ref="I22:I24" si="1">F22/12*G22</f>
        <v>238.85679999999999</v>
      </c>
    </row>
    <row r="23" spans="1:9" hidden="1">
      <c r="A23" s="18">
        <v>8</v>
      </c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66.03</v>
      </c>
      <c r="H23" s="75">
        <f t="shared" si="0"/>
        <v>6.3784979999999991E-2</v>
      </c>
      <c r="I23" s="10">
        <f t="shared" si="1"/>
        <v>5.3154150000000007</v>
      </c>
    </row>
    <row r="24" spans="1:9" hidden="1">
      <c r="A24" s="18">
        <v>9</v>
      </c>
      <c r="B24" s="23" t="s">
        <v>111</v>
      </c>
      <c r="C24" s="35" t="s">
        <v>53</v>
      </c>
      <c r="D24" s="23" t="s">
        <v>112</v>
      </c>
      <c r="E24" s="74">
        <v>32</v>
      </c>
      <c r="F24" s="22">
        <f>E24*1/100</f>
        <v>0.32</v>
      </c>
      <c r="G24" s="22">
        <v>581.02</v>
      </c>
      <c r="H24" s="75">
        <f t="shared" si="0"/>
        <v>0.18592639999999999</v>
      </c>
      <c r="I24" s="10">
        <f t="shared" si="1"/>
        <v>15.493866666666667</v>
      </c>
    </row>
    <row r="25" spans="1:9" ht="18" hidden="1" customHeight="1">
      <c r="A25" s="18">
        <v>4</v>
      </c>
      <c r="B25" s="23" t="s">
        <v>113</v>
      </c>
      <c r="C25" s="35" t="s">
        <v>53</v>
      </c>
      <c r="D25" s="23" t="s">
        <v>54</v>
      </c>
      <c r="E25" s="74">
        <v>17</v>
      </c>
      <c r="F25" s="22">
        <f>SUM(E25*1/100)</f>
        <v>0.17</v>
      </c>
      <c r="G25" s="22">
        <v>776.46</v>
      </c>
      <c r="H25" s="75">
        <f t="shared" si="0"/>
        <v>0.13199820000000004</v>
      </c>
      <c r="I25" s="10">
        <f>F25/12*G25</f>
        <v>10.999850000000002</v>
      </c>
    </row>
    <row r="26" spans="1:9" ht="18.75" customHeight="1">
      <c r="A26" s="18">
        <v>4</v>
      </c>
      <c r="B26" s="23" t="s">
        <v>176</v>
      </c>
      <c r="C26" s="35" t="s">
        <v>25</v>
      </c>
      <c r="D26" s="23" t="s">
        <v>181</v>
      </c>
      <c r="E26" s="77">
        <v>6.8</v>
      </c>
      <c r="F26" s="22">
        <v>1754.4</v>
      </c>
      <c r="G26" s="22">
        <v>10.81</v>
      </c>
      <c r="H26" s="75">
        <f>SUM(F26*G26/1000)</f>
        <v>18.965064000000002</v>
      </c>
      <c r="I26" s="10">
        <f>F26/12*G26</f>
        <v>1580.4220000000003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16.5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8" customHeight="1">
      <c r="A29" s="18">
        <v>5</v>
      </c>
      <c r="B29" s="23" t="s">
        <v>93</v>
      </c>
      <c r="C29" s="35" t="s">
        <v>87</v>
      </c>
      <c r="D29" s="23" t="s">
        <v>182</v>
      </c>
      <c r="E29" s="22">
        <v>637</v>
      </c>
      <c r="F29" s="22">
        <f>SUM(E29*24/1000)</f>
        <v>15.288</v>
      </c>
      <c r="G29" s="22">
        <v>232.4</v>
      </c>
      <c r="H29" s="75">
        <f t="shared" ref="H29:H32" si="2">SUM(F29*G29/1000)</f>
        <v>3.5529312000000002</v>
      </c>
      <c r="I29" s="10">
        <f t="shared" ref="I29:I32" si="3">F29/6*G29</f>
        <v>592.15520000000004</v>
      </c>
    </row>
    <row r="30" spans="1:9" ht="46.5" customHeight="1">
      <c r="A30" s="18">
        <v>6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385.6</v>
      </c>
      <c r="H30" s="75">
        <f t="shared" si="2"/>
        <v>3.4796543999999998</v>
      </c>
      <c r="I30" s="10">
        <f t="shared" si="3"/>
        <v>579.94239999999991</v>
      </c>
    </row>
    <row r="31" spans="1:9" hidden="1">
      <c r="A31" s="18">
        <v>15</v>
      </c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4502.97</v>
      </c>
      <c r="H31" s="75">
        <f t="shared" si="2"/>
        <v>2.8683918900000003</v>
      </c>
      <c r="I31" s="10">
        <f>F31*G31</f>
        <v>2868.3918900000003</v>
      </c>
    </row>
    <row r="32" spans="1:9" ht="18" customHeight="1">
      <c r="A32" s="18">
        <v>7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1941.17</v>
      </c>
      <c r="H32" s="75">
        <f t="shared" si="2"/>
        <v>7.4540928000000006</v>
      </c>
      <c r="I32" s="10">
        <f t="shared" si="3"/>
        <v>1242.3488</v>
      </c>
    </row>
    <row r="33" spans="1:9" ht="30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ref="H33:H34" si="4">SUM(F33*G33/1000)</f>
        <v>0.50183999999999995</v>
      </c>
      <c r="I33" s="10">
        <v>0</v>
      </c>
    </row>
    <row r="34" spans="1:9" ht="30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4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5">SUM(F36*G36/1000)</f>
        <v>16.024000000000001</v>
      </c>
      <c r="I36" s="10">
        <f t="shared" ref="I36:I41" si="6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5"/>
        <v>13.48002864</v>
      </c>
      <c r="I37" s="10">
        <f t="shared" si="6"/>
        <v>2246.6714400000001</v>
      </c>
    </row>
    <row r="38" spans="1:9" ht="30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5"/>
        <v>13.404982799999999</v>
      </c>
      <c r="I38" s="10">
        <f t="shared" si="6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5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60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5"/>
        <v>37.20335008</v>
      </c>
      <c r="I41" s="10">
        <f t="shared" si="6"/>
        <v>6200.5583466666667</v>
      </c>
    </row>
    <row r="42" spans="1:9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5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5"/>
        <v>0.8773470000000001</v>
      </c>
      <c r="I43" s="10">
        <f>(F43/7.5*1.5)*G43</f>
        <v>175.46940000000004</v>
      </c>
    </row>
    <row r="44" spans="1:9" ht="30" hidden="1">
      <c r="A44" s="18">
        <v>9</v>
      </c>
      <c r="B44" s="66" t="s">
        <v>143</v>
      </c>
      <c r="C44" s="53" t="s">
        <v>29</v>
      </c>
      <c r="D44" s="24" t="s">
        <v>185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5"/>
        <v>7.4937599999999986E-3</v>
      </c>
      <c r="I44" s="10">
        <f>G44*2.4/1000</f>
        <v>0.62447999999999992</v>
      </c>
    </row>
    <row r="45" spans="1:9" hidden="1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idden="1">
      <c r="A46" s="18">
        <v>13</v>
      </c>
      <c r="B46" s="23" t="s">
        <v>129</v>
      </c>
      <c r="C46" s="35" t="s">
        <v>87</v>
      </c>
      <c r="D46" s="23" t="s">
        <v>42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7">SUM(F46*G46/1000)</f>
        <v>3.842075006</v>
      </c>
      <c r="I46" s="10">
        <f t="shared" ref="I46:I54" si="8">F46/2*G46</f>
        <v>1921.037503</v>
      </c>
    </row>
    <row r="47" spans="1:9" hidden="1">
      <c r="A47" s="18">
        <v>14</v>
      </c>
      <c r="B47" s="23" t="s">
        <v>35</v>
      </c>
      <c r="C47" s="35" t="s">
        <v>87</v>
      </c>
      <c r="D47" s="23" t="s">
        <v>42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7"/>
        <v>0.91916240000000005</v>
      </c>
      <c r="I47" s="10">
        <f t="shared" si="8"/>
        <v>459.58120000000002</v>
      </c>
    </row>
    <row r="48" spans="1:9" hidden="1">
      <c r="A48" s="18">
        <v>15</v>
      </c>
      <c r="B48" s="23" t="s">
        <v>36</v>
      </c>
      <c r="C48" s="35" t="s">
        <v>87</v>
      </c>
      <c r="D48" s="23" t="s">
        <v>42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7"/>
        <v>7.2034689005999999</v>
      </c>
      <c r="I48" s="10">
        <f t="shared" si="8"/>
        <v>3601.7344502999999</v>
      </c>
    </row>
    <row r="49" spans="1:9" hidden="1">
      <c r="A49" s="18">
        <v>16</v>
      </c>
      <c r="B49" s="23" t="s">
        <v>37</v>
      </c>
      <c r="C49" s="35" t="s">
        <v>87</v>
      </c>
      <c r="D49" s="23" t="s">
        <v>42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7"/>
        <v>6.6006486806</v>
      </c>
      <c r="I49" s="10">
        <f t="shared" si="8"/>
        <v>3300.3243403000001</v>
      </c>
    </row>
    <row r="50" spans="1:9" hidden="1">
      <c r="A50" s="18">
        <v>17</v>
      </c>
      <c r="B50" s="23" t="s">
        <v>33</v>
      </c>
      <c r="C50" s="35" t="s">
        <v>34</v>
      </c>
      <c r="D50" s="23" t="s">
        <v>42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7"/>
        <v>3.4774048560000002</v>
      </c>
      <c r="I50" s="10">
        <f t="shared" si="8"/>
        <v>1738.7024280000001</v>
      </c>
    </row>
    <row r="51" spans="1:9" hidden="1">
      <c r="A51" s="18">
        <v>18</v>
      </c>
      <c r="B51" s="23" t="s">
        <v>56</v>
      </c>
      <c r="C51" s="35" t="s">
        <v>87</v>
      </c>
      <c r="D51" s="23" t="s">
        <v>132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7"/>
        <v>39.635185905</v>
      </c>
      <c r="I51" s="10">
        <f>F51/5*G51</f>
        <v>7927.0371809999997</v>
      </c>
    </row>
    <row r="52" spans="1:9" ht="47.25" hidden="1" customHeight="1">
      <c r="A52" s="18">
        <v>11</v>
      </c>
      <c r="B52" s="23" t="s">
        <v>89</v>
      </c>
      <c r="C52" s="35" t="s">
        <v>87</v>
      </c>
      <c r="D52" s="23" t="s">
        <v>42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7"/>
        <v>13.989845679999998</v>
      </c>
      <c r="I52" s="10">
        <f t="shared" si="8"/>
        <v>6994.9228399999993</v>
      </c>
    </row>
    <row r="53" spans="1:9" ht="36.75" hidden="1" customHeight="1">
      <c r="A53" s="18">
        <v>12</v>
      </c>
      <c r="B53" s="23" t="s">
        <v>90</v>
      </c>
      <c r="C53" s="35" t="s">
        <v>38</v>
      </c>
      <c r="D53" s="23" t="s">
        <v>42</v>
      </c>
      <c r="E53" s="74">
        <v>40</v>
      </c>
      <c r="F53" s="22">
        <f>SUM(E53*2/100)</f>
        <v>0.8</v>
      </c>
      <c r="G53" s="27">
        <v>4058.32</v>
      </c>
      <c r="H53" s="75">
        <f t="shared" si="7"/>
        <v>3.2466560000000002</v>
      </c>
      <c r="I53" s="10">
        <f t="shared" si="8"/>
        <v>1623.3280000000002</v>
      </c>
    </row>
    <row r="54" spans="1:9" ht="15" hidden="1" customHeight="1">
      <c r="A54" s="18">
        <v>13</v>
      </c>
      <c r="B54" s="23" t="s">
        <v>39</v>
      </c>
      <c r="C54" s="35" t="s">
        <v>40</v>
      </c>
      <c r="D54" s="23" t="s">
        <v>42</v>
      </c>
      <c r="E54" s="74">
        <v>1</v>
      </c>
      <c r="F54" s="22">
        <v>0.02</v>
      </c>
      <c r="G54" s="27">
        <v>7412.92</v>
      </c>
      <c r="H54" s="75">
        <f t="shared" si="7"/>
        <v>0.14825839999999998</v>
      </c>
      <c r="I54" s="10">
        <f t="shared" si="8"/>
        <v>74.129199999999997</v>
      </c>
    </row>
    <row r="55" spans="1:9" hidden="1">
      <c r="A55" s="18">
        <v>19</v>
      </c>
      <c r="B55" s="23" t="s">
        <v>41</v>
      </c>
      <c r="C55" s="35" t="s">
        <v>94</v>
      </c>
      <c r="D55" s="23" t="s">
        <v>70</v>
      </c>
      <c r="E55" s="74">
        <v>160</v>
      </c>
      <c r="F55" s="22">
        <f>SUM(E55)*3</f>
        <v>480</v>
      </c>
      <c r="G55" s="28">
        <v>86.15</v>
      </c>
      <c r="H55" s="75">
        <f t="shared" si="7"/>
        <v>41.351999999999997</v>
      </c>
      <c r="I55" s="10">
        <f>F55/3*G55</f>
        <v>13784</v>
      </c>
    </row>
    <row r="56" spans="1:9">
      <c r="A56" s="190" t="s">
        <v>125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45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9">F58/6*G58</f>
        <v>3246.8799999999997</v>
      </c>
    </row>
    <row r="59" spans="1:9" ht="30" hidden="1">
      <c r="A59" s="18">
        <v>18</v>
      </c>
      <c r="B59" s="23" t="s">
        <v>145</v>
      </c>
      <c r="C59" s="35" t="s">
        <v>146</v>
      </c>
      <c r="D59" s="23" t="s">
        <v>66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G59*(1.5+1+1.5)</f>
        <v>6328.2</v>
      </c>
    </row>
    <row r="60" spans="1:9" ht="15.75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8" customHeight="1">
      <c r="A62" s="18">
        <v>8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 ht="18" customHeight="1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t="18" customHeight="1">
      <c r="A64" s="18">
        <v>9</v>
      </c>
      <c r="B64" s="50" t="s">
        <v>47</v>
      </c>
      <c r="C64" s="31" t="s">
        <v>94</v>
      </c>
      <c r="D64" s="23" t="s">
        <v>185</v>
      </c>
      <c r="E64" s="12">
        <v>10</v>
      </c>
      <c r="F64" s="22">
        <f>SUM(E64)</f>
        <v>10</v>
      </c>
      <c r="G64" s="118">
        <v>331.57</v>
      </c>
      <c r="H64" s="64">
        <f t="shared" ref="H64:H83" si="10">SUM(F64*G64/1000)</f>
        <v>3.3156999999999996</v>
      </c>
      <c r="I64" s="10">
        <f>G64*1</f>
        <v>331.57</v>
      </c>
    </row>
    <row r="65" spans="1:9" ht="25.5" hidden="1" customHeight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10"/>
        <v>0.50004999999999999</v>
      </c>
      <c r="I65" s="10">
        <v>0</v>
      </c>
    </row>
    <row r="66" spans="1:9" ht="24" hidden="1" customHeight="1">
      <c r="A66" s="18">
        <v>29</v>
      </c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278.24</v>
      </c>
      <c r="H66" s="64">
        <f t="shared" si="10"/>
        <v>66.952891199999996</v>
      </c>
      <c r="I66" s="10">
        <f>F66*G66</f>
        <v>66952.891199999998</v>
      </c>
    </row>
    <row r="67" spans="1:9" ht="24" hidden="1" customHeight="1">
      <c r="A67" s="18">
        <v>31</v>
      </c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216.68</v>
      </c>
      <c r="H67" s="64">
        <f t="shared" si="10"/>
        <v>5.21397084</v>
      </c>
      <c r="I67" s="10">
        <f t="shared" ref="I67:I70" si="11">F67*G67</f>
        <v>5213.97084</v>
      </c>
    </row>
    <row r="68" spans="1:9" ht="25.5" hidden="1" customHeight="1">
      <c r="A68" s="18">
        <v>32</v>
      </c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2720.94</v>
      </c>
      <c r="H68" s="64">
        <f t="shared" si="10"/>
        <v>35.372219999999999</v>
      </c>
      <c r="I68" s="10">
        <f t="shared" si="11"/>
        <v>35372.22</v>
      </c>
    </row>
    <row r="69" spans="1:9" ht="24.75" hidden="1" customHeight="1">
      <c r="A69" s="18">
        <v>33</v>
      </c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10"/>
        <v>0.44314399999999998</v>
      </c>
      <c r="I69" s="10">
        <f t="shared" si="11"/>
        <v>443.14400000000001</v>
      </c>
    </row>
    <row r="70" spans="1:9" ht="22.5" hidden="1" customHeight="1">
      <c r="A70" s="18">
        <v>34</v>
      </c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10"/>
        <v>0.47881600000000002</v>
      </c>
      <c r="I70" s="10">
        <f t="shared" si="11"/>
        <v>478.81600000000003</v>
      </c>
    </row>
    <row r="71" spans="1:9" ht="20.25" hidden="1" customHeight="1">
      <c r="A71" s="18">
        <v>22</v>
      </c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10"/>
        <v>0.3271</v>
      </c>
      <c r="I71" s="10">
        <f>G71*F71</f>
        <v>327.10000000000002</v>
      </c>
    </row>
    <row r="72" spans="1:9" ht="16.5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t="30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2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2"/>
        <v>0.73499999999999999</v>
      </c>
      <c r="I74" s="10">
        <v>0</v>
      </c>
    </row>
    <row r="75" spans="1:9" ht="30" hidden="1">
      <c r="A75" s="18">
        <v>23</v>
      </c>
      <c r="B75" s="30" t="s">
        <v>74</v>
      </c>
      <c r="C75" s="31" t="s">
        <v>75</v>
      </c>
      <c r="D75" s="23" t="s">
        <v>66</v>
      </c>
      <c r="E75" s="12">
        <v>7</v>
      </c>
      <c r="F75" s="27">
        <f>E75/10</f>
        <v>0.7</v>
      </c>
      <c r="G75" s="27">
        <v>657.87</v>
      </c>
      <c r="H75" s="64">
        <f t="shared" si="12"/>
        <v>0.46050899999999995</v>
      </c>
      <c r="I75" s="10">
        <f>G75*0.2</f>
        <v>131.57400000000001</v>
      </c>
    </row>
    <row r="76" spans="1:9" ht="30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2"/>
        <v>1.1187199999999999</v>
      </c>
      <c r="I76" s="10">
        <v>0</v>
      </c>
    </row>
    <row r="77" spans="1:9" ht="30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32.25" customHeight="1">
      <c r="A78" s="18">
        <v>10</v>
      </c>
      <c r="B78" s="66" t="s">
        <v>151</v>
      </c>
      <c r="C78" s="53" t="s">
        <v>94</v>
      </c>
      <c r="D78" s="30" t="s">
        <v>185</v>
      </c>
      <c r="E78" s="85">
        <v>2</v>
      </c>
      <c r="F78" s="83">
        <f>E78*12</f>
        <v>24</v>
      </c>
      <c r="G78" s="174">
        <v>420</v>
      </c>
      <c r="H78" s="64">
        <f t="shared" ref="H78:H79" si="13">SUM(F78*G78/1000)</f>
        <v>10.08</v>
      </c>
      <c r="I78" s="10">
        <f>F78/12*G78</f>
        <v>840</v>
      </c>
    </row>
    <row r="79" spans="1:9" ht="14.25" customHeight="1">
      <c r="A79" s="18">
        <v>11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118">
        <v>1829</v>
      </c>
      <c r="H79" s="64">
        <f t="shared" si="13"/>
        <v>21.948</v>
      </c>
      <c r="I79" s="10">
        <f>F79/12*G79</f>
        <v>1829</v>
      </c>
    </row>
    <row r="80" spans="1:9" ht="16.5" customHeight="1">
      <c r="A80" s="18"/>
      <c r="B80" s="95" t="s">
        <v>152</v>
      </c>
      <c r="C80" s="53"/>
      <c r="D80" s="30"/>
      <c r="E80" s="12"/>
      <c r="F80" s="27"/>
      <c r="G80" s="27"/>
      <c r="H80" s="64"/>
      <c r="I80" s="10"/>
    </row>
    <row r="81" spans="1:9" ht="21" customHeight="1">
      <c r="A81" s="18">
        <v>12</v>
      </c>
      <c r="B81" s="30" t="s">
        <v>153</v>
      </c>
      <c r="C81" s="36" t="s">
        <v>154</v>
      </c>
      <c r="D81" s="30"/>
      <c r="E81" s="12">
        <v>4497.7</v>
      </c>
      <c r="F81" s="27">
        <f>SUM(E81*12)</f>
        <v>53972.399999999994</v>
      </c>
      <c r="G81" s="27">
        <v>2.6</v>
      </c>
      <c r="H81" s="64">
        <f t="shared" ref="H81" si="14">SUM(F81*G81/1000)</f>
        <v>140.32823999999999</v>
      </c>
      <c r="I81" s="10">
        <f>F81/12*G81</f>
        <v>11694.02</v>
      </c>
    </row>
    <row r="82" spans="1:9" hidden="1">
      <c r="A82" s="18"/>
      <c r="B82" s="44" t="s">
        <v>76</v>
      </c>
      <c r="C82" s="31"/>
      <c r="D82" s="30"/>
      <c r="E82" s="12"/>
      <c r="F82" s="27"/>
      <c r="G82" s="27" t="s">
        <v>128</v>
      </c>
      <c r="H82" s="64" t="s">
        <v>128</v>
      </c>
      <c r="I82" s="10"/>
    </row>
    <row r="83" spans="1:9" hidden="1">
      <c r="A83" s="18"/>
      <c r="B83" s="32" t="s">
        <v>99</v>
      </c>
      <c r="C83" s="33" t="s">
        <v>77</v>
      </c>
      <c r="D83" s="50"/>
      <c r="E83" s="87"/>
      <c r="F83" s="28">
        <v>0.6</v>
      </c>
      <c r="G83" s="28">
        <v>3619.09</v>
      </c>
      <c r="H83" s="64">
        <f t="shared" si="10"/>
        <v>2.1714540000000002</v>
      </c>
      <c r="I83" s="10">
        <v>0</v>
      </c>
    </row>
    <row r="84" spans="1:9" ht="28.5" hidden="1">
      <c r="A84" s="18"/>
      <c r="B84" s="151" t="s">
        <v>91</v>
      </c>
      <c r="C84" s="62"/>
      <c r="D84" s="20"/>
      <c r="E84" s="21"/>
      <c r="F84" s="59"/>
      <c r="G84" s="59"/>
      <c r="H84" s="88">
        <f>SUM(H58:H83)</f>
        <v>321.81232544</v>
      </c>
      <c r="I84" s="10"/>
    </row>
    <row r="85" spans="1:9" hidden="1">
      <c r="A85" s="18"/>
      <c r="B85" s="23" t="s">
        <v>97</v>
      </c>
      <c r="C85" s="89"/>
      <c r="D85" s="90"/>
      <c r="E85" s="91"/>
      <c r="F85" s="29">
        <v>1</v>
      </c>
      <c r="G85" s="29">
        <v>18792</v>
      </c>
      <c r="H85" s="64">
        <f>G85*F85/1000</f>
        <v>18.792000000000002</v>
      </c>
      <c r="I85" s="10">
        <v>0</v>
      </c>
    </row>
    <row r="86" spans="1:9">
      <c r="A86" s="190" t="s">
        <v>126</v>
      </c>
      <c r="B86" s="191"/>
      <c r="C86" s="191"/>
      <c r="D86" s="191"/>
      <c r="E86" s="191"/>
      <c r="F86" s="191"/>
      <c r="G86" s="191"/>
      <c r="H86" s="191"/>
      <c r="I86" s="192"/>
    </row>
    <row r="87" spans="1:9" ht="19.5" customHeight="1">
      <c r="A87" s="18">
        <v>13</v>
      </c>
      <c r="B87" s="23" t="s">
        <v>98</v>
      </c>
      <c r="C87" s="31" t="s">
        <v>55</v>
      </c>
      <c r="D87" s="51"/>
      <c r="E87" s="27">
        <v>4497.7</v>
      </c>
      <c r="F87" s="27">
        <f>SUM(E87*12)</f>
        <v>53972.399999999994</v>
      </c>
      <c r="G87" s="27">
        <v>3.5</v>
      </c>
      <c r="H87" s="64">
        <f>SUM(F87*G87/1000)</f>
        <v>188.90339999999998</v>
      </c>
      <c r="I87" s="10">
        <f>F87/12*G87</f>
        <v>15741.949999999999</v>
      </c>
    </row>
    <row r="88" spans="1:9" ht="34.5" customHeight="1">
      <c r="A88" s="18">
        <v>14</v>
      </c>
      <c r="B88" s="30" t="s">
        <v>247</v>
      </c>
      <c r="C88" s="31" t="s">
        <v>248</v>
      </c>
      <c r="D88" s="65"/>
      <c r="E88" s="74">
        <f>E87</f>
        <v>4497.7</v>
      </c>
      <c r="F88" s="27">
        <f>E88*12</f>
        <v>53972.399999999994</v>
      </c>
      <c r="G88" s="27">
        <v>3.2</v>
      </c>
      <c r="H88" s="64">
        <f>F88*G88/1000</f>
        <v>172.71168</v>
      </c>
      <c r="I88" s="10">
        <f>F88/12*G88</f>
        <v>14392.64</v>
      </c>
    </row>
    <row r="89" spans="1:9">
      <c r="A89" s="18"/>
      <c r="B89" s="34" t="s">
        <v>80</v>
      </c>
      <c r="C89" s="62"/>
      <c r="D89" s="61"/>
      <c r="E89" s="59"/>
      <c r="F89" s="59"/>
      <c r="G89" s="59"/>
      <c r="H89" s="63">
        <f>SUM(H76)</f>
        <v>1.1187199999999999</v>
      </c>
      <c r="I89" s="59">
        <f>I88+I87+I81+I79+I78+I64+I62+I32+I30+I29+I26+I18+I17+I16</f>
        <v>73312.726569999999</v>
      </c>
    </row>
    <row r="90" spans="1:9">
      <c r="A90" s="193" t="s">
        <v>60</v>
      </c>
      <c r="B90" s="194"/>
      <c r="C90" s="194"/>
      <c r="D90" s="194"/>
      <c r="E90" s="194"/>
      <c r="F90" s="194"/>
      <c r="G90" s="194"/>
      <c r="H90" s="194"/>
      <c r="I90" s="195"/>
    </row>
    <row r="91" spans="1:9" ht="17.25" customHeight="1">
      <c r="A91" s="18">
        <v>15</v>
      </c>
      <c r="B91" s="66" t="s">
        <v>259</v>
      </c>
      <c r="C91" s="53" t="s">
        <v>94</v>
      </c>
      <c r="D91" s="65"/>
      <c r="E91" s="27"/>
      <c r="F91" s="27">
        <v>1</v>
      </c>
      <c r="G91" s="27">
        <v>1332.01</v>
      </c>
      <c r="H91" s="58"/>
      <c r="I91" s="108">
        <f>G91*1</f>
        <v>1332.01</v>
      </c>
    </row>
    <row r="92" spans="1:9" ht="18" customHeight="1">
      <c r="A92" s="18">
        <v>16</v>
      </c>
      <c r="B92" s="67" t="s">
        <v>157</v>
      </c>
      <c r="C92" s="53" t="s">
        <v>172</v>
      </c>
      <c r="D92" s="65" t="s">
        <v>304</v>
      </c>
      <c r="E92" s="27"/>
      <c r="F92" s="27">
        <v>14</v>
      </c>
      <c r="G92" s="27">
        <v>284</v>
      </c>
      <c r="H92" s="58"/>
      <c r="I92" s="108">
        <v>0</v>
      </c>
    </row>
    <row r="93" spans="1:9" ht="17.25" customHeight="1">
      <c r="A93" s="18">
        <v>17</v>
      </c>
      <c r="B93" s="66" t="s">
        <v>260</v>
      </c>
      <c r="C93" s="53" t="s">
        <v>94</v>
      </c>
      <c r="D93" s="65"/>
      <c r="E93" s="27"/>
      <c r="F93" s="27">
        <v>1</v>
      </c>
      <c r="G93" s="27">
        <v>2822.01</v>
      </c>
      <c r="H93" s="58"/>
      <c r="I93" s="108">
        <f>G93*1</f>
        <v>2822.01</v>
      </c>
    </row>
    <row r="94" spans="1:9" ht="21" customHeight="1">
      <c r="A94" s="18">
        <v>18</v>
      </c>
      <c r="B94" s="66" t="s">
        <v>261</v>
      </c>
      <c r="C94" s="53" t="s">
        <v>94</v>
      </c>
      <c r="D94" s="65"/>
      <c r="E94" s="27"/>
      <c r="F94" s="27">
        <v>1</v>
      </c>
      <c r="G94" s="27">
        <v>220.1</v>
      </c>
      <c r="H94" s="58"/>
      <c r="I94" s="108">
        <f>G94*1</f>
        <v>220.1</v>
      </c>
    </row>
    <row r="95" spans="1:9" ht="31.5" customHeight="1">
      <c r="A95" s="18">
        <v>19</v>
      </c>
      <c r="B95" s="66" t="s">
        <v>262</v>
      </c>
      <c r="C95" s="53" t="s">
        <v>172</v>
      </c>
      <c r="D95" s="65" t="s">
        <v>266</v>
      </c>
      <c r="E95" s="27"/>
      <c r="F95" s="27">
        <v>0.5</v>
      </c>
      <c r="G95" s="27">
        <v>1421.68</v>
      </c>
      <c r="H95" s="58"/>
      <c r="I95" s="108">
        <f>G95*0.5</f>
        <v>710.84</v>
      </c>
    </row>
    <row r="96" spans="1:9" ht="28.5" customHeight="1">
      <c r="A96" s="18">
        <v>20</v>
      </c>
      <c r="B96" s="66" t="s">
        <v>167</v>
      </c>
      <c r="C96" s="53" t="s">
        <v>117</v>
      </c>
      <c r="D96" s="65" t="s">
        <v>243</v>
      </c>
      <c r="E96" s="27"/>
      <c r="F96" s="27">
        <v>1</v>
      </c>
      <c r="G96" s="27">
        <v>670.51</v>
      </c>
      <c r="H96" s="58"/>
      <c r="I96" s="108">
        <f>G96*1</f>
        <v>670.51</v>
      </c>
    </row>
    <row r="97" spans="1:9" ht="18" customHeight="1">
      <c r="A97" s="18">
        <v>21</v>
      </c>
      <c r="B97" s="66" t="s">
        <v>263</v>
      </c>
      <c r="C97" s="53" t="s">
        <v>264</v>
      </c>
      <c r="D97" s="65" t="s">
        <v>265</v>
      </c>
      <c r="E97" s="27"/>
      <c r="F97" s="27">
        <v>0.01</v>
      </c>
      <c r="G97" s="27">
        <v>27139.18</v>
      </c>
      <c r="H97" s="58"/>
      <c r="I97" s="108">
        <v>0</v>
      </c>
    </row>
    <row r="98" spans="1:9" ht="31.5" customHeight="1">
      <c r="A98" s="18">
        <v>22</v>
      </c>
      <c r="B98" s="66" t="s">
        <v>203</v>
      </c>
      <c r="C98" s="53" t="s">
        <v>38</v>
      </c>
      <c r="D98" s="65" t="s">
        <v>179</v>
      </c>
      <c r="E98" s="27"/>
      <c r="F98" s="27">
        <v>0.03</v>
      </c>
      <c r="G98" s="27">
        <v>4070.89</v>
      </c>
      <c r="H98" s="58"/>
      <c r="I98" s="108">
        <v>0</v>
      </c>
    </row>
    <row r="99" spans="1:9" ht="15.75" customHeight="1">
      <c r="A99" s="18"/>
      <c r="B99" s="41" t="s">
        <v>52</v>
      </c>
      <c r="C99" s="120"/>
      <c r="D99" s="47"/>
      <c r="E99" s="37"/>
      <c r="F99" s="37"/>
      <c r="G99" s="37"/>
      <c r="H99" s="37"/>
      <c r="I99" s="21">
        <f>SUM(I91:I98)</f>
        <v>5755.4700000000012</v>
      </c>
    </row>
    <row r="100" spans="1:9">
      <c r="A100" s="18"/>
      <c r="B100" s="45" t="s">
        <v>79</v>
      </c>
      <c r="C100" s="11"/>
      <c r="D100" s="11"/>
      <c r="E100" s="38"/>
      <c r="F100" s="38"/>
      <c r="G100" s="39"/>
      <c r="H100" s="39"/>
      <c r="I100" s="12">
        <v>0</v>
      </c>
    </row>
    <row r="101" spans="1:9">
      <c r="A101" s="48"/>
      <c r="B101" s="42" t="s">
        <v>155</v>
      </c>
      <c r="C101" s="26"/>
      <c r="D101" s="26"/>
      <c r="E101" s="26"/>
      <c r="F101" s="26"/>
      <c r="G101" s="26"/>
      <c r="H101" s="26"/>
      <c r="I101" s="40">
        <f>I99+I89</f>
        <v>79068.19657</v>
      </c>
    </row>
    <row r="102" spans="1:9" ht="15.75">
      <c r="A102" s="196" t="s">
        <v>305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>
      <c r="A103" s="54"/>
      <c r="B103" s="197" t="s">
        <v>306</v>
      </c>
      <c r="C103" s="197"/>
      <c r="D103" s="197"/>
      <c r="E103" s="197"/>
      <c r="F103" s="197"/>
      <c r="G103" s="197"/>
      <c r="H103" s="57"/>
      <c r="I103" s="2"/>
    </row>
    <row r="104" spans="1:9">
      <c r="A104" s="156"/>
      <c r="B104" s="184" t="s">
        <v>6</v>
      </c>
      <c r="C104" s="184"/>
      <c r="D104" s="184"/>
      <c r="E104" s="184"/>
      <c r="F104" s="184"/>
      <c r="G104" s="184"/>
      <c r="H104" s="13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98" t="s">
        <v>7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98" t="s">
        <v>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61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>
      <c r="A109" s="8"/>
    </row>
    <row r="110" spans="1:9" ht="15.75">
      <c r="A110" s="182" t="s">
        <v>9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>
      <c r="A111" s="3"/>
    </row>
    <row r="112" spans="1:9" ht="15.75">
      <c r="B112" s="153" t="s">
        <v>10</v>
      </c>
      <c r="C112" s="183" t="s">
        <v>267</v>
      </c>
      <c r="D112" s="183"/>
      <c r="E112" s="183"/>
      <c r="F112" s="55"/>
      <c r="I112" s="155"/>
    </row>
    <row r="113" spans="1:9">
      <c r="A113" s="156"/>
      <c r="C113" s="184" t="s">
        <v>11</v>
      </c>
      <c r="D113" s="184"/>
      <c r="E113" s="184"/>
      <c r="F113" s="13"/>
      <c r="I113" s="154" t="s">
        <v>12</v>
      </c>
    </row>
    <row r="114" spans="1:9" ht="15.75">
      <c r="A114" s="14"/>
      <c r="C114" s="9"/>
      <c r="D114" s="9"/>
      <c r="G114" s="9"/>
      <c r="H114" s="9"/>
    </row>
    <row r="115" spans="1:9" ht="15.75">
      <c r="B115" s="153" t="s">
        <v>13</v>
      </c>
      <c r="C115" s="185"/>
      <c r="D115" s="185"/>
      <c r="E115" s="185"/>
      <c r="F115" s="56"/>
      <c r="I115" s="155"/>
    </row>
    <row r="116" spans="1:9">
      <c r="A116" s="156"/>
      <c r="C116" s="186" t="s">
        <v>11</v>
      </c>
      <c r="D116" s="186"/>
      <c r="E116" s="186"/>
      <c r="F116" s="156"/>
      <c r="I116" s="154" t="s">
        <v>12</v>
      </c>
    </row>
    <row r="117" spans="1:9" ht="15.75">
      <c r="A117" s="3" t="s">
        <v>14</v>
      </c>
    </row>
    <row r="118" spans="1:9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8" customHeight="1">
      <c r="A119" s="181" t="s">
        <v>16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6" customHeight="1">
      <c r="A120" s="181" t="s">
        <v>17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0.75" customHeight="1">
      <c r="A121" s="181" t="s">
        <v>21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.75">
      <c r="A122" s="181" t="s">
        <v>20</v>
      </c>
      <c r="B122" s="181"/>
      <c r="C122" s="181"/>
      <c r="D122" s="181"/>
      <c r="E122" s="181"/>
      <c r="F122" s="181"/>
      <c r="G122" s="181"/>
      <c r="H122" s="181"/>
      <c r="I122" s="181"/>
    </row>
  </sheetData>
  <mergeCells count="28">
    <mergeCell ref="A118:I118"/>
    <mergeCell ref="A119:I119"/>
    <mergeCell ref="A120:I120"/>
    <mergeCell ref="A121:I121"/>
    <mergeCell ref="A122:I122"/>
    <mergeCell ref="C116:E116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90:I90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6:I86"/>
  </mergeCells>
  <pageMargins left="0.7" right="0.7" top="0.75" bottom="0.75" header="0.3" footer="0.3"/>
  <pageSetup paperSize="9" scale="66" orientation="portrait" horizontalDpi="0" verticalDpi="0" r:id="rId1"/>
  <rowBreaks count="1" manualBreakCount="1">
    <brk id="9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I121"/>
  <sheetViews>
    <sheetView workbookViewId="0">
      <selection activeCell="L101" sqref="L10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6.71093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84</v>
      </c>
      <c r="B3" s="200"/>
      <c r="C3" s="200"/>
      <c r="D3" s="200"/>
      <c r="E3" s="200"/>
      <c r="F3" s="200"/>
      <c r="G3" s="200"/>
      <c r="H3" s="200"/>
      <c r="I3" s="200"/>
    </row>
    <row r="4" spans="1:9" ht="31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268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69"/>
      <c r="C6" s="69"/>
      <c r="D6" s="69"/>
      <c r="E6" s="69"/>
      <c r="F6" s="69"/>
      <c r="G6" s="69"/>
      <c r="H6" s="69"/>
      <c r="I6" s="19">
        <v>44165</v>
      </c>
    </row>
    <row r="7" spans="1:9" ht="15.75">
      <c r="B7" s="70"/>
      <c r="C7" s="70"/>
      <c r="D7" s="70"/>
      <c r="E7" s="2"/>
      <c r="F7" s="2"/>
      <c r="G7" s="2"/>
      <c r="H7" s="2"/>
    </row>
    <row r="8" spans="1:9" ht="78.75" customHeight="1">
      <c r="A8" s="203" t="s">
        <v>258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47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261.45</v>
      </c>
      <c r="H16" s="75">
        <f t="shared" ref="H16:H25" si="0">SUM(F16*G16/1000)</f>
        <v>49.408402680000002</v>
      </c>
      <c r="I16" s="10">
        <f>F16/12*G16</f>
        <v>4117.3668899999993</v>
      </c>
    </row>
    <row r="17" spans="1:9" ht="15.7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261.45</v>
      </c>
      <c r="H17" s="75">
        <f t="shared" si="0"/>
        <v>131.75574047999999</v>
      </c>
      <c r="I17" s="10">
        <f>F17/12*G17</f>
        <v>10979.645039999999</v>
      </c>
    </row>
    <row r="18" spans="1:9" ht="15.75" customHeight="1">
      <c r="A18" s="18">
        <v>3</v>
      </c>
      <c r="B18" s="23" t="s">
        <v>103</v>
      </c>
      <c r="C18" s="35" t="s">
        <v>85</v>
      </c>
      <c r="D18" s="23" t="s">
        <v>185</v>
      </c>
      <c r="E18" s="74">
        <f>SUM(E16+E17)</f>
        <v>605.70000000000005</v>
      </c>
      <c r="F18" s="22">
        <f>SUM(E18*18/100)</f>
        <v>109.02600000000001</v>
      </c>
      <c r="G18" s="22">
        <v>752.16</v>
      </c>
      <c r="H18" s="75">
        <f t="shared" si="0"/>
        <v>82.004996160000005</v>
      </c>
      <c r="I18" s="10">
        <f>F18/18*G18</f>
        <v>4555.8331200000002</v>
      </c>
    </row>
    <row r="19" spans="1:9" ht="15.75" hidden="1" customHeight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253.7</v>
      </c>
      <c r="H19" s="75">
        <f t="shared" si="0"/>
        <v>0.97420799999999996</v>
      </c>
      <c r="I19" s="10">
        <f>F19/2*G19</f>
        <v>487.10399999999998</v>
      </c>
    </row>
    <row r="20" spans="1:9" ht="15.75" hidden="1" customHeight="1">
      <c r="A20" s="18"/>
      <c r="B20" s="23" t="s">
        <v>107</v>
      </c>
      <c r="C20" s="35" t="s">
        <v>85</v>
      </c>
      <c r="D20" s="23" t="s">
        <v>185</v>
      </c>
      <c r="E20" s="74">
        <v>58.4</v>
      </c>
      <c r="F20" s="22">
        <f>SUM(E20*2/100)</f>
        <v>1.1679999999999999</v>
      </c>
      <c r="G20" s="22">
        <v>324.83999999999997</v>
      </c>
      <c r="H20" s="75">
        <f t="shared" si="0"/>
        <v>0.37941311999999994</v>
      </c>
      <c r="I20" s="10">
        <f>F20/2*G20</f>
        <v>189.70655999999997</v>
      </c>
    </row>
    <row r="21" spans="1:9" ht="15.75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322.20999999999998</v>
      </c>
      <c r="H21" s="75">
        <f t="shared" si="0"/>
        <v>0.175540008</v>
      </c>
      <c r="I21" s="10">
        <f>F21/6*G21</f>
        <v>29.256668000000001</v>
      </c>
    </row>
    <row r="22" spans="1:9" ht="15.75" hidden="1" customHeight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401.44</v>
      </c>
      <c r="H22" s="75">
        <f t="shared" si="0"/>
        <v>2.8662815999999998</v>
      </c>
      <c r="I22" s="10">
        <f t="shared" ref="I22:I24" si="1">F22/12*G22</f>
        <v>238.85679999999999</v>
      </c>
    </row>
    <row r="23" spans="1:9" ht="15.75" hidden="1" customHeight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66.03</v>
      </c>
      <c r="H23" s="75">
        <f t="shared" si="0"/>
        <v>6.3784979999999991E-2</v>
      </c>
      <c r="I23" s="10">
        <f t="shared" si="1"/>
        <v>5.3154150000000007</v>
      </c>
    </row>
    <row r="24" spans="1:9" ht="15.75" hidden="1" customHeight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E24*1/100</f>
        <v>0.32</v>
      </c>
      <c r="G24" s="22">
        <v>581.02</v>
      </c>
      <c r="H24" s="75">
        <f t="shared" si="0"/>
        <v>0.18592639999999999</v>
      </c>
      <c r="I24" s="10">
        <f t="shared" si="1"/>
        <v>15.493866666666667</v>
      </c>
    </row>
    <row r="25" spans="1:9" ht="15.75" hidden="1" customHeight="1">
      <c r="A25" s="18">
        <v>5</v>
      </c>
      <c r="B25" s="23" t="s">
        <v>113</v>
      </c>
      <c r="C25" s="35" t="s">
        <v>53</v>
      </c>
      <c r="D25" s="23" t="s">
        <v>54</v>
      </c>
      <c r="E25" s="74">
        <v>17</v>
      </c>
      <c r="F25" s="22">
        <f>SUM(E25*1/100)</f>
        <v>0.17</v>
      </c>
      <c r="G25" s="22">
        <v>776.46</v>
      </c>
      <c r="H25" s="75">
        <f t="shared" si="0"/>
        <v>0.13199820000000004</v>
      </c>
      <c r="I25" s="10">
        <f>F25/12*G25</f>
        <v>10.999850000000002</v>
      </c>
    </row>
    <row r="26" spans="1:9" ht="15.75" customHeight="1">
      <c r="A26" s="18">
        <v>5</v>
      </c>
      <c r="B26" s="23" t="s">
        <v>176</v>
      </c>
      <c r="C26" s="35" t="s">
        <v>25</v>
      </c>
      <c r="D26" s="23" t="s">
        <v>181</v>
      </c>
      <c r="E26" s="77">
        <v>6.8</v>
      </c>
      <c r="F26" s="22">
        <v>1754.4</v>
      </c>
      <c r="G26" s="22">
        <v>10.81</v>
      </c>
      <c r="H26" s="75">
        <f>SUM(F26*G26/1000)</f>
        <v>18.965064000000002</v>
      </c>
      <c r="I26" s="10">
        <f>F26/12*G26</f>
        <v>1580.4220000000003</v>
      </c>
    </row>
    <row r="27" spans="1:9" ht="15.75" hidden="1" customHeight="1">
      <c r="A27" s="18">
        <v>7</v>
      </c>
      <c r="B27" s="79" t="s">
        <v>23</v>
      </c>
      <c r="C27" s="35" t="s">
        <v>24</v>
      </c>
      <c r="D27" s="79" t="s">
        <v>128</v>
      </c>
      <c r="E27" s="74">
        <v>4394.8999999999996</v>
      </c>
      <c r="F27" s="22">
        <f>SUM(E27*12)</f>
        <v>52738.799999999996</v>
      </c>
      <c r="G27" s="22">
        <v>3.34</v>
      </c>
      <c r="H27" s="75">
        <f>SUM(F27*G27/1000)</f>
        <v>176.14759199999997</v>
      </c>
      <c r="I27" s="10">
        <f>F27/12*G27</f>
        <v>14678.965999999999</v>
      </c>
    </row>
    <row r="28" spans="1:9" ht="15.75" customHeight="1">
      <c r="A28" s="190" t="s">
        <v>83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18"/>
      <c r="B29" s="92" t="s">
        <v>28</v>
      </c>
      <c r="C29" s="35"/>
      <c r="D29" s="23"/>
      <c r="E29" s="74"/>
      <c r="F29" s="22"/>
      <c r="G29" s="22"/>
      <c r="H29" s="75"/>
      <c r="I29" s="10"/>
    </row>
    <row r="30" spans="1:9" ht="15.75" hidden="1" customHeight="1">
      <c r="A30" s="18"/>
      <c r="B30" s="23" t="s">
        <v>93</v>
      </c>
      <c r="C30" s="35" t="s">
        <v>87</v>
      </c>
      <c r="D30" s="23" t="s">
        <v>135</v>
      </c>
      <c r="E30" s="22">
        <v>637</v>
      </c>
      <c r="F30" s="22">
        <f>SUM(E30*48/1000)</f>
        <v>30.576000000000001</v>
      </c>
      <c r="G30" s="22">
        <v>204.44</v>
      </c>
      <c r="H30" s="75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18"/>
      <c r="B31" s="23" t="s">
        <v>131</v>
      </c>
      <c r="C31" s="35" t="s">
        <v>87</v>
      </c>
      <c r="D31" s="23" t="s">
        <v>136</v>
      </c>
      <c r="E31" s="22">
        <v>188</v>
      </c>
      <c r="F31" s="22">
        <f>SUM(E31*48/1000)</f>
        <v>9.0239999999999991</v>
      </c>
      <c r="G31" s="22">
        <v>339.21</v>
      </c>
      <c r="H31" s="75">
        <f t="shared" si="2"/>
        <v>3.0610310399999996</v>
      </c>
      <c r="I31" s="10">
        <f t="shared" si="3"/>
        <v>510.17183999999992</v>
      </c>
    </row>
    <row r="32" spans="1:9" ht="15.75" hidden="1" customHeight="1">
      <c r="A32" s="18"/>
      <c r="B32" s="23" t="s">
        <v>27</v>
      </c>
      <c r="C32" s="35" t="s">
        <v>87</v>
      </c>
      <c r="D32" s="23" t="s">
        <v>54</v>
      </c>
      <c r="E32" s="22">
        <v>637</v>
      </c>
      <c r="F32" s="22">
        <f>SUM(E32/1000)</f>
        <v>0.63700000000000001</v>
      </c>
      <c r="G32" s="22">
        <v>3961.23</v>
      </c>
      <c r="H32" s="75">
        <f t="shared" si="2"/>
        <v>2.5233035100000003</v>
      </c>
      <c r="I32" s="10">
        <f>F32*G32</f>
        <v>2523.3035100000002</v>
      </c>
    </row>
    <row r="33" spans="1:9" ht="15.75" hidden="1" customHeight="1">
      <c r="A33" s="18"/>
      <c r="B33" s="23" t="s">
        <v>137</v>
      </c>
      <c r="C33" s="35" t="s">
        <v>40</v>
      </c>
      <c r="D33" s="23" t="s">
        <v>138</v>
      </c>
      <c r="E33" s="22">
        <v>8</v>
      </c>
      <c r="F33" s="22">
        <f>SUM(E33*48/100)</f>
        <v>3.84</v>
      </c>
      <c r="G33" s="22">
        <v>1707.63</v>
      </c>
      <c r="H33" s="75">
        <f t="shared" si="2"/>
        <v>6.5572992000000001</v>
      </c>
      <c r="I33" s="10">
        <f t="shared" si="3"/>
        <v>1092.8832</v>
      </c>
    </row>
    <row r="34" spans="1:9" ht="15.75" hidden="1" customHeight="1">
      <c r="A34" s="18"/>
      <c r="B34" s="23" t="s">
        <v>92</v>
      </c>
      <c r="C34" s="35" t="s">
        <v>30</v>
      </c>
      <c r="D34" s="23" t="s">
        <v>63</v>
      </c>
      <c r="E34" s="77">
        <f>1/3</f>
        <v>0.33333333333333331</v>
      </c>
      <c r="F34" s="22">
        <f>155/3</f>
        <v>51.666666666666664</v>
      </c>
      <c r="G34" s="22">
        <v>74.349999999999994</v>
      </c>
      <c r="H34" s="75">
        <f t="shared" si="2"/>
        <v>3.841416666666666</v>
      </c>
      <c r="I34" s="10">
        <f t="shared" si="3"/>
        <v>640.23611111111109</v>
      </c>
    </row>
    <row r="35" spans="1:9" ht="15.75" hidden="1" customHeight="1">
      <c r="A35" s="18"/>
      <c r="B35" s="23" t="s">
        <v>64</v>
      </c>
      <c r="C35" s="35" t="s">
        <v>32</v>
      </c>
      <c r="D35" s="23" t="s">
        <v>66</v>
      </c>
      <c r="E35" s="74"/>
      <c r="F35" s="22">
        <v>2</v>
      </c>
      <c r="G35" s="22">
        <v>250.92</v>
      </c>
      <c r="H35" s="75">
        <f t="shared" si="2"/>
        <v>0.50183999999999995</v>
      </c>
      <c r="I35" s="10">
        <v>0</v>
      </c>
    </row>
    <row r="36" spans="1:9" ht="15.75" hidden="1" customHeight="1">
      <c r="A36" s="18"/>
      <c r="B36" s="23" t="s">
        <v>65</v>
      </c>
      <c r="C36" s="35" t="s">
        <v>31</v>
      </c>
      <c r="D36" s="23" t="s">
        <v>66</v>
      </c>
      <c r="E36" s="74"/>
      <c r="F36" s="22">
        <v>3</v>
      </c>
      <c r="G36" s="22">
        <v>1490.31</v>
      </c>
      <c r="H36" s="75">
        <f t="shared" si="2"/>
        <v>4.4709300000000001</v>
      </c>
      <c r="I36" s="10">
        <v>0</v>
      </c>
    </row>
    <row r="37" spans="1:9" ht="15.75" customHeight="1">
      <c r="A37" s="18"/>
      <c r="B37" s="92" t="s">
        <v>5</v>
      </c>
      <c r="C37" s="35"/>
      <c r="D37" s="23"/>
      <c r="E37" s="74"/>
      <c r="F37" s="22"/>
      <c r="G37" s="22"/>
      <c r="H37" s="75" t="s">
        <v>128</v>
      </c>
      <c r="I37" s="10"/>
    </row>
    <row r="38" spans="1:9" ht="15.75" hidden="1" customHeight="1">
      <c r="A38" s="18">
        <v>7</v>
      </c>
      <c r="B38" s="24" t="s">
        <v>26</v>
      </c>
      <c r="C38" s="35" t="s">
        <v>31</v>
      </c>
      <c r="D38" s="23"/>
      <c r="E38" s="74"/>
      <c r="F38" s="22">
        <v>8</v>
      </c>
      <c r="G38" s="22">
        <v>1930</v>
      </c>
      <c r="H38" s="75">
        <f t="shared" ref="H38:H45" si="4">SUM(F38*G38/1000)</f>
        <v>15.44</v>
      </c>
      <c r="I38" s="10">
        <f>G38*1.4</f>
        <v>2702</v>
      </c>
    </row>
    <row r="39" spans="1:9" ht="15.75" customHeight="1">
      <c r="A39" s="18">
        <v>6</v>
      </c>
      <c r="B39" s="24" t="s">
        <v>67</v>
      </c>
      <c r="C39" s="49" t="s">
        <v>29</v>
      </c>
      <c r="D39" s="24" t="s">
        <v>182</v>
      </c>
      <c r="E39" s="25">
        <v>188</v>
      </c>
      <c r="F39" s="25">
        <f>SUM(E39*24/1000)</f>
        <v>4.5119999999999996</v>
      </c>
      <c r="G39" s="25">
        <v>3134.93</v>
      </c>
      <c r="H39" s="75">
        <f t="shared" si="4"/>
        <v>14.144804159999998</v>
      </c>
      <c r="I39" s="10">
        <f t="shared" ref="I39:I45" si="5">F39/6*G39</f>
        <v>2357.4673599999996</v>
      </c>
    </row>
    <row r="40" spans="1:9" ht="15.75" customHeight="1">
      <c r="A40" s="18">
        <v>7</v>
      </c>
      <c r="B40" s="23" t="s">
        <v>68</v>
      </c>
      <c r="C40" s="35" t="s">
        <v>29</v>
      </c>
      <c r="D40" s="23" t="s">
        <v>183</v>
      </c>
      <c r="E40" s="22">
        <v>188</v>
      </c>
      <c r="F40" s="25">
        <f>SUM(E40*155/1000)</f>
        <v>29.14</v>
      </c>
      <c r="G40" s="22">
        <v>522.92999999999995</v>
      </c>
      <c r="H40" s="75">
        <f t="shared" si="4"/>
        <v>15.238180199999999</v>
      </c>
      <c r="I40" s="10">
        <f t="shared" si="5"/>
        <v>2539.6966999999995</v>
      </c>
    </row>
    <row r="41" spans="1:9" ht="15.75" hidden="1" customHeight="1">
      <c r="A41" s="18"/>
      <c r="B41" s="23" t="s">
        <v>140</v>
      </c>
      <c r="C41" s="35" t="s">
        <v>141</v>
      </c>
      <c r="D41" s="23"/>
      <c r="E41" s="74"/>
      <c r="F41" s="25">
        <v>39</v>
      </c>
      <c r="G41" s="22">
        <v>343</v>
      </c>
      <c r="H41" s="75">
        <f t="shared" si="4"/>
        <v>13.377000000000001</v>
      </c>
      <c r="I41" s="10">
        <v>0</v>
      </c>
    </row>
    <row r="42" spans="1:9" ht="47.25" customHeight="1">
      <c r="A42" s="18">
        <v>8</v>
      </c>
      <c r="B42" s="23" t="s">
        <v>82</v>
      </c>
      <c r="C42" s="35" t="s">
        <v>87</v>
      </c>
      <c r="D42" s="23" t="s">
        <v>182</v>
      </c>
      <c r="E42" s="22">
        <v>110.4</v>
      </c>
      <c r="F42" s="25">
        <f>SUM(E42*24/1000)</f>
        <v>2.6496000000000004</v>
      </c>
      <c r="G42" s="22">
        <v>8652.07</v>
      </c>
      <c r="H42" s="75">
        <f t="shared" si="4"/>
        <v>22.924524672000004</v>
      </c>
      <c r="I42" s="10">
        <f t="shared" si="5"/>
        <v>3820.7541120000001</v>
      </c>
    </row>
    <row r="43" spans="1:9" ht="15.75" customHeight="1">
      <c r="A43" s="18">
        <v>9</v>
      </c>
      <c r="B43" s="23" t="s">
        <v>88</v>
      </c>
      <c r="C43" s="35" t="s">
        <v>87</v>
      </c>
      <c r="D43" s="23" t="s">
        <v>185</v>
      </c>
      <c r="E43" s="22">
        <v>188</v>
      </c>
      <c r="F43" s="25">
        <f>SUM(E43*24/1000)</f>
        <v>4.5119999999999996</v>
      </c>
      <c r="G43" s="22">
        <v>639.14</v>
      </c>
      <c r="H43" s="75">
        <f t="shared" si="4"/>
        <v>2.8837996799999996</v>
      </c>
      <c r="I43" s="10">
        <f>G43*F43/24*1</f>
        <v>120.15831999999999</v>
      </c>
    </row>
    <row r="44" spans="1:9" ht="15.75" customHeight="1">
      <c r="A44" s="18">
        <v>10</v>
      </c>
      <c r="B44" s="24" t="s">
        <v>69</v>
      </c>
      <c r="C44" s="49" t="s">
        <v>32</v>
      </c>
      <c r="D44" s="24"/>
      <c r="E44" s="78"/>
      <c r="F44" s="25">
        <v>0.9</v>
      </c>
      <c r="G44" s="25">
        <v>900</v>
      </c>
      <c r="H44" s="75">
        <f t="shared" si="4"/>
        <v>0.81</v>
      </c>
      <c r="I44" s="10">
        <f>G44*F44/24*1</f>
        <v>33.75</v>
      </c>
    </row>
    <row r="45" spans="1:9" ht="31.5" customHeight="1">
      <c r="A45" s="18">
        <v>11</v>
      </c>
      <c r="B45" s="66" t="s">
        <v>143</v>
      </c>
      <c r="C45" s="53" t="s">
        <v>29</v>
      </c>
      <c r="D45" s="24" t="s">
        <v>184</v>
      </c>
      <c r="E45" s="78">
        <v>2.4</v>
      </c>
      <c r="F45" s="25">
        <f>SUM(E45*12/1000)</f>
        <v>2.8799999999999996E-2</v>
      </c>
      <c r="G45" s="25">
        <v>20547.34</v>
      </c>
      <c r="H45" s="75">
        <f t="shared" si="4"/>
        <v>0.59176339199999994</v>
      </c>
      <c r="I45" s="10">
        <f t="shared" si="5"/>
        <v>98.627231999999992</v>
      </c>
    </row>
    <row r="46" spans="1:9" ht="15.75" hidden="1" customHeight="1">
      <c r="A46" s="190" t="s">
        <v>121</v>
      </c>
      <c r="B46" s="191"/>
      <c r="C46" s="191"/>
      <c r="D46" s="191"/>
      <c r="E46" s="191"/>
      <c r="F46" s="191"/>
      <c r="G46" s="191"/>
      <c r="H46" s="191"/>
      <c r="I46" s="192"/>
    </row>
    <row r="47" spans="1:9" ht="15.75" hidden="1" customHeight="1">
      <c r="A47" s="18"/>
      <c r="B47" s="23" t="s">
        <v>129</v>
      </c>
      <c r="C47" s="35" t="s">
        <v>87</v>
      </c>
      <c r="D47" s="23" t="s">
        <v>42</v>
      </c>
      <c r="E47" s="74">
        <v>1609.3</v>
      </c>
      <c r="F47" s="22">
        <f>SUM(E47*2/1000)</f>
        <v>3.2185999999999999</v>
      </c>
      <c r="G47" s="27">
        <v>1193.71</v>
      </c>
      <c r="H47" s="75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18"/>
      <c r="B48" s="23" t="s">
        <v>35</v>
      </c>
      <c r="C48" s="35" t="s">
        <v>87</v>
      </c>
      <c r="D48" s="23" t="s">
        <v>42</v>
      </c>
      <c r="E48" s="74">
        <v>104</v>
      </c>
      <c r="F48" s="22">
        <f>SUM(E48*2/1000)</f>
        <v>0.20799999999999999</v>
      </c>
      <c r="G48" s="27">
        <v>4419.05</v>
      </c>
      <c r="H48" s="75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18"/>
      <c r="B49" s="23" t="s">
        <v>36</v>
      </c>
      <c r="C49" s="35" t="s">
        <v>87</v>
      </c>
      <c r="D49" s="23" t="s">
        <v>42</v>
      </c>
      <c r="E49" s="74">
        <v>1996.87</v>
      </c>
      <c r="F49" s="22">
        <f>SUM(E49*2/1000)</f>
        <v>3.9937399999999998</v>
      </c>
      <c r="G49" s="27">
        <v>1803.69</v>
      </c>
      <c r="H49" s="75">
        <f t="shared" si="6"/>
        <v>7.2034689005999999</v>
      </c>
      <c r="I49" s="10">
        <f t="shared" si="7"/>
        <v>3601.7344502999999</v>
      </c>
    </row>
    <row r="50" spans="1:9" ht="15.75" hidden="1" customHeight="1">
      <c r="A50" s="18"/>
      <c r="B50" s="23" t="s">
        <v>37</v>
      </c>
      <c r="C50" s="35" t="s">
        <v>87</v>
      </c>
      <c r="D50" s="23" t="s">
        <v>42</v>
      </c>
      <c r="E50" s="74">
        <v>2654.21</v>
      </c>
      <c r="F50" s="22">
        <f>SUM(E50*2/1000)</f>
        <v>5.3084199999999999</v>
      </c>
      <c r="G50" s="27">
        <v>1243.43</v>
      </c>
      <c r="H50" s="75">
        <f t="shared" si="6"/>
        <v>6.6006486806</v>
      </c>
      <c r="I50" s="10">
        <f t="shared" si="7"/>
        <v>3300.3243403000001</v>
      </c>
    </row>
    <row r="51" spans="1:9" ht="15.75" hidden="1" customHeight="1">
      <c r="A51" s="18"/>
      <c r="B51" s="23" t="s">
        <v>33</v>
      </c>
      <c r="C51" s="35" t="s">
        <v>34</v>
      </c>
      <c r="D51" s="23" t="s">
        <v>42</v>
      </c>
      <c r="E51" s="74">
        <v>128.53</v>
      </c>
      <c r="F51" s="22">
        <f>SUM(E51*2/100)</f>
        <v>2.5706000000000002</v>
      </c>
      <c r="G51" s="27">
        <v>1352.76</v>
      </c>
      <c r="H51" s="75">
        <f t="shared" si="6"/>
        <v>3.4774048560000002</v>
      </c>
      <c r="I51" s="10">
        <f t="shared" si="7"/>
        <v>1738.7024280000001</v>
      </c>
    </row>
    <row r="52" spans="1:9" ht="15.75" hidden="1" customHeight="1">
      <c r="A52" s="18"/>
      <c r="B52" s="23" t="s">
        <v>56</v>
      </c>
      <c r="C52" s="35" t="s">
        <v>87</v>
      </c>
      <c r="D52" s="23" t="s">
        <v>132</v>
      </c>
      <c r="E52" s="74">
        <v>4394.8999999999996</v>
      </c>
      <c r="F52" s="22">
        <f>SUM(E52*5/1000)</f>
        <v>21.974499999999999</v>
      </c>
      <c r="G52" s="27">
        <v>1803.69</v>
      </c>
      <c r="H52" s="75">
        <f t="shared" si="6"/>
        <v>39.635185905</v>
      </c>
      <c r="I52" s="10">
        <f>F52/5*G52</f>
        <v>7927.0371809999997</v>
      </c>
    </row>
    <row r="53" spans="1:9" ht="31.5" hidden="1" customHeight="1">
      <c r="A53" s="18"/>
      <c r="B53" s="23" t="s">
        <v>89</v>
      </c>
      <c r="C53" s="35" t="s">
        <v>87</v>
      </c>
      <c r="D53" s="23" t="s">
        <v>42</v>
      </c>
      <c r="E53" s="74">
        <v>4394.8999999999996</v>
      </c>
      <c r="F53" s="22">
        <f>SUM(E53*2/1000)</f>
        <v>8.7897999999999996</v>
      </c>
      <c r="G53" s="27">
        <v>1591.6</v>
      </c>
      <c r="H53" s="75">
        <f t="shared" si="6"/>
        <v>13.989845679999998</v>
      </c>
      <c r="I53" s="10">
        <f t="shared" si="7"/>
        <v>6994.9228399999993</v>
      </c>
    </row>
    <row r="54" spans="1:9" ht="31.5" hidden="1" customHeight="1">
      <c r="A54" s="18"/>
      <c r="B54" s="23" t="s">
        <v>90</v>
      </c>
      <c r="C54" s="35" t="s">
        <v>38</v>
      </c>
      <c r="D54" s="23" t="s">
        <v>42</v>
      </c>
      <c r="E54" s="74">
        <v>40</v>
      </c>
      <c r="F54" s="22">
        <f>SUM(E54*2/100)</f>
        <v>0.8</v>
      </c>
      <c r="G54" s="27">
        <v>4058.32</v>
      </c>
      <c r="H54" s="75">
        <f t="shared" si="6"/>
        <v>3.2466560000000002</v>
      </c>
      <c r="I54" s="10">
        <f t="shared" si="7"/>
        <v>1623.3280000000002</v>
      </c>
    </row>
    <row r="55" spans="1:9" ht="15.75" hidden="1" customHeight="1">
      <c r="A55" s="18"/>
      <c r="B55" s="23" t="s">
        <v>39</v>
      </c>
      <c r="C55" s="35" t="s">
        <v>40</v>
      </c>
      <c r="D55" s="23" t="s">
        <v>42</v>
      </c>
      <c r="E55" s="74">
        <v>1</v>
      </c>
      <c r="F55" s="22">
        <v>0.02</v>
      </c>
      <c r="G55" s="27">
        <v>7412.92</v>
      </c>
      <c r="H55" s="75">
        <f t="shared" si="6"/>
        <v>0.14825839999999998</v>
      </c>
      <c r="I55" s="10">
        <f t="shared" si="7"/>
        <v>74.129199999999997</v>
      </c>
    </row>
    <row r="56" spans="1:9" ht="15.75" hidden="1" customHeight="1">
      <c r="A56" s="18"/>
      <c r="B56" s="23" t="s">
        <v>41</v>
      </c>
      <c r="C56" s="35" t="s">
        <v>94</v>
      </c>
      <c r="D56" s="23" t="s">
        <v>70</v>
      </c>
      <c r="E56" s="74">
        <v>160</v>
      </c>
      <c r="F56" s="22">
        <f>SUM(E56)*3</f>
        <v>480</v>
      </c>
      <c r="G56" s="28">
        <v>86.15</v>
      </c>
      <c r="H56" s="75">
        <f t="shared" si="6"/>
        <v>41.351999999999997</v>
      </c>
      <c r="I56" s="10">
        <f>F56/3*G56</f>
        <v>13784</v>
      </c>
    </row>
    <row r="57" spans="1:9" ht="15.75" customHeight="1">
      <c r="A57" s="190" t="s">
        <v>125</v>
      </c>
      <c r="B57" s="191"/>
      <c r="C57" s="191"/>
      <c r="D57" s="191"/>
      <c r="E57" s="191"/>
      <c r="F57" s="191"/>
      <c r="G57" s="191"/>
      <c r="H57" s="191"/>
      <c r="I57" s="192"/>
    </row>
    <row r="58" spans="1:9" ht="15.75" customHeight="1">
      <c r="A58" s="18"/>
      <c r="B58" s="92" t="s">
        <v>43</v>
      </c>
      <c r="C58" s="35"/>
      <c r="D58" s="23"/>
      <c r="E58" s="74"/>
      <c r="F58" s="22"/>
      <c r="G58" s="22"/>
      <c r="H58" s="75"/>
      <c r="I58" s="10"/>
    </row>
    <row r="59" spans="1:9" ht="31.5" hidden="1" customHeight="1">
      <c r="A59" s="18">
        <v>15</v>
      </c>
      <c r="B59" s="23" t="s">
        <v>130</v>
      </c>
      <c r="C59" s="35" t="s">
        <v>85</v>
      </c>
      <c r="D59" s="23" t="s">
        <v>114</v>
      </c>
      <c r="E59" s="74">
        <v>160</v>
      </c>
      <c r="F59" s="22">
        <f>SUM(E59*6/100)</f>
        <v>9.6</v>
      </c>
      <c r="G59" s="27">
        <v>2029.3</v>
      </c>
      <c r="H59" s="75">
        <f>SUM(F59*G59/1000)</f>
        <v>19.481279999999998</v>
      </c>
      <c r="I59" s="10">
        <f t="shared" ref="I59" si="8">F59/6*G59</f>
        <v>3246.8799999999997</v>
      </c>
    </row>
    <row r="60" spans="1:9" ht="15.75" customHeight="1">
      <c r="A60" s="18">
        <v>12</v>
      </c>
      <c r="B60" s="23" t="s">
        <v>145</v>
      </c>
      <c r="C60" s="35" t="s">
        <v>146</v>
      </c>
      <c r="D60" s="23" t="s">
        <v>269</v>
      </c>
      <c r="E60" s="74"/>
      <c r="F60" s="22">
        <v>3</v>
      </c>
      <c r="G60" s="27">
        <v>1800</v>
      </c>
      <c r="H60" s="75">
        <f>SUM(F60*G60/1000)</f>
        <v>5.4</v>
      </c>
      <c r="I60" s="10">
        <f>G60*1</f>
        <v>1800</v>
      </c>
    </row>
    <row r="61" spans="1:9" ht="15.75" customHeight="1">
      <c r="A61" s="18"/>
      <c r="B61" s="92" t="s">
        <v>44</v>
      </c>
      <c r="C61" s="35"/>
      <c r="D61" s="23"/>
      <c r="E61" s="74"/>
      <c r="F61" s="22"/>
      <c r="G61" s="94"/>
      <c r="H61" s="75"/>
      <c r="I61" s="10"/>
    </row>
    <row r="62" spans="1:9" ht="15.75" hidden="1" customHeight="1">
      <c r="A62" s="18"/>
      <c r="B62" s="23" t="s">
        <v>45</v>
      </c>
      <c r="C62" s="35" t="s">
        <v>85</v>
      </c>
      <c r="D62" s="23" t="s">
        <v>54</v>
      </c>
      <c r="E62" s="74">
        <v>206</v>
      </c>
      <c r="F62" s="22">
        <f>SUM(E62/100)</f>
        <v>2.06</v>
      </c>
      <c r="G62" s="22">
        <v>1040.8399999999999</v>
      </c>
      <c r="H62" s="75">
        <f>F62*G62/1000</f>
        <v>2.1441303999999999</v>
      </c>
      <c r="I62" s="10">
        <v>0</v>
      </c>
    </row>
    <row r="63" spans="1:9" ht="15.75" customHeight="1">
      <c r="A63" s="18">
        <v>13</v>
      </c>
      <c r="B63" s="23" t="s">
        <v>119</v>
      </c>
      <c r="C63" s="35" t="s">
        <v>25</v>
      </c>
      <c r="D63" s="23" t="s">
        <v>185</v>
      </c>
      <c r="E63" s="74">
        <v>200</v>
      </c>
      <c r="F63" s="22">
        <f>E63*12</f>
        <v>2400</v>
      </c>
      <c r="G63" s="52">
        <v>1.4</v>
      </c>
      <c r="H63" s="75">
        <f>F63*G63/1000</f>
        <v>3.36</v>
      </c>
      <c r="I63" s="10">
        <f>F63/12*G63</f>
        <v>280</v>
      </c>
    </row>
    <row r="64" spans="1:9" ht="15.75" hidden="1" customHeight="1">
      <c r="A64" s="18"/>
      <c r="B64" s="93" t="s">
        <v>46</v>
      </c>
      <c r="C64" s="80"/>
      <c r="D64" s="81"/>
      <c r="E64" s="82"/>
      <c r="F64" s="83"/>
      <c r="G64" s="83"/>
      <c r="H64" s="84" t="s">
        <v>128</v>
      </c>
      <c r="I64" s="10"/>
    </row>
    <row r="65" spans="1:9" ht="15.75" hidden="1" customHeight="1">
      <c r="A65" s="18">
        <v>15</v>
      </c>
      <c r="B65" s="50" t="s">
        <v>47</v>
      </c>
      <c r="C65" s="31" t="s">
        <v>94</v>
      </c>
      <c r="D65" s="23"/>
      <c r="E65" s="12">
        <v>10</v>
      </c>
      <c r="F65" s="22">
        <f>SUM(E65)</f>
        <v>10</v>
      </c>
      <c r="G65" s="27">
        <v>291.68</v>
      </c>
      <c r="H65" s="64">
        <f t="shared" ref="H65:H84" si="9">SUM(F65*G65/1000)</f>
        <v>2.9168000000000003</v>
      </c>
      <c r="I65" s="10">
        <f>G65*1</f>
        <v>291.68</v>
      </c>
    </row>
    <row r="66" spans="1:9" ht="15.75" hidden="1" customHeight="1">
      <c r="A66" s="18"/>
      <c r="B66" s="50" t="s">
        <v>48</v>
      </c>
      <c r="C66" s="31" t="s">
        <v>94</v>
      </c>
      <c r="D66" s="23" t="s">
        <v>66</v>
      </c>
      <c r="E66" s="12">
        <v>5</v>
      </c>
      <c r="F66" s="22">
        <f>SUM(E66)</f>
        <v>5</v>
      </c>
      <c r="G66" s="27">
        <v>100.01</v>
      </c>
      <c r="H66" s="64">
        <f t="shared" si="9"/>
        <v>0.50004999999999999</v>
      </c>
      <c r="I66" s="10">
        <v>0</v>
      </c>
    </row>
    <row r="67" spans="1:9" ht="15.75" hidden="1" customHeight="1">
      <c r="A67" s="18"/>
      <c r="B67" s="50" t="s">
        <v>49</v>
      </c>
      <c r="C67" s="33" t="s">
        <v>95</v>
      </c>
      <c r="D67" s="30" t="s">
        <v>54</v>
      </c>
      <c r="E67" s="74">
        <v>24063</v>
      </c>
      <c r="F67" s="28">
        <f>SUM(E67/100)</f>
        <v>240.63</v>
      </c>
      <c r="G67" s="27">
        <v>278.24</v>
      </c>
      <c r="H67" s="64">
        <f t="shared" si="9"/>
        <v>66.952891199999996</v>
      </c>
      <c r="I67" s="10">
        <f>F67*G67</f>
        <v>66952.891199999998</v>
      </c>
    </row>
    <row r="68" spans="1:9" ht="15.75" hidden="1" customHeight="1">
      <c r="A68" s="18"/>
      <c r="B68" s="50" t="s">
        <v>50</v>
      </c>
      <c r="C68" s="31" t="s">
        <v>96</v>
      </c>
      <c r="D68" s="30" t="s">
        <v>54</v>
      </c>
      <c r="E68" s="74">
        <v>24063</v>
      </c>
      <c r="F68" s="27">
        <f>SUM(E68/1000)</f>
        <v>24.062999999999999</v>
      </c>
      <c r="G68" s="27">
        <v>216.68</v>
      </c>
      <c r="H68" s="64">
        <f t="shared" si="9"/>
        <v>5.21397084</v>
      </c>
      <c r="I68" s="10">
        <f t="shared" ref="I68:I72" si="10">F68*G68</f>
        <v>5213.97084</v>
      </c>
    </row>
    <row r="69" spans="1:9" ht="15.75" hidden="1" customHeight="1">
      <c r="A69" s="18"/>
      <c r="B69" s="50" t="s">
        <v>51</v>
      </c>
      <c r="C69" s="31" t="s">
        <v>77</v>
      </c>
      <c r="D69" s="30" t="s">
        <v>54</v>
      </c>
      <c r="E69" s="74">
        <v>1300</v>
      </c>
      <c r="F69" s="27">
        <f>SUM(E69/100)</f>
        <v>13</v>
      </c>
      <c r="G69" s="27">
        <v>2720.94</v>
      </c>
      <c r="H69" s="64">
        <f t="shared" si="9"/>
        <v>35.372219999999999</v>
      </c>
      <c r="I69" s="10">
        <f t="shared" si="10"/>
        <v>35372.22</v>
      </c>
    </row>
    <row r="70" spans="1:9" ht="15.75" hidden="1" customHeight="1">
      <c r="A70" s="18"/>
      <c r="B70" s="46" t="s">
        <v>71</v>
      </c>
      <c r="C70" s="31" t="s">
        <v>32</v>
      </c>
      <c r="D70" s="30"/>
      <c r="E70" s="74">
        <v>10.4</v>
      </c>
      <c r="F70" s="27">
        <f>SUM(E70)</f>
        <v>10.4</v>
      </c>
      <c r="G70" s="27">
        <v>42.61</v>
      </c>
      <c r="H70" s="64">
        <f t="shared" si="9"/>
        <v>0.44314399999999998</v>
      </c>
      <c r="I70" s="10">
        <f t="shared" si="10"/>
        <v>443.14400000000001</v>
      </c>
    </row>
    <row r="71" spans="1:9" ht="31.5" hidden="1" customHeight="1">
      <c r="A71" s="18"/>
      <c r="B71" s="46" t="s">
        <v>72</v>
      </c>
      <c r="C71" s="31" t="s">
        <v>32</v>
      </c>
      <c r="D71" s="30"/>
      <c r="E71" s="74">
        <v>10.4</v>
      </c>
      <c r="F71" s="27">
        <f>SUM(E71)</f>
        <v>10.4</v>
      </c>
      <c r="G71" s="27">
        <v>46.04</v>
      </c>
      <c r="H71" s="64">
        <f t="shared" si="9"/>
        <v>0.47881600000000002</v>
      </c>
      <c r="I71" s="10">
        <f t="shared" si="10"/>
        <v>478.81600000000003</v>
      </c>
    </row>
    <row r="72" spans="1:9" ht="15.75" hidden="1" customHeight="1">
      <c r="A72" s="18"/>
      <c r="B72" s="30" t="s">
        <v>57</v>
      </c>
      <c r="C72" s="31" t="s">
        <v>58</v>
      </c>
      <c r="D72" s="30" t="s">
        <v>54</v>
      </c>
      <c r="E72" s="12">
        <v>5</v>
      </c>
      <c r="F72" s="22">
        <f>SUM(E72)</f>
        <v>5</v>
      </c>
      <c r="G72" s="27">
        <v>65.42</v>
      </c>
      <c r="H72" s="64">
        <f t="shared" si="9"/>
        <v>0.3271</v>
      </c>
      <c r="I72" s="10">
        <f t="shared" si="10"/>
        <v>327.10000000000002</v>
      </c>
    </row>
    <row r="73" spans="1:9" ht="15.75" customHeight="1">
      <c r="A73" s="18"/>
      <c r="B73" s="43" t="s">
        <v>73</v>
      </c>
      <c r="C73" s="31"/>
      <c r="D73" s="30"/>
      <c r="E73" s="12"/>
      <c r="F73" s="27"/>
      <c r="G73" s="27"/>
      <c r="H73" s="64" t="s">
        <v>128</v>
      </c>
      <c r="I73" s="10"/>
    </row>
    <row r="74" spans="1:9" ht="15.75" hidden="1" customHeight="1">
      <c r="A74" s="18"/>
      <c r="B74" s="30" t="s">
        <v>147</v>
      </c>
      <c r="C74" s="31" t="s">
        <v>94</v>
      </c>
      <c r="D74" s="23" t="s">
        <v>66</v>
      </c>
      <c r="E74" s="12">
        <v>1</v>
      </c>
      <c r="F74" s="27">
        <v>1</v>
      </c>
      <c r="G74" s="27">
        <v>1029.1199999999999</v>
      </c>
      <c r="H74" s="64">
        <f t="shared" ref="H74:H77" si="11">SUM(F74*G74/1000)</f>
        <v>1.0291199999999998</v>
      </c>
      <c r="I74" s="10">
        <v>0</v>
      </c>
    </row>
    <row r="75" spans="1:9" ht="15.75" hidden="1" customHeight="1">
      <c r="A75" s="18"/>
      <c r="B75" s="30" t="s">
        <v>148</v>
      </c>
      <c r="C75" s="31" t="s">
        <v>149</v>
      </c>
      <c r="D75" s="30"/>
      <c r="E75" s="12">
        <v>1</v>
      </c>
      <c r="F75" s="27">
        <f>E75</f>
        <v>1</v>
      </c>
      <c r="G75" s="27">
        <v>735</v>
      </c>
      <c r="H75" s="64">
        <f t="shared" si="11"/>
        <v>0.73499999999999999</v>
      </c>
      <c r="I75" s="10">
        <v>0</v>
      </c>
    </row>
    <row r="76" spans="1:9" ht="15.75" hidden="1" customHeight="1">
      <c r="A76" s="18">
        <v>19</v>
      </c>
      <c r="B76" s="30" t="s">
        <v>74</v>
      </c>
      <c r="C76" s="31" t="s">
        <v>75</v>
      </c>
      <c r="D76" s="23" t="s">
        <v>66</v>
      </c>
      <c r="E76" s="12">
        <v>7</v>
      </c>
      <c r="F76" s="27">
        <f>E76/10</f>
        <v>0.7</v>
      </c>
      <c r="G76" s="27">
        <v>657.87</v>
      </c>
      <c r="H76" s="64">
        <f t="shared" si="11"/>
        <v>0.46050899999999995</v>
      </c>
      <c r="I76" s="10">
        <f>G76*0.9</f>
        <v>592.08299999999997</v>
      </c>
    </row>
    <row r="77" spans="1:9" ht="15.75" hidden="1" customHeight="1">
      <c r="A77" s="18"/>
      <c r="B77" s="30" t="s">
        <v>115</v>
      </c>
      <c r="C77" s="31" t="s">
        <v>94</v>
      </c>
      <c r="D77" s="23" t="s">
        <v>66</v>
      </c>
      <c r="E77" s="12">
        <v>1</v>
      </c>
      <c r="F77" s="22">
        <f>SUM(E77)</f>
        <v>1</v>
      </c>
      <c r="G77" s="27">
        <v>1118.72</v>
      </c>
      <c r="H77" s="64">
        <f t="shared" si="11"/>
        <v>1.1187199999999999</v>
      </c>
      <c r="I77" s="10">
        <v>0</v>
      </c>
    </row>
    <row r="78" spans="1:9" ht="15.75" hidden="1" customHeight="1">
      <c r="A78" s="18"/>
      <c r="B78" s="66" t="s">
        <v>150</v>
      </c>
      <c r="C78" s="53" t="s">
        <v>94</v>
      </c>
      <c r="D78" s="23" t="s">
        <v>66</v>
      </c>
      <c r="E78" s="12">
        <v>1</v>
      </c>
      <c r="F78" s="52">
        <v>1</v>
      </c>
      <c r="G78" s="27">
        <v>1605.83</v>
      </c>
      <c r="H78" s="64">
        <f>SUM(F78*G78/1000)</f>
        <v>1.6058299999999999</v>
      </c>
      <c r="I78" s="10">
        <v>0</v>
      </c>
    </row>
    <row r="79" spans="1:9" ht="15.75" customHeight="1">
      <c r="A79" s="18">
        <v>14</v>
      </c>
      <c r="B79" s="66" t="s">
        <v>151</v>
      </c>
      <c r="C79" s="53" t="s">
        <v>94</v>
      </c>
      <c r="D79" s="30" t="s">
        <v>185</v>
      </c>
      <c r="E79" s="85">
        <v>2</v>
      </c>
      <c r="F79" s="83">
        <f>E79*12</f>
        <v>24</v>
      </c>
      <c r="G79" s="174">
        <v>420</v>
      </c>
      <c r="H79" s="64">
        <f t="shared" ref="H79:H80" si="12">SUM(F79*G79/1000)</f>
        <v>10.08</v>
      </c>
      <c r="I79" s="10">
        <f>F79/12*G79</f>
        <v>840</v>
      </c>
    </row>
    <row r="80" spans="1:9" ht="15.75" customHeight="1">
      <c r="A80" s="18">
        <v>15</v>
      </c>
      <c r="B80" s="60" t="s">
        <v>116</v>
      </c>
      <c r="C80" s="31"/>
      <c r="D80" s="30" t="s">
        <v>180</v>
      </c>
      <c r="E80" s="12">
        <v>1</v>
      </c>
      <c r="F80" s="27">
        <v>12</v>
      </c>
      <c r="G80" s="118">
        <v>1829</v>
      </c>
      <c r="H80" s="64">
        <f t="shared" si="12"/>
        <v>21.948</v>
      </c>
      <c r="I80" s="10">
        <f>F80/12*G80</f>
        <v>1829</v>
      </c>
    </row>
    <row r="81" spans="1:9" ht="15.75" customHeight="1">
      <c r="A81" s="18"/>
      <c r="B81" s="95" t="s">
        <v>152</v>
      </c>
      <c r="C81" s="53"/>
      <c r="D81" s="30"/>
      <c r="E81" s="12"/>
      <c r="F81" s="27"/>
      <c r="G81" s="27"/>
      <c r="H81" s="64"/>
      <c r="I81" s="10"/>
    </row>
    <row r="82" spans="1:9" ht="15.75" customHeight="1">
      <c r="A82" s="18">
        <v>16</v>
      </c>
      <c r="B82" s="30" t="s">
        <v>153</v>
      </c>
      <c r="C82" s="36" t="s">
        <v>154</v>
      </c>
      <c r="D82" s="30"/>
      <c r="E82" s="12">
        <v>4497.7</v>
      </c>
      <c r="F82" s="27">
        <f>SUM(E82*12)</f>
        <v>53972.399999999994</v>
      </c>
      <c r="G82" s="27">
        <v>2.6</v>
      </c>
      <c r="H82" s="64">
        <f t="shared" ref="H82" si="13">SUM(F82*G82/1000)</f>
        <v>140.32823999999999</v>
      </c>
      <c r="I82" s="10">
        <f>F82/12*G82</f>
        <v>11694.02</v>
      </c>
    </row>
    <row r="83" spans="1:9" ht="15.75" hidden="1" customHeight="1">
      <c r="A83" s="18"/>
      <c r="B83" s="44" t="s">
        <v>76</v>
      </c>
      <c r="C83" s="31"/>
      <c r="D83" s="30"/>
      <c r="E83" s="12"/>
      <c r="F83" s="27"/>
      <c r="G83" s="27" t="s">
        <v>128</v>
      </c>
      <c r="H83" s="64" t="s">
        <v>128</v>
      </c>
      <c r="I83" s="10"/>
    </row>
    <row r="84" spans="1:9" ht="15.75" hidden="1" customHeight="1">
      <c r="A84" s="18"/>
      <c r="B84" s="32" t="s">
        <v>99</v>
      </c>
      <c r="C84" s="33" t="s">
        <v>77</v>
      </c>
      <c r="D84" s="50"/>
      <c r="E84" s="87"/>
      <c r="F84" s="28">
        <v>0.6</v>
      </c>
      <c r="G84" s="28">
        <v>3619.09</v>
      </c>
      <c r="H84" s="64">
        <f t="shared" si="9"/>
        <v>2.1714540000000002</v>
      </c>
      <c r="I84" s="10">
        <v>0</v>
      </c>
    </row>
    <row r="85" spans="1:9" ht="15.75" hidden="1" customHeight="1">
      <c r="A85" s="18"/>
      <c r="B85" s="68" t="s">
        <v>91</v>
      </c>
      <c r="C85" s="62"/>
      <c r="D85" s="20"/>
      <c r="E85" s="21"/>
      <c r="F85" s="59"/>
      <c r="G85" s="59"/>
      <c r="H85" s="88">
        <f>SUM(H59:H84)</f>
        <v>322.06727544</v>
      </c>
      <c r="I85" s="10"/>
    </row>
    <row r="86" spans="1:9" ht="15.75" hidden="1" customHeight="1">
      <c r="A86" s="18"/>
      <c r="B86" s="23" t="s">
        <v>97</v>
      </c>
      <c r="C86" s="89"/>
      <c r="D86" s="90"/>
      <c r="E86" s="91"/>
      <c r="F86" s="29">
        <v>1</v>
      </c>
      <c r="G86" s="29">
        <v>18792</v>
      </c>
      <c r="H86" s="64">
        <f>G86*F86/1000</f>
        <v>18.792000000000002</v>
      </c>
      <c r="I86" s="10">
        <v>0</v>
      </c>
    </row>
    <row r="87" spans="1:9" ht="15.75" customHeight="1">
      <c r="A87" s="190" t="s">
        <v>126</v>
      </c>
      <c r="B87" s="191"/>
      <c r="C87" s="191"/>
      <c r="D87" s="191"/>
      <c r="E87" s="191"/>
      <c r="F87" s="191"/>
      <c r="G87" s="191"/>
      <c r="H87" s="191"/>
      <c r="I87" s="192"/>
    </row>
    <row r="88" spans="1:9" ht="15.75" customHeight="1">
      <c r="A88" s="18">
        <v>17</v>
      </c>
      <c r="B88" s="23" t="s">
        <v>98</v>
      </c>
      <c r="C88" s="31" t="s">
        <v>55</v>
      </c>
      <c r="D88" s="51"/>
      <c r="E88" s="27">
        <v>4497.7</v>
      </c>
      <c r="F88" s="27">
        <f>SUM(E88*12)</f>
        <v>53972.399999999994</v>
      </c>
      <c r="G88" s="27">
        <v>3.5</v>
      </c>
      <c r="H88" s="64">
        <f>SUM(F88*G88/1000)</f>
        <v>188.90339999999998</v>
      </c>
      <c r="I88" s="10">
        <f>F88/12*G88</f>
        <v>15741.949999999999</v>
      </c>
    </row>
    <row r="89" spans="1:9" ht="30.75" customHeight="1">
      <c r="A89" s="18">
        <v>18</v>
      </c>
      <c r="B89" s="30" t="s">
        <v>247</v>
      </c>
      <c r="C89" s="31" t="s">
        <v>248</v>
      </c>
      <c r="D89" s="65"/>
      <c r="E89" s="74">
        <f>E88</f>
        <v>4497.7</v>
      </c>
      <c r="F89" s="27">
        <f>E89*12</f>
        <v>53972.399999999994</v>
      </c>
      <c r="G89" s="27">
        <v>3.2</v>
      </c>
      <c r="H89" s="64">
        <f>F89*G89/1000</f>
        <v>172.71168</v>
      </c>
      <c r="I89" s="10">
        <f>F89/12*G89</f>
        <v>14392.64</v>
      </c>
    </row>
    <row r="90" spans="1:9" ht="15.75" customHeight="1">
      <c r="A90" s="18"/>
      <c r="B90" s="34" t="s">
        <v>80</v>
      </c>
      <c r="C90" s="62"/>
      <c r="D90" s="61"/>
      <c r="E90" s="59"/>
      <c r="F90" s="59"/>
      <c r="G90" s="59"/>
      <c r="H90" s="63">
        <f>SUM(H77)</f>
        <v>1.1187199999999999</v>
      </c>
      <c r="I90" s="59">
        <f>I89+I88+I82+I80+I79+I63+I60+I45+I42++I40+I39+I26+I21+I18+I17+I16+I44+I43</f>
        <v>76810.587442000018</v>
      </c>
    </row>
    <row r="91" spans="1:9" ht="15.75" customHeight="1">
      <c r="A91" s="193" t="s">
        <v>60</v>
      </c>
      <c r="B91" s="194"/>
      <c r="C91" s="194"/>
      <c r="D91" s="194"/>
      <c r="E91" s="194"/>
      <c r="F91" s="194"/>
      <c r="G91" s="194"/>
      <c r="H91" s="194"/>
      <c r="I91" s="195"/>
    </row>
    <row r="92" spans="1:9" ht="16.5" customHeight="1">
      <c r="A92" s="18">
        <v>19</v>
      </c>
      <c r="B92" s="67" t="s">
        <v>157</v>
      </c>
      <c r="C92" s="53" t="s">
        <v>172</v>
      </c>
      <c r="D92" s="65" t="s">
        <v>307</v>
      </c>
      <c r="E92" s="27"/>
      <c r="F92" s="27">
        <v>33</v>
      </c>
      <c r="G92" s="27">
        <v>284</v>
      </c>
      <c r="H92" s="64"/>
      <c r="I92" s="10">
        <v>0</v>
      </c>
    </row>
    <row r="93" spans="1:9" ht="14.25" customHeight="1">
      <c r="A93" s="18">
        <v>20</v>
      </c>
      <c r="B93" s="66" t="s">
        <v>263</v>
      </c>
      <c r="C93" s="53" t="s">
        <v>264</v>
      </c>
      <c r="D93" s="65" t="s">
        <v>179</v>
      </c>
      <c r="E93" s="27"/>
      <c r="F93" s="27">
        <v>0.03</v>
      </c>
      <c r="G93" s="27">
        <v>27139.18</v>
      </c>
      <c r="H93" s="64"/>
      <c r="I93" s="10">
        <v>0</v>
      </c>
    </row>
    <row r="94" spans="1:9" ht="18" customHeight="1">
      <c r="A94" s="18">
        <v>21</v>
      </c>
      <c r="B94" s="67" t="s">
        <v>270</v>
      </c>
      <c r="C94" s="179" t="s">
        <v>172</v>
      </c>
      <c r="D94" s="65" t="s">
        <v>273</v>
      </c>
      <c r="E94" s="27"/>
      <c r="F94" s="27">
        <v>1</v>
      </c>
      <c r="G94" s="27">
        <v>429.67</v>
      </c>
      <c r="H94" s="64"/>
      <c r="I94" s="10">
        <f>G94*1</f>
        <v>429.67</v>
      </c>
    </row>
    <row r="95" spans="1:9" ht="15.75" customHeight="1">
      <c r="A95" s="18">
        <v>22</v>
      </c>
      <c r="B95" s="66" t="s">
        <v>173</v>
      </c>
      <c r="C95" s="53" t="s">
        <v>134</v>
      </c>
      <c r="D95" s="65" t="s">
        <v>243</v>
      </c>
      <c r="E95" s="27"/>
      <c r="F95" s="27">
        <v>1</v>
      </c>
      <c r="G95" s="27">
        <v>222.63</v>
      </c>
      <c r="H95" s="64"/>
      <c r="I95" s="10">
        <f>G95*1</f>
        <v>222.63</v>
      </c>
    </row>
    <row r="96" spans="1:9" ht="15.75" customHeight="1">
      <c r="A96" s="18">
        <v>23</v>
      </c>
      <c r="B96" s="66" t="s">
        <v>271</v>
      </c>
      <c r="C96" s="53" t="s">
        <v>29</v>
      </c>
      <c r="D96" s="65" t="s">
        <v>185</v>
      </c>
      <c r="E96" s="27"/>
      <c r="F96" s="27">
        <v>0.1</v>
      </c>
      <c r="G96" s="27">
        <v>1356.96</v>
      </c>
      <c r="H96" s="64"/>
      <c r="I96" s="10">
        <v>0</v>
      </c>
    </row>
    <row r="97" spans="1:9" ht="37.5" customHeight="1">
      <c r="A97" s="18">
        <v>24</v>
      </c>
      <c r="B97" s="66" t="s">
        <v>272</v>
      </c>
      <c r="C97" s="53" t="s">
        <v>55</v>
      </c>
      <c r="D97" s="65" t="s">
        <v>265</v>
      </c>
      <c r="E97" s="27"/>
      <c r="F97" s="27">
        <v>0.5</v>
      </c>
      <c r="G97" s="27">
        <v>578.07000000000005</v>
      </c>
      <c r="H97" s="64"/>
      <c r="I97" s="10">
        <f>G97*0.5</f>
        <v>289.03500000000003</v>
      </c>
    </row>
    <row r="98" spans="1:9">
      <c r="A98" s="18"/>
      <c r="B98" s="41" t="s">
        <v>52</v>
      </c>
      <c r="C98" s="37"/>
      <c r="D98" s="47"/>
      <c r="E98" s="37">
        <v>1</v>
      </c>
      <c r="F98" s="37"/>
      <c r="G98" s="37"/>
      <c r="H98" s="37"/>
      <c r="I98" s="21">
        <f>SUM(I92:I97)</f>
        <v>941.33500000000004</v>
      </c>
    </row>
    <row r="99" spans="1:9" ht="15.75" customHeight="1">
      <c r="A99" s="18"/>
      <c r="B99" s="45" t="s">
        <v>79</v>
      </c>
      <c r="C99" s="11"/>
      <c r="D99" s="11"/>
      <c r="E99" s="38"/>
      <c r="F99" s="38"/>
      <c r="G99" s="39"/>
      <c r="H99" s="39"/>
      <c r="I99" s="12">
        <v>0</v>
      </c>
    </row>
    <row r="100" spans="1:9" ht="15.75" customHeight="1">
      <c r="A100" s="48"/>
      <c r="B100" s="42" t="s">
        <v>155</v>
      </c>
      <c r="C100" s="26"/>
      <c r="D100" s="26"/>
      <c r="E100" s="26"/>
      <c r="F100" s="26"/>
      <c r="G100" s="26"/>
      <c r="H100" s="26"/>
      <c r="I100" s="40">
        <f>I90+I98</f>
        <v>77751.922442000025</v>
      </c>
    </row>
    <row r="101" spans="1:9" ht="15.75">
      <c r="A101" s="196" t="s">
        <v>308</v>
      </c>
      <c r="B101" s="196"/>
      <c r="C101" s="196"/>
      <c r="D101" s="196"/>
      <c r="E101" s="196"/>
      <c r="F101" s="196"/>
      <c r="G101" s="196"/>
      <c r="H101" s="196"/>
      <c r="I101" s="196"/>
    </row>
    <row r="102" spans="1:9" ht="15.75" customHeight="1">
      <c r="A102" s="54"/>
      <c r="B102" s="197" t="s">
        <v>309</v>
      </c>
      <c r="C102" s="197"/>
      <c r="D102" s="197"/>
      <c r="E102" s="197"/>
      <c r="F102" s="197"/>
      <c r="G102" s="197"/>
      <c r="H102" s="57"/>
      <c r="I102" s="2"/>
    </row>
    <row r="103" spans="1:9" ht="15.75" customHeight="1">
      <c r="A103" s="73"/>
      <c r="B103" s="184" t="s">
        <v>6</v>
      </c>
      <c r="C103" s="184"/>
      <c r="D103" s="184"/>
      <c r="E103" s="184"/>
      <c r="F103" s="184"/>
      <c r="G103" s="184"/>
      <c r="H103" s="13"/>
      <c r="I103" s="4"/>
    </row>
    <row r="104" spans="1:9" ht="15.75" customHeight="1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 customHeight="1">
      <c r="A105" s="198" t="s">
        <v>7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 customHeight="1">
      <c r="A106" s="198" t="s">
        <v>8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88" t="s">
        <v>61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15.75" customHeight="1">
      <c r="A108" s="8"/>
    </row>
    <row r="109" spans="1:9" ht="15.75">
      <c r="A109" s="182" t="s">
        <v>9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15.75" customHeight="1">
      <c r="A110" s="3"/>
    </row>
    <row r="111" spans="1:9" ht="15.75">
      <c r="B111" s="70" t="s">
        <v>10</v>
      </c>
      <c r="C111" s="183" t="s">
        <v>267</v>
      </c>
      <c r="D111" s="183"/>
      <c r="E111" s="183"/>
      <c r="F111" s="55"/>
      <c r="I111" s="72"/>
    </row>
    <row r="112" spans="1:9">
      <c r="A112" s="73"/>
      <c r="C112" s="184" t="s">
        <v>11</v>
      </c>
      <c r="D112" s="184"/>
      <c r="E112" s="184"/>
      <c r="F112" s="13"/>
      <c r="I112" s="71" t="s">
        <v>12</v>
      </c>
    </row>
    <row r="113" spans="1:9" ht="15.75">
      <c r="A113" s="14"/>
      <c r="C113" s="9"/>
      <c r="D113" s="9"/>
      <c r="G113" s="9"/>
      <c r="H113" s="9"/>
    </row>
    <row r="114" spans="1:9" ht="15.75" customHeight="1">
      <c r="B114" s="70" t="s">
        <v>13</v>
      </c>
      <c r="C114" s="185"/>
      <c r="D114" s="185"/>
      <c r="E114" s="185"/>
      <c r="F114" s="56"/>
      <c r="I114" s="72"/>
    </row>
    <row r="115" spans="1:9" ht="15.75" customHeight="1">
      <c r="A115" s="73"/>
      <c r="C115" s="186" t="s">
        <v>11</v>
      </c>
      <c r="D115" s="186"/>
      <c r="E115" s="186"/>
      <c r="F115" s="73"/>
      <c r="I115" s="71" t="s">
        <v>12</v>
      </c>
    </row>
    <row r="116" spans="1:9" ht="15.75" customHeight="1">
      <c r="A116" s="3" t="s">
        <v>14</v>
      </c>
    </row>
    <row r="117" spans="1:9">
      <c r="A117" s="187" t="s">
        <v>15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45" customHeight="1">
      <c r="A118" s="181" t="s">
        <v>16</v>
      </c>
      <c r="B118" s="181"/>
      <c r="C118" s="181"/>
      <c r="D118" s="181"/>
      <c r="E118" s="181"/>
      <c r="F118" s="181"/>
      <c r="G118" s="181"/>
      <c r="H118" s="181"/>
      <c r="I118" s="181"/>
    </row>
    <row r="119" spans="1:9" ht="30" customHeight="1">
      <c r="A119" s="181" t="s">
        <v>17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0" customHeight="1">
      <c r="A120" s="181" t="s">
        <v>21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15" customHeight="1">
      <c r="A121" s="181" t="s">
        <v>20</v>
      </c>
      <c r="B121" s="181"/>
      <c r="C121" s="181"/>
      <c r="D121" s="181"/>
      <c r="E121" s="181"/>
      <c r="F121" s="181"/>
      <c r="G121" s="181"/>
      <c r="H121" s="181"/>
      <c r="I121" s="181"/>
    </row>
  </sheetData>
  <mergeCells count="28">
    <mergeCell ref="A118:I118"/>
    <mergeCell ref="A119:I119"/>
    <mergeCell ref="A120:I120"/>
    <mergeCell ref="A121:I121"/>
    <mergeCell ref="A28:I28"/>
    <mergeCell ref="A46:I46"/>
    <mergeCell ref="A57:I57"/>
    <mergeCell ref="A87:I87"/>
    <mergeCell ref="A109:I109"/>
    <mergeCell ref="C111:E111"/>
    <mergeCell ref="C112:E112"/>
    <mergeCell ref="C114:E114"/>
    <mergeCell ref="C115:E115"/>
    <mergeCell ref="A117:I117"/>
    <mergeCell ref="A101:I101"/>
    <mergeCell ref="B102:G102"/>
    <mergeCell ref="B103:G103"/>
    <mergeCell ref="A105:I105"/>
    <mergeCell ref="A106:I106"/>
    <mergeCell ref="A107:I107"/>
    <mergeCell ref="A15:I15"/>
    <mergeCell ref="A91:I91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20"/>
  <sheetViews>
    <sheetView tabSelected="1" topLeftCell="A82" workbookViewId="0">
      <selection activeCell="A105" sqref="A105:I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2" hidden="1" customWidth="1"/>
    <col min="6" max="6" width="11.85546875" hidden="1" customWidth="1"/>
    <col min="7" max="7" width="22.5703125" customWidth="1"/>
    <col min="8" max="8" width="22.5703125" hidden="1" customWidth="1"/>
    <col min="9" max="9" width="22.57031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100</v>
      </c>
      <c r="B3" s="200"/>
      <c r="C3" s="200"/>
      <c r="D3" s="200"/>
      <c r="E3" s="200"/>
      <c r="F3" s="200"/>
      <c r="G3" s="200"/>
      <c r="H3" s="200"/>
      <c r="I3" s="200"/>
    </row>
    <row r="4" spans="1:9" ht="31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274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69"/>
      <c r="C6" s="69"/>
      <c r="D6" s="69"/>
      <c r="E6" s="69"/>
      <c r="F6" s="69"/>
      <c r="G6" s="69"/>
      <c r="H6" s="69"/>
      <c r="I6" s="19">
        <v>44196</v>
      </c>
    </row>
    <row r="7" spans="1:9" ht="15.75">
      <c r="B7" s="70"/>
      <c r="C7" s="70"/>
      <c r="D7" s="70"/>
      <c r="E7" s="2"/>
      <c r="F7" s="2"/>
      <c r="G7" s="2"/>
      <c r="H7" s="2"/>
    </row>
    <row r="8" spans="1:9" ht="78.75" customHeight="1">
      <c r="A8" s="203" t="s">
        <v>275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47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261.45</v>
      </c>
      <c r="H16" s="75">
        <f t="shared" ref="H16:H25" si="0">SUM(F16*G16/1000)</f>
        <v>49.408402680000002</v>
      </c>
      <c r="I16" s="10">
        <f>F16/12*G16</f>
        <v>4117.3668899999993</v>
      </c>
    </row>
    <row r="17" spans="1:9" ht="15.7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261.45</v>
      </c>
      <c r="H17" s="75">
        <f t="shared" si="0"/>
        <v>131.75574047999999</v>
      </c>
      <c r="I17" s="10">
        <f>F17/12*G17</f>
        <v>10979.645039999999</v>
      </c>
    </row>
    <row r="18" spans="1:9" ht="15.75" customHeight="1">
      <c r="A18" s="18">
        <v>3</v>
      </c>
      <c r="B18" s="23" t="s">
        <v>103</v>
      </c>
      <c r="C18" s="35" t="s">
        <v>85</v>
      </c>
      <c r="D18" s="23" t="s">
        <v>185</v>
      </c>
      <c r="E18" s="74">
        <f>SUM(E16+E17)</f>
        <v>605.70000000000005</v>
      </c>
      <c r="F18" s="22">
        <f>SUM(E18*18/100)</f>
        <v>109.02600000000001</v>
      </c>
      <c r="G18" s="22">
        <v>752.16</v>
      </c>
      <c r="H18" s="75">
        <f t="shared" si="0"/>
        <v>82.004996160000005</v>
      </c>
      <c r="I18" s="10">
        <f>F18/18*G18</f>
        <v>4555.8331200000002</v>
      </c>
    </row>
    <row r="19" spans="1:9" ht="15.75" hidden="1" customHeight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253.7</v>
      </c>
      <c r="H19" s="75">
        <f t="shared" si="0"/>
        <v>0.97420799999999996</v>
      </c>
      <c r="I19" s="10">
        <f>F19/2*G19</f>
        <v>487.10399999999998</v>
      </c>
    </row>
    <row r="20" spans="1:9" ht="15.75" hidden="1" customHeight="1">
      <c r="A20" s="18"/>
      <c r="B20" s="23" t="s">
        <v>107</v>
      </c>
      <c r="C20" s="35" t="s">
        <v>85</v>
      </c>
      <c r="D20" s="23" t="s">
        <v>185</v>
      </c>
      <c r="E20" s="74">
        <v>58.4</v>
      </c>
      <c r="F20" s="22">
        <f>SUM(E20*2/100)</f>
        <v>1.1679999999999999</v>
      </c>
      <c r="G20" s="22">
        <v>324.83999999999997</v>
      </c>
      <c r="H20" s="75">
        <f t="shared" si="0"/>
        <v>0.37941311999999994</v>
      </c>
      <c r="I20" s="10">
        <f>F20/2*G20</f>
        <v>189.70655999999997</v>
      </c>
    </row>
    <row r="21" spans="1:9" ht="15.75" hidden="1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322.20999999999998</v>
      </c>
      <c r="H21" s="75">
        <f t="shared" si="0"/>
        <v>0.175540008</v>
      </c>
      <c r="I21" s="10">
        <f>F21/6*G21</f>
        <v>29.256668000000001</v>
      </c>
    </row>
    <row r="22" spans="1:9" ht="15.75" hidden="1" customHeight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401.44</v>
      </c>
      <c r="H22" s="75">
        <f t="shared" si="0"/>
        <v>2.8662815999999998</v>
      </c>
      <c r="I22" s="10">
        <f t="shared" ref="I22:I24" si="1">F22/12*G22</f>
        <v>238.85679999999999</v>
      </c>
    </row>
    <row r="23" spans="1:9" ht="15.75" hidden="1" customHeight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66.03</v>
      </c>
      <c r="H23" s="75">
        <f t="shared" si="0"/>
        <v>6.3784979999999991E-2</v>
      </c>
      <c r="I23" s="10">
        <f t="shared" si="1"/>
        <v>5.3154150000000007</v>
      </c>
    </row>
    <row r="24" spans="1:9" ht="15.75" hidden="1" customHeight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E24*1/100</f>
        <v>0.32</v>
      </c>
      <c r="G24" s="22">
        <v>581.02</v>
      </c>
      <c r="H24" s="75">
        <f t="shared" si="0"/>
        <v>0.18592639999999999</v>
      </c>
      <c r="I24" s="10">
        <f t="shared" si="1"/>
        <v>15.493866666666667</v>
      </c>
    </row>
    <row r="25" spans="1:9" ht="15.75" hidden="1" customHeight="1">
      <c r="A25" s="18">
        <v>4</v>
      </c>
      <c r="B25" s="23" t="s">
        <v>113</v>
      </c>
      <c r="C25" s="35" t="s">
        <v>53</v>
      </c>
      <c r="D25" s="23" t="s">
        <v>54</v>
      </c>
      <c r="E25" s="74">
        <v>17</v>
      </c>
      <c r="F25" s="22">
        <f>SUM(E25*1/100)</f>
        <v>0.17</v>
      </c>
      <c r="G25" s="22">
        <v>776.46</v>
      </c>
      <c r="H25" s="75">
        <f t="shared" si="0"/>
        <v>0.13199820000000004</v>
      </c>
      <c r="I25" s="10">
        <f>F25/12*G25</f>
        <v>10.999850000000002</v>
      </c>
    </row>
    <row r="26" spans="1:9" ht="15.75" customHeight="1">
      <c r="A26" s="18">
        <v>5</v>
      </c>
      <c r="B26" s="23" t="s">
        <v>176</v>
      </c>
      <c r="C26" s="35" t="s">
        <v>25</v>
      </c>
      <c r="D26" s="23" t="s">
        <v>181</v>
      </c>
      <c r="E26" s="77">
        <v>6.8</v>
      </c>
      <c r="F26" s="22">
        <v>1754.4</v>
      </c>
      <c r="G26" s="22">
        <v>10.81</v>
      </c>
      <c r="H26" s="75">
        <f>SUM(F26*G26/1000)</f>
        <v>18.965064000000002</v>
      </c>
      <c r="I26" s="10">
        <f>F26/12*G26</f>
        <v>1580.4220000000003</v>
      </c>
    </row>
    <row r="27" spans="1:9" ht="15.75" hidden="1" customHeight="1">
      <c r="A27" s="18">
        <v>6</v>
      </c>
      <c r="B27" s="79" t="s">
        <v>23</v>
      </c>
      <c r="C27" s="35" t="s">
        <v>24</v>
      </c>
      <c r="D27" s="79" t="s">
        <v>128</v>
      </c>
      <c r="E27" s="74">
        <v>4394.8999999999996</v>
      </c>
      <c r="F27" s="22">
        <f>SUM(E27*12)</f>
        <v>52738.799999999996</v>
      </c>
      <c r="G27" s="22">
        <v>3.34</v>
      </c>
      <c r="H27" s="75">
        <f>SUM(F27*G27/1000)</f>
        <v>176.14759199999997</v>
      </c>
      <c r="I27" s="10">
        <f>F27/12*G27</f>
        <v>14678.965999999999</v>
      </c>
    </row>
    <row r="28" spans="1:9" ht="15.75" customHeight="1">
      <c r="A28" s="190" t="s">
        <v>83</v>
      </c>
      <c r="B28" s="191"/>
      <c r="C28" s="191"/>
      <c r="D28" s="191"/>
      <c r="E28" s="191"/>
      <c r="F28" s="191"/>
      <c r="G28" s="191"/>
      <c r="H28" s="191"/>
      <c r="I28" s="192"/>
    </row>
    <row r="29" spans="1:9" ht="15.75" hidden="1" customHeight="1">
      <c r="A29" s="18"/>
      <c r="B29" s="92" t="s">
        <v>28</v>
      </c>
      <c r="C29" s="35"/>
      <c r="D29" s="23"/>
      <c r="E29" s="74"/>
      <c r="F29" s="22"/>
      <c r="G29" s="22"/>
      <c r="H29" s="75"/>
      <c r="I29" s="10"/>
    </row>
    <row r="30" spans="1:9" ht="15.75" hidden="1" customHeight="1">
      <c r="A30" s="18"/>
      <c r="B30" s="23" t="s">
        <v>93</v>
      </c>
      <c r="C30" s="35" t="s">
        <v>87</v>
      </c>
      <c r="D30" s="23" t="s">
        <v>135</v>
      </c>
      <c r="E30" s="22">
        <v>637</v>
      </c>
      <c r="F30" s="22">
        <f>SUM(E30*48/1000)</f>
        <v>30.576000000000001</v>
      </c>
      <c r="G30" s="22">
        <v>204.44</v>
      </c>
      <c r="H30" s="75">
        <f t="shared" ref="H30:H36" si="2">SUM(F30*G30/1000)</f>
        <v>6.2509574400000005</v>
      </c>
      <c r="I30" s="10">
        <f t="shared" ref="I30:I34" si="3">F30/6*G30</f>
        <v>1041.8262400000001</v>
      </c>
    </row>
    <row r="31" spans="1:9" ht="31.5" hidden="1" customHeight="1">
      <c r="A31" s="18"/>
      <c r="B31" s="23" t="s">
        <v>131</v>
      </c>
      <c r="C31" s="35" t="s">
        <v>87</v>
      </c>
      <c r="D31" s="23" t="s">
        <v>136</v>
      </c>
      <c r="E31" s="22">
        <v>188</v>
      </c>
      <c r="F31" s="22">
        <f>SUM(E31*48/1000)</f>
        <v>9.0239999999999991</v>
      </c>
      <c r="G31" s="22">
        <v>339.21</v>
      </c>
      <c r="H31" s="75">
        <f t="shared" si="2"/>
        <v>3.0610310399999996</v>
      </c>
      <c r="I31" s="10">
        <f t="shared" si="3"/>
        <v>510.17183999999992</v>
      </c>
    </row>
    <row r="32" spans="1:9" ht="15.75" hidden="1" customHeight="1">
      <c r="A32" s="18"/>
      <c r="B32" s="23" t="s">
        <v>27</v>
      </c>
      <c r="C32" s="35" t="s">
        <v>87</v>
      </c>
      <c r="D32" s="23" t="s">
        <v>54</v>
      </c>
      <c r="E32" s="22">
        <v>637</v>
      </c>
      <c r="F32" s="22">
        <f>SUM(E32/1000)</f>
        <v>0.63700000000000001</v>
      </c>
      <c r="G32" s="22">
        <v>3961.23</v>
      </c>
      <c r="H32" s="75">
        <f t="shared" si="2"/>
        <v>2.5233035100000003</v>
      </c>
      <c r="I32" s="10">
        <f>F32*G32</f>
        <v>2523.3035100000002</v>
      </c>
    </row>
    <row r="33" spans="1:9" ht="15.75" hidden="1" customHeight="1">
      <c r="A33" s="18"/>
      <c r="B33" s="23" t="s">
        <v>137</v>
      </c>
      <c r="C33" s="35" t="s">
        <v>40</v>
      </c>
      <c r="D33" s="23" t="s">
        <v>138</v>
      </c>
      <c r="E33" s="22">
        <v>8</v>
      </c>
      <c r="F33" s="22">
        <f>SUM(E33*48/100)</f>
        <v>3.84</v>
      </c>
      <c r="G33" s="22">
        <v>1707.63</v>
      </c>
      <c r="H33" s="75">
        <f t="shared" si="2"/>
        <v>6.5572992000000001</v>
      </c>
      <c r="I33" s="10">
        <f t="shared" si="3"/>
        <v>1092.8832</v>
      </c>
    </row>
    <row r="34" spans="1:9" ht="15.75" hidden="1" customHeight="1">
      <c r="A34" s="18"/>
      <c r="B34" s="23" t="s">
        <v>92</v>
      </c>
      <c r="C34" s="35" t="s">
        <v>30</v>
      </c>
      <c r="D34" s="23" t="s">
        <v>63</v>
      </c>
      <c r="E34" s="77">
        <f>1/3</f>
        <v>0.33333333333333331</v>
      </c>
      <c r="F34" s="22">
        <f>155/3</f>
        <v>51.666666666666664</v>
      </c>
      <c r="G34" s="22">
        <v>74.349999999999994</v>
      </c>
      <c r="H34" s="75">
        <f t="shared" si="2"/>
        <v>3.841416666666666</v>
      </c>
      <c r="I34" s="10">
        <f t="shared" si="3"/>
        <v>640.23611111111109</v>
      </c>
    </row>
    <row r="35" spans="1:9" ht="15.75" hidden="1" customHeight="1">
      <c r="A35" s="18"/>
      <c r="B35" s="23" t="s">
        <v>64</v>
      </c>
      <c r="C35" s="35" t="s">
        <v>32</v>
      </c>
      <c r="D35" s="23" t="s">
        <v>66</v>
      </c>
      <c r="E35" s="74"/>
      <c r="F35" s="22">
        <v>2</v>
      </c>
      <c r="G35" s="22">
        <v>250.92</v>
      </c>
      <c r="H35" s="75">
        <f t="shared" si="2"/>
        <v>0.50183999999999995</v>
      </c>
      <c r="I35" s="10">
        <v>0</v>
      </c>
    </row>
    <row r="36" spans="1:9" ht="15.75" hidden="1" customHeight="1">
      <c r="A36" s="18"/>
      <c r="B36" s="23" t="s">
        <v>65</v>
      </c>
      <c r="C36" s="35" t="s">
        <v>31</v>
      </c>
      <c r="D36" s="23" t="s">
        <v>66</v>
      </c>
      <c r="E36" s="74"/>
      <c r="F36" s="22">
        <v>3</v>
      </c>
      <c r="G36" s="22">
        <v>1490.31</v>
      </c>
      <c r="H36" s="75">
        <f t="shared" si="2"/>
        <v>4.4709300000000001</v>
      </c>
      <c r="I36" s="10">
        <v>0</v>
      </c>
    </row>
    <row r="37" spans="1:9" ht="15.75" customHeight="1">
      <c r="A37" s="18"/>
      <c r="B37" s="92" t="s">
        <v>5</v>
      </c>
      <c r="C37" s="35"/>
      <c r="D37" s="23"/>
      <c r="E37" s="74"/>
      <c r="F37" s="22"/>
      <c r="G37" s="22"/>
      <c r="H37" s="75" t="s">
        <v>128</v>
      </c>
      <c r="I37" s="10"/>
    </row>
    <row r="38" spans="1:9" ht="15.75" customHeight="1">
      <c r="A38" s="18">
        <v>6</v>
      </c>
      <c r="B38" s="24" t="s">
        <v>26</v>
      </c>
      <c r="C38" s="35" t="s">
        <v>31</v>
      </c>
      <c r="D38" s="23" t="s">
        <v>276</v>
      </c>
      <c r="E38" s="74"/>
      <c r="F38" s="22">
        <v>8</v>
      </c>
      <c r="G38" s="160">
        <v>1930</v>
      </c>
      <c r="H38" s="75">
        <f t="shared" ref="H38:H45" si="4">SUM(F38*G38/1000)</f>
        <v>15.44</v>
      </c>
      <c r="I38" s="10">
        <f>G38*0.9</f>
        <v>1737</v>
      </c>
    </row>
    <row r="39" spans="1:9" ht="15.75" customHeight="1">
      <c r="A39" s="18">
        <v>7</v>
      </c>
      <c r="B39" s="24" t="s">
        <v>67</v>
      </c>
      <c r="C39" s="49" t="s">
        <v>29</v>
      </c>
      <c r="D39" s="24" t="s">
        <v>182</v>
      </c>
      <c r="E39" s="25">
        <v>188</v>
      </c>
      <c r="F39" s="25">
        <f>SUM(E39*24/1000)</f>
        <v>4.5119999999999996</v>
      </c>
      <c r="G39" s="25">
        <v>3134.93</v>
      </c>
      <c r="H39" s="75">
        <f t="shared" si="4"/>
        <v>14.144804159999998</v>
      </c>
      <c r="I39" s="10">
        <f t="shared" ref="I39:I45" si="5">F39/6*G39</f>
        <v>2357.4673599999996</v>
      </c>
    </row>
    <row r="40" spans="1:9" ht="15.75" customHeight="1">
      <c r="A40" s="18">
        <v>8</v>
      </c>
      <c r="B40" s="23" t="s">
        <v>68</v>
      </c>
      <c r="C40" s="35" t="s">
        <v>29</v>
      </c>
      <c r="D40" s="23" t="s">
        <v>183</v>
      </c>
      <c r="E40" s="22">
        <v>188</v>
      </c>
      <c r="F40" s="25">
        <f>SUM(E40*155/1000)</f>
        <v>29.14</v>
      </c>
      <c r="G40" s="22">
        <v>522.92999999999995</v>
      </c>
      <c r="H40" s="75">
        <f t="shared" si="4"/>
        <v>15.238180199999999</v>
      </c>
      <c r="I40" s="10">
        <f t="shared" si="5"/>
        <v>2539.6966999999995</v>
      </c>
    </row>
    <row r="41" spans="1:9" ht="15.75" hidden="1" customHeight="1">
      <c r="A41" s="18"/>
      <c r="B41" s="23" t="s">
        <v>140</v>
      </c>
      <c r="C41" s="35" t="s">
        <v>141</v>
      </c>
      <c r="D41" s="23"/>
      <c r="E41" s="74"/>
      <c r="F41" s="25">
        <v>39</v>
      </c>
      <c r="G41" s="22">
        <v>343</v>
      </c>
      <c r="H41" s="75">
        <f t="shared" si="4"/>
        <v>13.377000000000001</v>
      </c>
      <c r="I41" s="10">
        <v>0</v>
      </c>
    </row>
    <row r="42" spans="1:9" ht="47.25" customHeight="1">
      <c r="A42" s="18">
        <v>9</v>
      </c>
      <c r="B42" s="23" t="s">
        <v>82</v>
      </c>
      <c r="C42" s="35" t="s">
        <v>87</v>
      </c>
      <c r="D42" s="23" t="s">
        <v>182</v>
      </c>
      <c r="E42" s="22">
        <v>110.4</v>
      </c>
      <c r="F42" s="25">
        <f>SUM(E42*24/1000)</f>
        <v>2.6496000000000004</v>
      </c>
      <c r="G42" s="22">
        <v>8652.07</v>
      </c>
      <c r="H42" s="75">
        <f t="shared" si="4"/>
        <v>22.924524672000004</v>
      </c>
      <c r="I42" s="10">
        <f t="shared" si="5"/>
        <v>3820.7541120000001</v>
      </c>
    </row>
    <row r="43" spans="1:9" ht="15.75" hidden="1" customHeight="1">
      <c r="A43" s="18">
        <v>10</v>
      </c>
      <c r="B43" s="23" t="s">
        <v>88</v>
      </c>
      <c r="C43" s="35" t="s">
        <v>87</v>
      </c>
      <c r="D43" s="23" t="s">
        <v>185</v>
      </c>
      <c r="E43" s="22">
        <v>188</v>
      </c>
      <c r="F43" s="25">
        <f>SUM(E43*24/1000)</f>
        <v>4.5119999999999996</v>
      </c>
      <c r="G43" s="22">
        <v>639.14</v>
      </c>
      <c r="H43" s="75">
        <f t="shared" si="4"/>
        <v>2.8837996799999996</v>
      </c>
      <c r="I43" s="10">
        <f>G43*F43/24*1</f>
        <v>120.15831999999999</v>
      </c>
    </row>
    <row r="44" spans="1:9" ht="15.75" hidden="1" customHeight="1">
      <c r="A44" s="18">
        <v>11</v>
      </c>
      <c r="B44" s="24" t="s">
        <v>69</v>
      </c>
      <c r="C44" s="49" t="s">
        <v>32</v>
      </c>
      <c r="D44" s="24"/>
      <c r="E44" s="78"/>
      <c r="F44" s="25">
        <v>0.9</v>
      </c>
      <c r="G44" s="25">
        <v>900</v>
      </c>
      <c r="H44" s="75">
        <f t="shared" si="4"/>
        <v>0.81</v>
      </c>
      <c r="I44" s="10">
        <f>G44*F44/24*1</f>
        <v>33.75</v>
      </c>
    </row>
    <row r="45" spans="1:9" ht="30.75" customHeight="1">
      <c r="A45" s="18">
        <v>12</v>
      </c>
      <c r="B45" s="66" t="s">
        <v>143</v>
      </c>
      <c r="C45" s="53" t="s">
        <v>29</v>
      </c>
      <c r="D45" s="24" t="s">
        <v>184</v>
      </c>
      <c r="E45" s="78">
        <v>2.4</v>
      </c>
      <c r="F45" s="25">
        <f>SUM(E45*12/1000)</f>
        <v>2.8799999999999996E-2</v>
      </c>
      <c r="G45" s="25">
        <v>20547.34</v>
      </c>
      <c r="H45" s="75">
        <f t="shared" si="4"/>
        <v>0.59176339199999994</v>
      </c>
      <c r="I45" s="10">
        <f t="shared" si="5"/>
        <v>98.627231999999992</v>
      </c>
    </row>
    <row r="46" spans="1:9" ht="15.75" customHeight="1">
      <c r="A46" s="190" t="s">
        <v>121</v>
      </c>
      <c r="B46" s="191"/>
      <c r="C46" s="191"/>
      <c r="D46" s="191"/>
      <c r="E46" s="191"/>
      <c r="F46" s="191"/>
      <c r="G46" s="191"/>
      <c r="H46" s="191"/>
      <c r="I46" s="192"/>
    </row>
    <row r="47" spans="1:9" ht="15.75" hidden="1" customHeight="1">
      <c r="A47" s="18"/>
      <c r="B47" s="23" t="s">
        <v>129</v>
      </c>
      <c r="C47" s="35" t="s">
        <v>87</v>
      </c>
      <c r="D47" s="23" t="s">
        <v>42</v>
      </c>
      <c r="E47" s="74">
        <v>1609.3</v>
      </c>
      <c r="F47" s="22">
        <f>SUM(E47*2/1000)</f>
        <v>3.2185999999999999</v>
      </c>
      <c r="G47" s="27">
        <v>1193.71</v>
      </c>
      <c r="H47" s="75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18"/>
      <c r="B48" s="23" t="s">
        <v>35</v>
      </c>
      <c r="C48" s="35" t="s">
        <v>87</v>
      </c>
      <c r="D48" s="23" t="s">
        <v>42</v>
      </c>
      <c r="E48" s="74">
        <v>104</v>
      </c>
      <c r="F48" s="22">
        <f>SUM(E48*2/1000)</f>
        <v>0.20799999999999999</v>
      </c>
      <c r="G48" s="27">
        <v>4419.05</v>
      </c>
      <c r="H48" s="75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18"/>
      <c r="B49" s="23" t="s">
        <v>36</v>
      </c>
      <c r="C49" s="35" t="s">
        <v>87</v>
      </c>
      <c r="D49" s="23" t="s">
        <v>42</v>
      </c>
      <c r="E49" s="74">
        <v>1996.87</v>
      </c>
      <c r="F49" s="22">
        <f>SUM(E49*2/1000)</f>
        <v>3.9937399999999998</v>
      </c>
      <c r="G49" s="27">
        <v>1803.69</v>
      </c>
      <c r="H49" s="75">
        <f t="shared" si="6"/>
        <v>7.2034689005999999</v>
      </c>
      <c r="I49" s="10">
        <f t="shared" si="7"/>
        <v>3601.7344502999999</v>
      </c>
    </row>
    <row r="50" spans="1:9" ht="15.75" hidden="1" customHeight="1">
      <c r="A50" s="18"/>
      <c r="B50" s="23" t="s">
        <v>37</v>
      </c>
      <c r="C50" s="35" t="s">
        <v>87</v>
      </c>
      <c r="D50" s="23" t="s">
        <v>42</v>
      </c>
      <c r="E50" s="74">
        <v>2654.21</v>
      </c>
      <c r="F50" s="22">
        <f>SUM(E50*2/1000)</f>
        <v>5.3084199999999999</v>
      </c>
      <c r="G50" s="27">
        <v>1243.43</v>
      </c>
      <c r="H50" s="75">
        <f t="shared" si="6"/>
        <v>6.6006486806</v>
      </c>
      <c r="I50" s="10">
        <f t="shared" si="7"/>
        <v>3300.3243403000001</v>
      </c>
    </row>
    <row r="51" spans="1:9" ht="15.75" hidden="1" customHeight="1">
      <c r="A51" s="18"/>
      <c r="B51" s="23" t="s">
        <v>33</v>
      </c>
      <c r="C51" s="35" t="s">
        <v>34</v>
      </c>
      <c r="D51" s="23" t="s">
        <v>42</v>
      </c>
      <c r="E51" s="74">
        <v>128.53</v>
      </c>
      <c r="F51" s="22">
        <f>SUM(E51*2/100)</f>
        <v>2.5706000000000002</v>
      </c>
      <c r="G51" s="27">
        <v>1352.76</v>
      </c>
      <c r="H51" s="75">
        <f t="shared" si="6"/>
        <v>3.4774048560000002</v>
      </c>
      <c r="I51" s="10">
        <f t="shared" si="7"/>
        <v>1738.7024280000001</v>
      </c>
    </row>
    <row r="52" spans="1:9" ht="15.75" customHeight="1">
      <c r="A52" s="18">
        <v>13</v>
      </c>
      <c r="B52" s="23" t="s">
        <v>56</v>
      </c>
      <c r="C52" s="35" t="s">
        <v>87</v>
      </c>
      <c r="D52" s="23" t="s">
        <v>185</v>
      </c>
      <c r="E52" s="162">
        <v>1410.6</v>
      </c>
      <c r="F52" s="160">
        <f>SUM(E52*5/1000)</f>
        <v>7.0529999999999999</v>
      </c>
      <c r="G52" s="118">
        <v>1809.27</v>
      </c>
      <c r="H52" s="75">
        <f t="shared" si="6"/>
        <v>12.76078131</v>
      </c>
      <c r="I52" s="10">
        <f>F52/5*G52</f>
        <v>2552.156262</v>
      </c>
    </row>
    <row r="53" spans="1:9" ht="31.5" hidden="1" customHeight="1">
      <c r="A53" s="18"/>
      <c r="B53" s="23" t="s">
        <v>89</v>
      </c>
      <c r="C53" s="35" t="s">
        <v>87</v>
      </c>
      <c r="D53" s="23" t="s">
        <v>42</v>
      </c>
      <c r="E53" s="74">
        <v>4394.8999999999996</v>
      </c>
      <c r="F53" s="22">
        <f>SUM(E53*2/1000)</f>
        <v>8.7897999999999996</v>
      </c>
      <c r="G53" s="27">
        <v>1591.6</v>
      </c>
      <c r="H53" s="75">
        <f t="shared" si="6"/>
        <v>13.989845679999998</v>
      </c>
      <c r="I53" s="10">
        <f t="shared" si="7"/>
        <v>6994.9228399999993</v>
      </c>
    </row>
    <row r="54" spans="1:9" ht="31.5" hidden="1" customHeight="1">
      <c r="A54" s="18"/>
      <c r="B54" s="23" t="s">
        <v>90</v>
      </c>
      <c r="C54" s="35" t="s">
        <v>38</v>
      </c>
      <c r="D54" s="23" t="s">
        <v>42</v>
      </c>
      <c r="E54" s="74">
        <v>40</v>
      </c>
      <c r="F54" s="22">
        <f>SUM(E54*2/100)</f>
        <v>0.8</v>
      </c>
      <c r="G54" s="27">
        <v>4058.32</v>
      </c>
      <c r="H54" s="75">
        <f t="shared" si="6"/>
        <v>3.2466560000000002</v>
      </c>
      <c r="I54" s="10">
        <f t="shared" si="7"/>
        <v>1623.3280000000002</v>
      </c>
    </row>
    <row r="55" spans="1:9" ht="15.75" hidden="1" customHeight="1">
      <c r="A55" s="18"/>
      <c r="B55" s="23" t="s">
        <v>39</v>
      </c>
      <c r="C55" s="35" t="s">
        <v>40</v>
      </c>
      <c r="D55" s="23" t="s">
        <v>42</v>
      </c>
      <c r="E55" s="74">
        <v>1</v>
      </c>
      <c r="F55" s="22">
        <v>0.02</v>
      </c>
      <c r="G55" s="27">
        <v>7412.92</v>
      </c>
      <c r="H55" s="75">
        <f t="shared" si="6"/>
        <v>0.14825839999999998</v>
      </c>
      <c r="I55" s="10">
        <f t="shared" si="7"/>
        <v>74.129199999999997</v>
      </c>
    </row>
    <row r="56" spans="1:9" ht="15.75" customHeight="1">
      <c r="A56" s="18"/>
      <c r="B56" s="23" t="s">
        <v>41</v>
      </c>
      <c r="C56" s="35" t="s">
        <v>94</v>
      </c>
      <c r="D56" s="161">
        <v>44193</v>
      </c>
      <c r="E56" s="74">
        <v>160</v>
      </c>
      <c r="F56" s="22">
        <f>SUM(E56)*3</f>
        <v>480</v>
      </c>
      <c r="G56" s="180">
        <v>97.93</v>
      </c>
      <c r="H56" s="75">
        <f t="shared" si="6"/>
        <v>47.006399999999999</v>
      </c>
      <c r="I56" s="10">
        <f>F56/3*G56</f>
        <v>15668.800000000001</v>
      </c>
    </row>
    <row r="57" spans="1:9" ht="15.75" customHeight="1">
      <c r="A57" s="190" t="s">
        <v>122</v>
      </c>
      <c r="B57" s="191"/>
      <c r="C57" s="191"/>
      <c r="D57" s="191"/>
      <c r="E57" s="191"/>
      <c r="F57" s="191"/>
      <c r="G57" s="191"/>
      <c r="H57" s="191"/>
      <c r="I57" s="192"/>
    </row>
    <row r="58" spans="1:9" ht="15.75" hidden="1" customHeight="1">
      <c r="A58" s="18"/>
      <c r="B58" s="92" t="s">
        <v>43</v>
      </c>
      <c r="C58" s="35"/>
      <c r="D58" s="23"/>
      <c r="E58" s="74"/>
      <c r="F58" s="22"/>
      <c r="G58" s="22"/>
      <c r="H58" s="75"/>
      <c r="I58" s="10"/>
    </row>
    <row r="59" spans="1:9" ht="31.5" hidden="1" customHeight="1">
      <c r="A59" s="18">
        <v>14</v>
      </c>
      <c r="B59" s="23" t="s">
        <v>130</v>
      </c>
      <c r="C59" s="35" t="s">
        <v>85</v>
      </c>
      <c r="D59" s="23" t="s">
        <v>114</v>
      </c>
      <c r="E59" s="74">
        <v>160</v>
      </c>
      <c r="F59" s="22">
        <f>SUM(E59*6/100)</f>
        <v>9.6</v>
      </c>
      <c r="G59" s="27">
        <v>2029.3</v>
      </c>
      <c r="H59" s="75">
        <f>SUM(F59*G59/1000)</f>
        <v>19.481279999999998</v>
      </c>
      <c r="I59" s="10">
        <f t="shared" ref="I59" si="8">F59/6*G59</f>
        <v>3246.8799999999997</v>
      </c>
    </row>
    <row r="60" spans="1:9" ht="17.25" hidden="1" customHeight="1">
      <c r="A60" s="18">
        <v>15</v>
      </c>
      <c r="B60" s="23" t="s">
        <v>145</v>
      </c>
      <c r="C60" s="35" t="s">
        <v>146</v>
      </c>
      <c r="D60" s="23" t="s">
        <v>66</v>
      </c>
      <c r="E60" s="74"/>
      <c r="F60" s="22">
        <v>3</v>
      </c>
      <c r="G60" s="27">
        <v>1582.05</v>
      </c>
      <c r="H60" s="75">
        <f>SUM(F60*G60/1000)</f>
        <v>4.7461499999999992</v>
      </c>
      <c r="I60" s="10">
        <f>G60*1.5</f>
        <v>2373.0749999999998</v>
      </c>
    </row>
    <row r="61" spans="1:9" ht="15.75" customHeight="1">
      <c r="A61" s="18"/>
      <c r="B61" s="92" t="s">
        <v>44</v>
      </c>
      <c r="C61" s="35"/>
      <c r="D61" s="23"/>
      <c r="E61" s="74"/>
      <c r="F61" s="22"/>
      <c r="G61" s="94"/>
      <c r="H61" s="75"/>
      <c r="I61" s="10"/>
    </row>
    <row r="62" spans="1:9" ht="15.75" hidden="1" customHeight="1">
      <c r="A62" s="18"/>
      <c r="B62" s="23" t="s">
        <v>45</v>
      </c>
      <c r="C62" s="35" t="s">
        <v>85</v>
      </c>
      <c r="D62" s="23" t="s">
        <v>54</v>
      </c>
      <c r="E62" s="74">
        <v>206</v>
      </c>
      <c r="F62" s="22">
        <f>SUM(E62/100)</f>
        <v>2.06</v>
      </c>
      <c r="G62" s="22">
        <v>1040.8399999999999</v>
      </c>
      <c r="H62" s="75">
        <f>F62*G62/1000</f>
        <v>2.1441303999999999</v>
      </c>
      <c r="I62" s="10">
        <v>0</v>
      </c>
    </row>
    <row r="63" spans="1:9" ht="15.75" customHeight="1">
      <c r="A63" s="18">
        <v>14</v>
      </c>
      <c r="B63" s="23" t="s">
        <v>119</v>
      </c>
      <c r="C63" s="35" t="s">
        <v>25</v>
      </c>
      <c r="D63" s="23" t="s">
        <v>185</v>
      </c>
      <c r="E63" s="74">
        <v>325</v>
      </c>
      <c r="F63" s="22">
        <v>2400</v>
      </c>
      <c r="G63" s="22">
        <v>1.4</v>
      </c>
      <c r="H63" s="75">
        <f>F63*G63/1000</f>
        <v>3.36</v>
      </c>
      <c r="I63" s="10">
        <f>F63/12*G63</f>
        <v>280</v>
      </c>
    </row>
    <row r="64" spans="1:9" ht="17.25" hidden="1" customHeight="1">
      <c r="A64" s="18"/>
      <c r="B64" s="93" t="s">
        <v>46</v>
      </c>
      <c r="C64" s="80"/>
      <c r="D64" s="81"/>
      <c r="E64" s="82"/>
      <c r="F64" s="83"/>
      <c r="G64" s="83"/>
      <c r="H64" s="84" t="s">
        <v>128</v>
      </c>
      <c r="I64" s="10"/>
    </row>
    <row r="65" spans="1:9" ht="15.75" hidden="1" customHeight="1">
      <c r="A65" s="18">
        <v>17</v>
      </c>
      <c r="B65" s="50" t="s">
        <v>47</v>
      </c>
      <c r="C65" s="31" t="s">
        <v>94</v>
      </c>
      <c r="D65" s="23" t="s">
        <v>66</v>
      </c>
      <c r="E65" s="12">
        <v>10</v>
      </c>
      <c r="F65" s="22">
        <f>SUM(E65)</f>
        <v>10</v>
      </c>
      <c r="G65" s="27">
        <v>291.68</v>
      </c>
      <c r="H65" s="64">
        <f t="shared" ref="H65:H84" si="9">SUM(F65*G65/1000)</f>
        <v>2.9168000000000003</v>
      </c>
      <c r="I65" s="10">
        <f>G65*1</f>
        <v>291.68</v>
      </c>
    </row>
    <row r="66" spans="1:9" ht="12.75" hidden="1" customHeight="1">
      <c r="A66" s="18"/>
      <c r="B66" s="50" t="s">
        <v>48</v>
      </c>
      <c r="C66" s="31" t="s">
        <v>94</v>
      </c>
      <c r="D66" s="23" t="s">
        <v>66</v>
      </c>
      <c r="E66" s="12">
        <v>5</v>
      </c>
      <c r="F66" s="22">
        <f>SUM(E66)</f>
        <v>5</v>
      </c>
      <c r="G66" s="27">
        <v>100.01</v>
      </c>
      <c r="H66" s="64">
        <f t="shared" si="9"/>
        <v>0.50004999999999999</v>
      </c>
      <c r="I66" s="10">
        <v>0</v>
      </c>
    </row>
    <row r="67" spans="1:9" ht="15.75" hidden="1" customHeight="1">
      <c r="A67" s="18"/>
      <c r="B67" s="50" t="s">
        <v>49</v>
      </c>
      <c r="C67" s="33" t="s">
        <v>95</v>
      </c>
      <c r="D67" s="30" t="s">
        <v>54</v>
      </c>
      <c r="E67" s="74">
        <v>24063</v>
      </c>
      <c r="F67" s="28">
        <f>SUM(E67/100)</f>
        <v>240.63</v>
      </c>
      <c r="G67" s="27">
        <v>278.24</v>
      </c>
      <c r="H67" s="64">
        <f t="shared" si="9"/>
        <v>66.952891199999996</v>
      </c>
      <c r="I67" s="10">
        <f>F67*G67</f>
        <v>66952.891199999998</v>
      </c>
    </row>
    <row r="68" spans="1:9" ht="18" hidden="1" customHeight="1">
      <c r="A68" s="18"/>
      <c r="B68" s="50" t="s">
        <v>50</v>
      </c>
      <c r="C68" s="31" t="s">
        <v>96</v>
      </c>
      <c r="D68" s="30" t="s">
        <v>54</v>
      </c>
      <c r="E68" s="74">
        <v>24063</v>
      </c>
      <c r="F68" s="27">
        <f>SUM(E68/1000)</f>
        <v>24.062999999999999</v>
      </c>
      <c r="G68" s="27">
        <v>216.68</v>
      </c>
      <c r="H68" s="64">
        <f t="shared" si="9"/>
        <v>5.21397084</v>
      </c>
      <c r="I68" s="10">
        <f t="shared" ref="I68:I72" si="10">F68*G68</f>
        <v>5213.97084</v>
      </c>
    </row>
    <row r="69" spans="1:9" ht="17.25" hidden="1" customHeight="1">
      <c r="A69" s="18"/>
      <c r="B69" s="50" t="s">
        <v>51</v>
      </c>
      <c r="C69" s="31" t="s">
        <v>77</v>
      </c>
      <c r="D69" s="30" t="s">
        <v>54</v>
      </c>
      <c r="E69" s="74">
        <v>1300</v>
      </c>
      <c r="F69" s="27">
        <f>SUM(E69/100)</f>
        <v>13</v>
      </c>
      <c r="G69" s="27">
        <v>2720.94</v>
      </c>
      <c r="H69" s="64">
        <f t="shared" si="9"/>
        <v>35.372219999999999</v>
      </c>
      <c r="I69" s="10">
        <f t="shared" si="10"/>
        <v>35372.22</v>
      </c>
    </row>
    <row r="70" spans="1:9" ht="18" hidden="1" customHeight="1">
      <c r="A70" s="18"/>
      <c r="B70" s="46" t="s">
        <v>71</v>
      </c>
      <c r="C70" s="31" t="s">
        <v>32</v>
      </c>
      <c r="D70" s="30"/>
      <c r="E70" s="74">
        <v>10.4</v>
      </c>
      <c r="F70" s="27">
        <f>SUM(E70)</f>
        <v>10.4</v>
      </c>
      <c r="G70" s="27">
        <v>42.61</v>
      </c>
      <c r="H70" s="64">
        <f t="shared" si="9"/>
        <v>0.44314399999999998</v>
      </c>
      <c r="I70" s="10">
        <f t="shared" si="10"/>
        <v>443.14400000000001</v>
      </c>
    </row>
    <row r="71" spans="1:9" ht="17.25" hidden="1" customHeight="1">
      <c r="A71" s="18"/>
      <c r="B71" s="46" t="s">
        <v>72</v>
      </c>
      <c r="C71" s="31" t="s">
        <v>32</v>
      </c>
      <c r="D71" s="30"/>
      <c r="E71" s="74">
        <v>10.4</v>
      </c>
      <c r="F71" s="27">
        <f>SUM(E71)</f>
        <v>10.4</v>
      </c>
      <c r="G71" s="27">
        <v>46.04</v>
      </c>
      <c r="H71" s="64">
        <f t="shared" si="9"/>
        <v>0.47881600000000002</v>
      </c>
      <c r="I71" s="10">
        <f t="shared" si="10"/>
        <v>478.81600000000003</v>
      </c>
    </row>
    <row r="72" spans="1:9" ht="18.75" hidden="1" customHeight="1">
      <c r="A72" s="18"/>
      <c r="B72" s="30" t="s">
        <v>57</v>
      </c>
      <c r="C72" s="31" t="s">
        <v>58</v>
      </c>
      <c r="D72" s="30" t="s">
        <v>54</v>
      </c>
      <c r="E72" s="12">
        <v>5</v>
      </c>
      <c r="F72" s="22">
        <f>SUM(E72)</f>
        <v>5</v>
      </c>
      <c r="G72" s="27">
        <v>65.42</v>
      </c>
      <c r="H72" s="64">
        <f t="shared" si="9"/>
        <v>0.3271</v>
      </c>
      <c r="I72" s="10">
        <f t="shared" si="10"/>
        <v>327.10000000000002</v>
      </c>
    </row>
    <row r="73" spans="1:9" ht="15.75" customHeight="1">
      <c r="A73" s="18"/>
      <c r="B73" s="43" t="s">
        <v>73</v>
      </c>
      <c r="C73" s="31"/>
      <c r="D73" s="30"/>
      <c r="E73" s="12"/>
      <c r="F73" s="27"/>
      <c r="G73" s="27"/>
      <c r="H73" s="64" t="s">
        <v>128</v>
      </c>
      <c r="I73" s="10"/>
    </row>
    <row r="74" spans="1:9" ht="17.25" hidden="1" customHeight="1">
      <c r="A74" s="18"/>
      <c r="B74" s="30" t="s">
        <v>147</v>
      </c>
      <c r="C74" s="31" t="s">
        <v>94</v>
      </c>
      <c r="D74" s="23" t="s">
        <v>66</v>
      </c>
      <c r="E74" s="12">
        <v>1</v>
      </c>
      <c r="F74" s="27">
        <v>1</v>
      </c>
      <c r="G74" s="27">
        <v>1029.1199999999999</v>
      </c>
      <c r="H74" s="64">
        <f t="shared" ref="H74:H77" si="11">SUM(F74*G74/1000)</f>
        <v>1.0291199999999998</v>
      </c>
      <c r="I74" s="10">
        <v>0</v>
      </c>
    </row>
    <row r="75" spans="1:9" ht="14.25" hidden="1" customHeight="1">
      <c r="A75" s="18"/>
      <c r="B75" s="30" t="s">
        <v>148</v>
      </c>
      <c r="C75" s="31" t="s">
        <v>149</v>
      </c>
      <c r="D75" s="30"/>
      <c r="E75" s="12">
        <v>1</v>
      </c>
      <c r="F75" s="27">
        <f>E75</f>
        <v>1</v>
      </c>
      <c r="G75" s="27">
        <v>735</v>
      </c>
      <c r="H75" s="64">
        <f t="shared" si="11"/>
        <v>0.73499999999999999</v>
      </c>
      <c r="I75" s="10">
        <v>0</v>
      </c>
    </row>
    <row r="76" spans="1:9" ht="17.25" hidden="1" customHeight="1">
      <c r="A76" s="18">
        <v>18</v>
      </c>
      <c r="B76" s="30" t="s">
        <v>74</v>
      </c>
      <c r="C76" s="31" t="s">
        <v>75</v>
      </c>
      <c r="D76" s="23" t="s">
        <v>66</v>
      </c>
      <c r="E76" s="12">
        <v>7</v>
      </c>
      <c r="F76" s="27">
        <f>E76/10</f>
        <v>0.7</v>
      </c>
      <c r="G76" s="27">
        <v>657.87</v>
      </c>
      <c r="H76" s="64">
        <f t="shared" si="11"/>
        <v>0.46050899999999995</v>
      </c>
      <c r="I76" s="10">
        <f>G76*0.4</f>
        <v>263.14800000000002</v>
      </c>
    </row>
    <row r="77" spans="1:9" ht="18.75" hidden="1" customHeight="1">
      <c r="A77" s="18"/>
      <c r="B77" s="30" t="s">
        <v>115</v>
      </c>
      <c r="C77" s="31" t="s">
        <v>94</v>
      </c>
      <c r="D77" s="23" t="s">
        <v>66</v>
      </c>
      <c r="E77" s="12">
        <v>1</v>
      </c>
      <c r="F77" s="22">
        <f>SUM(E77)</f>
        <v>1</v>
      </c>
      <c r="G77" s="27">
        <v>1118.72</v>
      </c>
      <c r="H77" s="64">
        <f t="shared" si="11"/>
        <v>1.1187199999999999</v>
      </c>
      <c r="I77" s="10">
        <v>0</v>
      </c>
    </row>
    <row r="78" spans="1:9" ht="14.25" hidden="1" customHeight="1">
      <c r="A78" s="18"/>
      <c r="B78" s="66" t="s">
        <v>150</v>
      </c>
      <c r="C78" s="53" t="s">
        <v>94</v>
      </c>
      <c r="D78" s="23" t="s">
        <v>66</v>
      </c>
      <c r="E78" s="12">
        <v>1</v>
      </c>
      <c r="F78" s="52">
        <v>1</v>
      </c>
      <c r="G78" s="27">
        <v>1605.83</v>
      </c>
      <c r="H78" s="64">
        <f>SUM(F78*G78/1000)</f>
        <v>1.6058299999999999</v>
      </c>
      <c r="I78" s="10">
        <v>0</v>
      </c>
    </row>
    <row r="79" spans="1:9" ht="15.75" customHeight="1">
      <c r="A79" s="18">
        <v>15</v>
      </c>
      <c r="B79" s="66" t="s">
        <v>151</v>
      </c>
      <c r="C79" s="53" t="s">
        <v>94</v>
      </c>
      <c r="D79" s="30" t="s">
        <v>185</v>
      </c>
      <c r="E79" s="85">
        <v>2</v>
      </c>
      <c r="F79" s="83">
        <f>E79*12</f>
        <v>24</v>
      </c>
      <c r="G79" s="174">
        <v>420</v>
      </c>
      <c r="H79" s="64">
        <f t="shared" ref="H79:H80" si="12">SUM(F79*G79/1000)</f>
        <v>10.08</v>
      </c>
      <c r="I79" s="10">
        <f>F79/12*G79</f>
        <v>840</v>
      </c>
    </row>
    <row r="80" spans="1:9" ht="15.75" customHeight="1">
      <c r="A80" s="18">
        <v>16</v>
      </c>
      <c r="B80" s="60" t="s">
        <v>116</v>
      </c>
      <c r="C80" s="31"/>
      <c r="D80" s="30" t="s">
        <v>180</v>
      </c>
      <c r="E80" s="12">
        <v>1</v>
      </c>
      <c r="F80" s="27">
        <v>12</v>
      </c>
      <c r="G80" s="118">
        <v>1829</v>
      </c>
      <c r="H80" s="64">
        <f t="shared" si="12"/>
        <v>21.948</v>
      </c>
      <c r="I80" s="10">
        <f>F80/12*G80</f>
        <v>1829</v>
      </c>
    </row>
    <row r="81" spans="1:9" ht="15.75" customHeight="1">
      <c r="A81" s="18"/>
      <c r="B81" s="95" t="s">
        <v>152</v>
      </c>
      <c r="C81" s="53"/>
      <c r="D81" s="30"/>
      <c r="E81" s="12"/>
      <c r="F81" s="27"/>
      <c r="G81" s="27"/>
      <c r="H81" s="64"/>
      <c r="I81" s="10"/>
    </row>
    <row r="82" spans="1:9" ht="15.75" customHeight="1">
      <c r="A82" s="18">
        <v>17</v>
      </c>
      <c r="B82" s="30" t="s">
        <v>153</v>
      </c>
      <c r="C82" s="36" t="s">
        <v>154</v>
      </c>
      <c r="D82" s="30"/>
      <c r="E82" s="12">
        <v>4497.7</v>
      </c>
      <c r="F82" s="27">
        <f>SUM(E82*12)</f>
        <v>53972.399999999994</v>
      </c>
      <c r="G82" s="27">
        <v>2.6</v>
      </c>
      <c r="H82" s="64">
        <f t="shared" ref="H82" si="13">SUM(F82*G82/1000)</f>
        <v>140.32823999999999</v>
      </c>
      <c r="I82" s="10">
        <f>F82/12*G82</f>
        <v>11694.02</v>
      </c>
    </row>
    <row r="83" spans="1:9" ht="15.75" hidden="1" customHeight="1">
      <c r="A83" s="18"/>
      <c r="B83" s="44" t="s">
        <v>76</v>
      </c>
      <c r="C83" s="31"/>
      <c r="D83" s="30"/>
      <c r="E83" s="12"/>
      <c r="F83" s="27"/>
      <c r="G83" s="27" t="s">
        <v>128</v>
      </c>
      <c r="H83" s="64" t="s">
        <v>128</v>
      </c>
      <c r="I83" s="10"/>
    </row>
    <row r="84" spans="1:9" ht="15.75" hidden="1" customHeight="1">
      <c r="A84" s="18"/>
      <c r="B84" s="32" t="s">
        <v>99</v>
      </c>
      <c r="C84" s="33" t="s">
        <v>77</v>
      </c>
      <c r="D84" s="50"/>
      <c r="E84" s="87"/>
      <c r="F84" s="28">
        <v>0.6</v>
      </c>
      <c r="G84" s="28">
        <v>3619.09</v>
      </c>
      <c r="H84" s="64">
        <f t="shared" si="9"/>
        <v>2.1714540000000002</v>
      </c>
      <c r="I84" s="10">
        <v>0</v>
      </c>
    </row>
    <row r="85" spans="1:9" ht="15.75" hidden="1" customHeight="1">
      <c r="A85" s="18"/>
      <c r="B85" s="68" t="s">
        <v>91</v>
      </c>
      <c r="C85" s="62"/>
      <c r="D85" s="20"/>
      <c r="E85" s="21"/>
      <c r="F85" s="59"/>
      <c r="G85" s="59"/>
      <c r="H85" s="88">
        <f>SUM(H59:H84)</f>
        <v>321.41342544000003</v>
      </c>
      <c r="I85" s="10"/>
    </row>
    <row r="86" spans="1:9" ht="15.75" hidden="1" customHeight="1">
      <c r="A86" s="18"/>
      <c r="B86" s="23" t="s">
        <v>97</v>
      </c>
      <c r="C86" s="89"/>
      <c r="D86" s="90"/>
      <c r="E86" s="91"/>
      <c r="F86" s="29">
        <v>1</v>
      </c>
      <c r="G86" s="29">
        <v>18792</v>
      </c>
      <c r="H86" s="64">
        <f>G86*F86/1000</f>
        <v>18.792000000000002</v>
      </c>
      <c r="I86" s="10">
        <v>0</v>
      </c>
    </row>
    <row r="87" spans="1:9" ht="15.75" customHeight="1">
      <c r="A87" s="190" t="s">
        <v>124</v>
      </c>
      <c r="B87" s="191"/>
      <c r="C87" s="191"/>
      <c r="D87" s="191"/>
      <c r="E87" s="191"/>
      <c r="F87" s="191"/>
      <c r="G87" s="191"/>
      <c r="H87" s="191"/>
      <c r="I87" s="192"/>
    </row>
    <row r="88" spans="1:9" ht="15.75" customHeight="1">
      <c r="A88" s="18">
        <v>18</v>
      </c>
      <c r="B88" s="23" t="s">
        <v>98</v>
      </c>
      <c r="C88" s="31" t="s">
        <v>55</v>
      </c>
      <c r="D88" s="51"/>
      <c r="E88" s="27">
        <v>4497.7</v>
      </c>
      <c r="F88" s="27">
        <f>SUM(E88*12)</f>
        <v>53972.399999999994</v>
      </c>
      <c r="G88" s="27">
        <v>3.5</v>
      </c>
      <c r="H88" s="64">
        <f>SUM(F88*G88/1000)</f>
        <v>188.90339999999998</v>
      </c>
      <c r="I88" s="10">
        <f>F88/12*G88</f>
        <v>15741.949999999999</v>
      </c>
    </row>
    <row r="89" spans="1:9" ht="30.75" customHeight="1">
      <c r="A89" s="18">
        <v>19</v>
      </c>
      <c r="B89" s="30" t="s">
        <v>247</v>
      </c>
      <c r="C89" s="31" t="s">
        <v>248</v>
      </c>
      <c r="D89" s="65"/>
      <c r="E89" s="74">
        <f>E88</f>
        <v>4497.7</v>
      </c>
      <c r="F89" s="27">
        <f>E89*12</f>
        <v>53972.399999999994</v>
      </c>
      <c r="G89" s="27">
        <v>3.2</v>
      </c>
      <c r="H89" s="64">
        <f>F89*G89/1000</f>
        <v>172.71168</v>
      </c>
      <c r="I89" s="10">
        <f>F89/12*G89</f>
        <v>14392.64</v>
      </c>
    </row>
    <row r="90" spans="1:9" ht="15.75" customHeight="1">
      <c r="A90" s="18"/>
      <c r="B90" s="34" t="s">
        <v>80</v>
      </c>
      <c r="C90" s="62"/>
      <c r="D90" s="61"/>
      <c r="E90" s="59"/>
      <c r="F90" s="59"/>
      <c r="G90" s="59"/>
      <c r="H90" s="63">
        <f>SUM(H77)</f>
        <v>1.1187199999999999</v>
      </c>
      <c r="I90" s="59">
        <f>I89+I88+I82+I80+I79+I63+I56+I52+I45+I42+I40+I39+I38+I26+I18+I17+I16</f>
        <v>94785.378716000007</v>
      </c>
    </row>
    <row r="91" spans="1:9" ht="15.75" customHeight="1">
      <c r="A91" s="193" t="s">
        <v>60</v>
      </c>
      <c r="B91" s="194"/>
      <c r="C91" s="194"/>
      <c r="D91" s="194"/>
      <c r="E91" s="194"/>
      <c r="F91" s="194"/>
      <c r="G91" s="194"/>
      <c r="H91" s="194"/>
      <c r="I91" s="195"/>
    </row>
    <row r="92" spans="1:9" ht="18.75" customHeight="1">
      <c r="A92" s="18">
        <v>20</v>
      </c>
      <c r="B92" s="67" t="s">
        <v>157</v>
      </c>
      <c r="C92" s="53" t="s">
        <v>172</v>
      </c>
      <c r="D92" s="65" t="s">
        <v>310</v>
      </c>
      <c r="E92" s="27"/>
      <c r="F92" s="27">
        <v>61</v>
      </c>
      <c r="G92" s="27">
        <v>284</v>
      </c>
      <c r="H92" s="64"/>
      <c r="I92" s="10">
        <v>0</v>
      </c>
    </row>
    <row r="93" spans="1:9" ht="15.75" customHeight="1">
      <c r="A93" s="18">
        <v>21</v>
      </c>
      <c r="B93" s="66" t="s">
        <v>173</v>
      </c>
      <c r="C93" s="53" t="s">
        <v>134</v>
      </c>
      <c r="D93" s="65" t="s">
        <v>280</v>
      </c>
      <c r="E93" s="27"/>
      <c r="F93" s="27">
        <v>2</v>
      </c>
      <c r="G93" s="27">
        <v>222.63</v>
      </c>
      <c r="H93" s="64"/>
      <c r="I93" s="10">
        <f>G93*1</f>
        <v>222.63</v>
      </c>
    </row>
    <row r="94" spans="1:9" ht="15" customHeight="1">
      <c r="A94" s="18">
        <v>22</v>
      </c>
      <c r="B94" s="66" t="s">
        <v>271</v>
      </c>
      <c r="C94" s="53" t="s">
        <v>29</v>
      </c>
      <c r="D94" s="65" t="s">
        <v>185</v>
      </c>
      <c r="E94" s="27"/>
      <c r="F94" s="27">
        <v>0.2</v>
      </c>
      <c r="G94" s="27">
        <v>1356.96</v>
      </c>
      <c r="H94" s="64"/>
      <c r="I94" s="10">
        <v>0</v>
      </c>
    </row>
    <row r="95" spans="1:9" ht="16.5" customHeight="1">
      <c r="A95" s="18">
        <v>23</v>
      </c>
      <c r="B95" s="173" t="s">
        <v>277</v>
      </c>
      <c r="C95" s="36" t="s">
        <v>209</v>
      </c>
      <c r="D95" s="65" t="s">
        <v>279</v>
      </c>
      <c r="E95" s="27"/>
      <c r="F95" s="27">
        <v>0.12</v>
      </c>
      <c r="G95" s="27">
        <v>433.19</v>
      </c>
      <c r="H95" s="64"/>
      <c r="I95" s="10">
        <f>G95*0.12</f>
        <v>51.982799999999997</v>
      </c>
    </row>
    <row r="96" spans="1:9" ht="16.5" customHeight="1">
      <c r="A96" s="18"/>
      <c r="B96" s="66" t="s">
        <v>278</v>
      </c>
      <c r="C96" s="53" t="s">
        <v>53</v>
      </c>
      <c r="D96" s="65" t="s">
        <v>279</v>
      </c>
      <c r="E96" s="27"/>
      <c r="F96" s="27">
        <v>1.2E-2</v>
      </c>
      <c r="G96" s="27">
        <v>36250.239999999998</v>
      </c>
      <c r="H96" s="64"/>
      <c r="I96" s="10">
        <f>G96*0.012</f>
        <v>435.00288</v>
      </c>
    </row>
    <row r="97" spans="1:9">
      <c r="A97" s="18"/>
      <c r="B97" s="41" t="s">
        <v>52</v>
      </c>
      <c r="C97" s="37"/>
      <c r="D97" s="47"/>
      <c r="E97" s="37">
        <v>1</v>
      </c>
      <c r="F97" s="37"/>
      <c r="G97" s="37"/>
      <c r="H97" s="37"/>
      <c r="I97" s="21">
        <f>SUM(I92:I96)</f>
        <v>709.61568</v>
      </c>
    </row>
    <row r="98" spans="1:9" ht="15.75" customHeight="1">
      <c r="A98" s="18"/>
      <c r="B98" s="45" t="s">
        <v>79</v>
      </c>
      <c r="C98" s="11"/>
      <c r="D98" s="11"/>
      <c r="E98" s="38"/>
      <c r="F98" s="38"/>
      <c r="G98" s="39"/>
      <c r="H98" s="39"/>
      <c r="I98" s="12">
        <v>0</v>
      </c>
    </row>
    <row r="99" spans="1:9" ht="15.75" customHeight="1">
      <c r="A99" s="48"/>
      <c r="B99" s="42" t="s">
        <v>155</v>
      </c>
      <c r="C99" s="26"/>
      <c r="D99" s="26"/>
      <c r="E99" s="26"/>
      <c r="F99" s="26"/>
      <c r="G99" s="26"/>
      <c r="H99" s="26"/>
      <c r="I99" s="40">
        <f>I90+I97</f>
        <v>95494.994396000009</v>
      </c>
    </row>
    <row r="100" spans="1:9" ht="15.75">
      <c r="A100" s="196" t="s">
        <v>311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 customHeight="1">
      <c r="A101" s="54"/>
      <c r="B101" s="197" t="s">
        <v>312</v>
      </c>
      <c r="C101" s="197"/>
      <c r="D101" s="197"/>
      <c r="E101" s="197"/>
      <c r="F101" s="197"/>
      <c r="G101" s="197"/>
      <c r="H101" s="57"/>
      <c r="I101" s="2"/>
    </row>
    <row r="102" spans="1:9" ht="15.75" customHeight="1">
      <c r="A102" s="73"/>
      <c r="B102" s="184" t="s">
        <v>6</v>
      </c>
      <c r="C102" s="184"/>
      <c r="D102" s="184"/>
      <c r="E102" s="184"/>
      <c r="F102" s="184"/>
      <c r="G102" s="184"/>
      <c r="H102" s="13"/>
      <c r="I102" s="4"/>
    </row>
    <row r="103" spans="1:9" ht="15.75" customHeight="1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 customHeight="1">
      <c r="A104" s="198" t="s">
        <v>7</v>
      </c>
      <c r="B104" s="198"/>
      <c r="C104" s="198"/>
      <c r="D104" s="198"/>
      <c r="E104" s="198"/>
      <c r="F104" s="198"/>
      <c r="G104" s="198"/>
      <c r="H104" s="198"/>
      <c r="I104" s="198"/>
    </row>
    <row r="105" spans="1:9" ht="15.75" customHeight="1">
      <c r="A105" s="198" t="s">
        <v>8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>
      <c r="A106" s="188" t="s">
        <v>61</v>
      </c>
      <c r="B106" s="188"/>
      <c r="C106" s="188"/>
      <c r="D106" s="188"/>
      <c r="E106" s="188"/>
      <c r="F106" s="188"/>
      <c r="G106" s="188"/>
      <c r="H106" s="188"/>
      <c r="I106" s="188"/>
    </row>
    <row r="107" spans="1:9" ht="15.75" customHeight="1">
      <c r="A107" s="8"/>
    </row>
    <row r="108" spans="1:9" ht="15.75">
      <c r="A108" s="182" t="s">
        <v>9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15.75" customHeight="1">
      <c r="A109" s="3"/>
    </row>
    <row r="110" spans="1:9" ht="15.75">
      <c r="B110" s="70" t="s">
        <v>10</v>
      </c>
      <c r="C110" s="183" t="s">
        <v>267</v>
      </c>
      <c r="D110" s="183"/>
      <c r="E110" s="183"/>
      <c r="F110" s="55"/>
      <c r="I110" s="72"/>
    </row>
    <row r="111" spans="1:9">
      <c r="A111" s="73"/>
      <c r="C111" s="184" t="s">
        <v>11</v>
      </c>
      <c r="D111" s="184"/>
      <c r="E111" s="184"/>
      <c r="F111" s="13"/>
      <c r="I111" s="71" t="s">
        <v>12</v>
      </c>
    </row>
    <row r="112" spans="1:9" ht="15.75">
      <c r="A112" s="14"/>
      <c r="C112" s="9"/>
      <c r="D112" s="9"/>
      <c r="G112" s="9"/>
      <c r="H112" s="9"/>
    </row>
    <row r="113" spans="1:9" ht="15.75" customHeight="1">
      <c r="B113" s="70" t="s">
        <v>13</v>
      </c>
      <c r="C113" s="185"/>
      <c r="D113" s="185"/>
      <c r="E113" s="185"/>
      <c r="F113" s="56"/>
      <c r="I113" s="72"/>
    </row>
    <row r="114" spans="1:9" ht="15.75" customHeight="1">
      <c r="A114" s="73"/>
      <c r="C114" s="186" t="s">
        <v>11</v>
      </c>
      <c r="D114" s="186"/>
      <c r="E114" s="186"/>
      <c r="F114" s="73"/>
      <c r="I114" s="71" t="s">
        <v>12</v>
      </c>
    </row>
    <row r="115" spans="1:9" ht="15.75" customHeight="1">
      <c r="A115" s="3" t="s">
        <v>14</v>
      </c>
    </row>
    <row r="116" spans="1:9">
      <c r="A116" s="187" t="s">
        <v>15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45" customHeight="1">
      <c r="A117" s="181" t="s">
        <v>16</v>
      </c>
      <c r="B117" s="181"/>
      <c r="C117" s="181"/>
      <c r="D117" s="181"/>
      <c r="E117" s="181"/>
      <c r="F117" s="181"/>
      <c r="G117" s="181"/>
      <c r="H117" s="181"/>
      <c r="I117" s="181"/>
    </row>
    <row r="118" spans="1:9" ht="30" customHeight="1">
      <c r="A118" s="181" t="s">
        <v>17</v>
      </c>
      <c r="B118" s="181"/>
      <c r="C118" s="181"/>
      <c r="D118" s="181"/>
      <c r="E118" s="181"/>
      <c r="F118" s="181"/>
      <c r="G118" s="181"/>
      <c r="H118" s="181"/>
      <c r="I118" s="181"/>
    </row>
    <row r="119" spans="1:9" ht="30" customHeight="1">
      <c r="A119" s="181" t="s">
        <v>21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15" customHeight="1">
      <c r="A120" s="181" t="s">
        <v>20</v>
      </c>
      <c r="B120" s="181"/>
      <c r="C120" s="181"/>
      <c r="D120" s="181"/>
      <c r="E120" s="181"/>
      <c r="F120" s="181"/>
      <c r="G120" s="181"/>
      <c r="H120" s="181"/>
      <c r="I120" s="181"/>
    </row>
  </sheetData>
  <mergeCells count="28">
    <mergeCell ref="A117:I117"/>
    <mergeCell ref="A118:I118"/>
    <mergeCell ref="A119:I119"/>
    <mergeCell ref="A120:I120"/>
    <mergeCell ref="A108:I108"/>
    <mergeCell ref="C110:E110"/>
    <mergeCell ref="C111:E111"/>
    <mergeCell ref="C113:E113"/>
    <mergeCell ref="C114:E114"/>
    <mergeCell ref="A116:I116"/>
    <mergeCell ref="A106:I106"/>
    <mergeCell ref="A15:I15"/>
    <mergeCell ref="A28:I28"/>
    <mergeCell ref="A46:I46"/>
    <mergeCell ref="A57:I57"/>
    <mergeCell ref="A87:I87"/>
    <mergeCell ref="A91:I91"/>
    <mergeCell ref="A100:I100"/>
    <mergeCell ref="B101:G101"/>
    <mergeCell ref="B102:G102"/>
    <mergeCell ref="A104:I104"/>
    <mergeCell ref="A105:I105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22"/>
  <sheetViews>
    <sheetView workbookViewId="0">
      <selection activeCell="K104" sqref="K10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0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133</v>
      </c>
      <c r="B3" s="200"/>
      <c r="C3" s="200"/>
      <c r="D3" s="200"/>
      <c r="E3" s="200"/>
      <c r="F3" s="200"/>
      <c r="G3" s="200"/>
      <c r="H3" s="200"/>
      <c r="I3" s="200"/>
    </row>
    <row r="4" spans="1:9" ht="31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199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01"/>
      <c r="C6" s="101"/>
      <c r="D6" s="101"/>
      <c r="E6" s="101"/>
      <c r="F6" s="101"/>
      <c r="G6" s="101"/>
      <c r="H6" s="101"/>
      <c r="I6" s="19">
        <v>43890</v>
      </c>
    </row>
    <row r="7" spans="1:9" ht="15.75">
      <c r="B7" s="99"/>
      <c r="C7" s="99"/>
      <c r="D7" s="99"/>
      <c r="E7" s="2"/>
      <c r="F7" s="2"/>
      <c r="G7" s="2"/>
      <c r="H7" s="2"/>
    </row>
    <row r="8" spans="1:9" ht="78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47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 ht="15.7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t="15.75" hidden="1" customHeight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F19/2*G19</f>
        <v>428.48639999999995</v>
      </c>
    </row>
    <row r="20" spans="1:9" ht="15.75" hidden="1" customHeight="1">
      <c r="A20" s="18"/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t="15.75" hidden="1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t="15.75" hidden="1" customHeight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 t="shared" si="1"/>
        <v>4.67544</v>
      </c>
    </row>
    <row r="24" spans="1:9" ht="15.75" hidden="1" customHeight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si="1"/>
        <v>163.55840000000001</v>
      </c>
    </row>
    <row r="25" spans="1:9" ht="15.75" customHeight="1">
      <c r="A25" s="18">
        <v>4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 ht="15.75" customHeight="1">
      <c r="A26" s="18">
        <v>5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 ht="15.75" customHeight="1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15.75" hidden="1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5.75" hidden="1" customHeight="1">
      <c r="A29" s="18"/>
      <c r="B29" s="23" t="s">
        <v>93</v>
      </c>
      <c r="C29" s="35" t="s">
        <v>87</v>
      </c>
      <c r="D29" s="23" t="s">
        <v>135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5" si="2">SUM(F29*G29/1000)</f>
        <v>6.2509574400000005</v>
      </c>
      <c r="I29" s="10">
        <f t="shared" ref="I29:I33" si="3">F29/6*G29</f>
        <v>1041.8262400000001</v>
      </c>
    </row>
    <row r="30" spans="1:9" ht="31.5" hidden="1" customHeight="1">
      <c r="A30" s="18"/>
      <c r="B30" s="23" t="s">
        <v>131</v>
      </c>
      <c r="C30" s="35" t="s">
        <v>87</v>
      </c>
      <c r="D30" s="23" t="s">
        <v>136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2"/>
        <v>3.0610310399999996</v>
      </c>
      <c r="I30" s="10">
        <f t="shared" si="3"/>
        <v>510.17183999999992</v>
      </c>
    </row>
    <row r="31" spans="1:9" ht="15.75" hidden="1" customHeight="1">
      <c r="A31" s="18"/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2"/>
        <v>2.5233035100000003</v>
      </c>
      <c r="I31" s="10">
        <f>F31*G31</f>
        <v>2523.3035100000002</v>
      </c>
    </row>
    <row r="32" spans="1:9" ht="15.75" hidden="1" customHeight="1">
      <c r="A32" s="18"/>
      <c r="B32" s="23" t="s">
        <v>137</v>
      </c>
      <c r="C32" s="35" t="s">
        <v>40</v>
      </c>
      <c r="D32" s="23" t="s">
        <v>138</v>
      </c>
      <c r="E32" s="22">
        <v>8</v>
      </c>
      <c r="F32" s="22">
        <f>SUM(E32*48/100)</f>
        <v>3.84</v>
      </c>
      <c r="G32" s="22">
        <v>1707.63</v>
      </c>
      <c r="H32" s="75">
        <f t="shared" si="2"/>
        <v>6.5572992000000001</v>
      </c>
      <c r="I32" s="10">
        <f t="shared" si="3"/>
        <v>1092.8832</v>
      </c>
    </row>
    <row r="33" spans="1:9" ht="15.75" hidden="1" customHeight="1">
      <c r="A33" s="18"/>
      <c r="B33" s="23" t="s">
        <v>92</v>
      </c>
      <c r="C33" s="35" t="s">
        <v>30</v>
      </c>
      <c r="D33" s="23" t="s">
        <v>63</v>
      </c>
      <c r="E33" s="77">
        <f>1/3</f>
        <v>0.33333333333333331</v>
      </c>
      <c r="F33" s="22">
        <f>155/3</f>
        <v>51.666666666666664</v>
      </c>
      <c r="G33" s="22">
        <v>74.349999999999994</v>
      </c>
      <c r="H33" s="75">
        <f t="shared" si="2"/>
        <v>3.841416666666666</v>
      </c>
      <c r="I33" s="10">
        <f t="shared" si="3"/>
        <v>640.23611111111109</v>
      </c>
    </row>
    <row r="34" spans="1:9" ht="15.75" hidden="1" customHeight="1">
      <c r="A34" s="18"/>
      <c r="B34" s="23" t="s">
        <v>64</v>
      </c>
      <c r="C34" s="35" t="s">
        <v>32</v>
      </c>
      <c r="D34" s="23" t="s">
        <v>66</v>
      </c>
      <c r="E34" s="74"/>
      <c r="F34" s="22">
        <v>2</v>
      </c>
      <c r="G34" s="22">
        <v>250.92</v>
      </c>
      <c r="H34" s="75">
        <f t="shared" si="2"/>
        <v>0.50183999999999995</v>
      </c>
      <c r="I34" s="10">
        <v>0</v>
      </c>
    </row>
    <row r="35" spans="1:9" ht="15.75" hidden="1" customHeight="1">
      <c r="A35" s="18"/>
      <c r="B35" s="23" t="s">
        <v>65</v>
      </c>
      <c r="C35" s="35" t="s">
        <v>31</v>
      </c>
      <c r="D35" s="23" t="s">
        <v>66</v>
      </c>
      <c r="E35" s="74"/>
      <c r="F35" s="22">
        <v>3</v>
      </c>
      <c r="G35" s="22">
        <v>1490.31</v>
      </c>
      <c r="H35" s="75">
        <f t="shared" si="2"/>
        <v>4.4709300000000001</v>
      </c>
      <c r="I35" s="10">
        <v>0</v>
      </c>
    </row>
    <row r="36" spans="1:9" ht="15.75" customHeight="1">
      <c r="A36" s="18"/>
      <c r="B36" s="92" t="s">
        <v>5</v>
      </c>
      <c r="C36" s="35"/>
      <c r="D36" s="23"/>
      <c r="E36" s="74"/>
      <c r="F36" s="22"/>
      <c r="G36" s="22"/>
      <c r="H36" s="75" t="s">
        <v>128</v>
      </c>
      <c r="I36" s="10"/>
    </row>
    <row r="37" spans="1:9" ht="15.75" customHeight="1">
      <c r="A37" s="18">
        <v>6</v>
      </c>
      <c r="B37" s="24" t="s">
        <v>26</v>
      </c>
      <c r="C37" s="35" t="s">
        <v>31</v>
      </c>
      <c r="D37" s="23" t="s">
        <v>200</v>
      </c>
      <c r="E37" s="74"/>
      <c r="F37" s="22">
        <v>8</v>
      </c>
      <c r="G37" s="22">
        <v>2003</v>
      </c>
      <c r="H37" s="75">
        <f t="shared" ref="H37:H44" si="4">SUM(F37*G37/1000)</f>
        <v>16.024000000000001</v>
      </c>
      <c r="I37" s="10">
        <f>G37*0.5</f>
        <v>1001.5</v>
      </c>
    </row>
    <row r="38" spans="1:9" ht="15.75" customHeight="1">
      <c r="A38" s="18">
        <v>7</v>
      </c>
      <c r="B38" s="24" t="s">
        <v>67</v>
      </c>
      <c r="C38" s="49" t="s">
        <v>29</v>
      </c>
      <c r="D38" s="24" t="s">
        <v>182</v>
      </c>
      <c r="E38" s="25">
        <v>188</v>
      </c>
      <c r="F38" s="25">
        <f>SUM(E38*26/1000)</f>
        <v>4.8879999999999999</v>
      </c>
      <c r="G38" s="25">
        <v>2757.78</v>
      </c>
      <c r="H38" s="75">
        <f t="shared" si="4"/>
        <v>13.48002864</v>
      </c>
      <c r="I38" s="10">
        <f t="shared" ref="I38:I44" si="5">F38/6*G38</f>
        <v>2246.6714400000001</v>
      </c>
    </row>
    <row r="39" spans="1:9" ht="15.75" customHeight="1">
      <c r="A39" s="18">
        <v>8</v>
      </c>
      <c r="B39" s="23" t="s">
        <v>68</v>
      </c>
      <c r="C39" s="35" t="s">
        <v>29</v>
      </c>
      <c r="D39" s="23" t="s">
        <v>183</v>
      </c>
      <c r="E39" s="22">
        <v>188</v>
      </c>
      <c r="F39" s="25">
        <f>SUM(E39*155/1000)</f>
        <v>29.14</v>
      </c>
      <c r="G39" s="22">
        <v>460.02</v>
      </c>
      <c r="H39" s="75">
        <f t="shared" si="4"/>
        <v>13.404982799999999</v>
      </c>
      <c r="I39" s="10">
        <f t="shared" si="5"/>
        <v>2234.1637999999998</v>
      </c>
    </row>
    <row r="40" spans="1:9" ht="18.75" customHeight="1">
      <c r="A40" s="18">
        <v>9</v>
      </c>
      <c r="B40" s="23" t="s">
        <v>140</v>
      </c>
      <c r="C40" s="35" t="s">
        <v>141</v>
      </c>
      <c r="D40" s="23" t="s">
        <v>159</v>
      </c>
      <c r="E40" s="74"/>
      <c r="F40" s="25">
        <v>50</v>
      </c>
      <c r="G40" s="22">
        <v>213.2</v>
      </c>
      <c r="H40" s="75">
        <f t="shared" si="4"/>
        <v>10.66</v>
      </c>
      <c r="I40" s="10">
        <f>G40*39</f>
        <v>8314.7999999999993</v>
      </c>
    </row>
    <row r="41" spans="1:9" ht="47.25" customHeight="1">
      <c r="A41" s="18">
        <v>10</v>
      </c>
      <c r="B41" s="23" t="s">
        <v>82</v>
      </c>
      <c r="C41" s="35" t="s">
        <v>87</v>
      </c>
      <c r="D41" s="23" t="s">
        <v>182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4"/>
        <v>37.20335008</v>
      </c>
      <c r="I41" s="10">
        <f t="shared" si="5"/>
        <v>6200.5583466666667</v>
      </c>
    </row>
    <row r="42" spans="1:9" ht="15.75" hidden="1" customHeight="1">
      <c r="A42" s="18">
        <v>10</v>
      </c>
      <c r="B42" s="23" t="s">
        <v>88</v>
      </c>
      <c r="C42" s="35" t="s">
        <v>87</v>
      </c>
      <c r="D42" s="23" t="s">
        <v>182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4"/>
        <v>2.5368719999999998</v>
      </c>
      <c r="I42" s="10">
        <f>F42/7.5*G42</f>
        <v>338.24959999999993</v>
      </c>
    </row>
    <row r="43" spans="1:9" ht="15.75" hidden="1" customHeight="1">
      <c r="A43" s="18">
        <v>11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4"/>
        <v>0.8773470000000001</v>
      </c>
      <c r="I43" s="10">
        <f>F43/7.5*G43</f>
        <v>116.97960000000002</v>
      </c>
    </row>
    <row r="44" spans="1:9" ht="27.75" customHeight="1">
      <c r="A44" s="18">
        <v>11</v>
      </c>
      <c r="B44" s="66" t="s">
        <v>143</v>
      </c>
      <c r="C44" s="53" t="s">
        <v>29</v>
      </c>
      <c r="D44" s="24" t="s">
        <v>184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4"/>
        <v>7.4937599999999986E-3</v>
      </c>
      <c r="I44" s="10">
        <f t="shared" si="5"/>
        <v>1.2489599999999998</v>
      </c>
    </row>
    <row r="45" spans="1:9" ht="15.75" customHeight="1">
      <c r="A45" s="163"/>
      <c r="B45" s="164"/>
      <c r="C45" s="165"/>
      <c r="D45" s="166"/>
      <c r="E45" s="167"/>
      <c r="F45" s="168"/>
      <c r="G45" s="168"/>
      <c r="H45" s="52"/>
      <c r="I45" s="169"/>
    </row>
    <row r="46" spans="1:9" ht="15.75" customHeight="1">
      <c r="A46" s="190" t="s">
        <v>121</v>
      </c>
      <c r="B46" s="191"/>
      <c r="C46" s="191"/>
      <c r="D46" s="191"/>
      <c r="E46" s="191"/>
      <c r="F46" s="191"/>
      <c r="G46" s="191"/>
      <c r="H46" s="191"/>
      <c r="I46" s="192"/>
    </row>
    <row r="47" spans="1:9" ht="15.75" hidden="1" customHeight="1">
      <c r="A47" s="18"/>
      <c r="B47" s="23" t="s">
        <v>129</v>
      </c>
      <c r="C47" s="35" t="s">
        <v>87</v>
      </c>
      <c r="D47" s="23" t="s">
        <v>42</v>
      </c>
      <c r="E47" s="74">
        <v>1609.3</v>
      </c>
      <c r="F47" s="22">
        <f>SUM(E47*2/1000)</f>
        <v>3.2185999999999999</v>
      </c>
      <c r="G47" s="27">
        <v>1193.71</v>
      </c>
      <c r="H47" s="75">
        <f t="shared" ref="H47:H56" si="6">SUM(F47*G47/1000)</f>
        <v>3.842075006</v>
      </c>
      <c r="I47" s="10">
        <f t="shared" ref="I47:I55" si="7">F47/2*G47</f>
        <v>1921.037503</v>
      </c>
    </row>
    <row r="48" spans="1:9" ht="15.75" hidden="1" customHeight="1">
      <c r="A48" s="18"/>
      <c r="B48" s="23" t="s">
        <v>35</v>
      </c>
      <c r="C48" s="35" t="s">
        <v>87</v>
      </c>
      <c r="D48" s="23" t="s">
        <v>42</v>
      </c>
      <c r="E48" s="74">
        <v>104</v>
      </c>
      <c r="F48" s="22">
        <f>SUM(E48*2/1000)</f>
        <v>0.20799999999999999</v>
      </c>
      <c r="G48" s="27">
        <v>4419.05</v>
      </c>
      <c r="H48" s="75">
        <f t="shared" si="6"/>
        <v>0.91916240000000005</v>
      </c>
      <c r="I48" s="10">
        <f t="shared" si="7"/>
        <v>459.58120000000002</v>
      </c>
    </row>
    <row r="49" spans="1:9" ht="15.75" hidden="1" customHeight="1">
      <c r="A49" s="18"/>
      <c r="B49" s="23" t="s">
        <v>36</v>
      </c>
      <c r="C49" s="35" t="s">
        <v>87</v>
      </c>
      <c r="D49" s="23" t="s">
        <v>42</v>
      </c>
      <c r="E49" s="74">
        <v>1996.87</v>
      </c>
      <c r="F49" s="22">
        <f>SUM(E49*2/1000)</f>
        <v>3.9937399999999998</v>
      </c>
      <c r="G49" s="27">
        <v>1803.69</v>
      </c>
      <c r="H49" s="75">
        <f t="shared" si="6"/>
        <v>7.2034689005999999</v>
      </c>
      <c r="I49" s="10">
        <f t="shared" si="7"/>
        <v>3601.7344502999999</v>
      </c>
    </row>
    <row r="50" spans="1:9" ht="15.75" hidden="1" customHeight="1">
      <c r="A50" s="18"/>
      <c r="B50" s="23" t="s">
        <v>37</v>
      </c>
      <c r="C50" s="35" t="s">
        <v>87</v>
      </c>
      <c r="D50" s="23" t="s">
        <v>42</v>
      </c>
      <c r="E50" s="74">
        <v>2654.21</v>
      </c>
      <c r="F50" s="22">
        <f>SUM(E50*2/1000)</f>
        <v>5.3084199999999999</v>
      </c>
      <c r="G50" s="27">
        <v>1243.43</v>
      </c>
      <c r="H50" s="75">
        <f t="shared" si="6"/>
        <v>6.6006486806</v>
      </c>
      <c r="I50" s="10">
        <f t="shared" si="7"/>
        <v>3300.3243403000001</v>
      </c>
    </row>
    <row r="51" spans="1:9" ht="15.75" hidden="1" customHeight="1">
      <c r="A51" s="18"/>
      <c r="B51" s="23" t="s">
        <v>33</v>
      </c>
      <c r="C51" s="35" t="s">
        <v>34</v>
      </c>
      <c r="D51" s="23" t="s">
        <v>42</v>
      </c>
      <c r="E51" s="74">
        <v>128.53</v>
      </c>
      <c r="F51" s="22">
        <f>SUM(E51*2/100)</f>
        <v>2.5706000000000002</v>
      </c>
      <c r="G51" s="27">
        <v>1352.76</v>
      </c>
      <c r="H51" s="75">
        <f t="shared" si="6"/>
        <v>3.4774048560000002</v>
      </c>
      <c r="I51" s="10">
        <f t="shared" si="7"/>
        <v>1738.7024280000001</v>
      </c>
    </row>
    <row r="52" spans="1:9" ht="15.75" customHeight="1">
      <c r="A52" s="18">
        <v>12</v>
      </c>
      <c r="B52" s="23" t="s">
        <v>56</v>
      </c>
      <c r="C52" s="35" t="s">
        <v>87</v>
      </c>
      <c r="D52" s="23" t="s">
        <v>185</v>
      </c>
      <c r="E52" s="74">
        <v>4394.8999999999996</v>
      </c>
      <c r="F52" s="22">
        <f>SUM(E52*5/1000)</f>
        <v>21.974499999999999</v>
      </c>
      <c r="G52" s="27">
        <v>1803.69</v>
      </c>
      <c r="H52" s="75">
        <f t="shared" si="6"/>
        <v>39.635185905</v>
      </c>
      <c r="I52" s="10">
        <f>F52/5*G52</f>
        <v>7927.0371809999997</v>
      </c>
    </row>
    <row r="53" spans="1:9" ht="31.5" hidden="1" customHeight="1">
      <c r="A53" s="18"/>
      <c r="B53" s="23" t="s">
        <v>89</v>
      </c>
      <c r="C53" s="35" t="s">
        <v>87</v>
      </c>
      <c r="D53" s="23" t="s">
        <v>42</v>
      </c>
      <c r="E53" s="74">
        <v>4394.8999999999996</v>
      </c>
      <c r="F53" s="22">
        <f>SUM(E53*2/1000)</f>
        <v>8.7897999999999996</v>
      </c>
      <c r="G53" s="27">
        <v>1591.6</v>
      </c>
      <c r="H53" s="75">
        <f t="shared" si="6"/>
        <v>13.989845679999998</v>
      </c>
      <c r="I53" s="10">
        <f t="shared" si="7"/>
        <v>6994.9228399999993</v>
      </c>
    </row>
    <row r="54" spans="1:9" ht="31.5" hidden="1" customHeight="1">
      <c r="A54" s="18"/>
      <c r="B54" s="23" t="s">
        <v>90</v>
      </c>
      <c r="C54" s="35" t="s">
        <v>38</v>
      </c>
      <c r="D54" s="23" t="s">
        <v>42</v>
      </c>
      <c r="E54" s="74">
        <v>40</v>
      </c>
      <c r="F54" s="22">
        <f>SUM(E54*2/100)</f>
        <v>0.8</v>
      </c>
      <c r="G54" s="27">
        <v>4058.32</v>
      </c>
      <c r="H54" s="75">
        <f t="shared" si="6"/>
        <v>3.2466560000000002</v>
      </c>
      <c r="I54" s="10">
        <f t="shared" si="7"/>
        <v>1623.3280000000002</v>
      </c>
    </row>
    <row r="55" spans="1:9" ht="15.75" hidden="1" customHeight="1">
      <c r="A55" s="18"/>
      <c r="B55" s="23" t="s">
        <v>39</v>
      </c>
      <c r="C55" s="35" t="s">
        <v>40</v>
      </c>
      <c r="D55" s="23" t="s">
        <v>42</v>
      </c>
      <c r="E55" s="74">
        <v>1</v>
      </c>
      <c r="F55" s="22">
        <v>0.02</v>
      </c>
      <c r="G55" s="27">
        <v>7412.92</v>
      </c>
      <c r="H55" s="75">
        <f t="shared" si="6"/>
        <v>0.14825839999999998</v>
      </c>
      <c r="I55" s="10">
        <f t="shared" si="7"/>
        <v>74.129199999999997</v>
      </c>
    </row>
    <row r="56" spans="1:9" ht="16.5" hidden="1" customHeight="1">
      <c r="A56" s="18">
        <v>14</v>
      </c>
      <c r="B56" s="23" t="s">
        <v>41</v>
      </c>
      <c r="C56" s="35" t="s">
        <v>94</v>
      </c>
      <c r="D56" s="161">
        <v>43510</v>
      </c>
      <c r="E56" s="74">
        <v>160</v>
      </c>
      <c r="F56" s="22">
        <f>SUM(E56)*3</f>
        <v>480</v>
      </c>
      <c r="G56" s="28">
        <v>86.15</v>
      </c>
      <c r="H56" s="75">
        <f t="shared" si="6"/>
        <v>41.351999999999997</v>
      </c>
      <c r="I56" s="10">
        <f>F56/3*G56</f>
        <v>13784</v>
      </c>
    </row>
    <row r="57" spans="1:9" ht="15.75" customHeight="1">
      <c r="A57" s="190" t="s">
        <v>122</v>
      </c>
      <c r="B57" s="191"/>
      <c r="C57" s="191"/>
      <c r="D57" s="191"/>
      <c r="E57" s="191"/>
      <c r="F57" s="191"/>
      <c r="G57" s="191"/>
      <c r="H57" s="191"/>
      <c r="I57" s="192"/>
    </row>
    <row r="58" spans="1:9" ht="15.75" hidden="1" customHeight="1">
      <c r="A58" s="18"/>
      <c r="B58" s="92" t="s">
        <v>43</v>
      </c>
      <c r="C58" s="35"/>
      <c r="D58" s="23"/>
      <c r="E58" s="74"/>
      <c r="F58" s="22"/>
      <c r="G58" s="22"/>
      <c r="H58" s="75"/>
      <c r="I58" s="10"/>
    </row>
    <row r="59" spans="1:9" ht="31.5" hidden="1" customHeight="1">
      <c r="A59" s="18">
        <v>15</v>
      </c>
      <c r="B59" s="23" t="s">
        <v>130</v>
      </c>
      <c r="C59" s="35" t="s">
        <v>85</v>
      </c>
      <c r="D59" s="23" t="s">
        <v>114</v>
      </c>
      <c r="E59" s="74">
        <v>160</v>
      </c>
      <c r="F59" s="22">
        <f>SUM(E59*6/100)</f>
        <v>9.6</v>
      </c>
      <c r="G59" s="27">
        <v>2029.3</v>
      </c>
      <c r="H59" s="75">
        <f>SUM(F59*G59/1000)</f>
        <v>19.481279999999998</v>
      </c>
      <c r="I59" s="10">
        <f>G59*0.1</f>
        <v>202.93</v>
      </c>
    </row>
    <row r="60" spans="1:9" ht="15.75" hidden="1" customHeight="1">
      <c r="A60" s="18">
        <v>16</v>
      </c>
      <c r="B60" s="23" t="s">
        <v>145</v>
      </c>
      <c r="C60" s="35" t="s">
        <v>146</v>
      </c>
      <c r="D60" s="23" t="s">
        <v>66</v>
      </c>
      <c r="E60" s="74"/>
      <c r="F60" s="22">
        <v>3</v>
      </c>
      <c r="G60" s="27">
        <v>1582.05</v>
      </c>
      <c r="H60" s="75">
        <f>SUM(F60*G60/1000)</f>
        <v>4.7461499999999992</v>
      </c>
      <c r="I60" s="10">
        <f>G60*1.5</f>
        <v>2373.0749999999998</v>
      </c>
    </row>
    <row r="61" spans="1:9" ht="15.75" customHeight="1">
      <c r="A61" s="18"/>
      <c r="B61" s="92" t="s">
        <v>44</v>
      </c>
      <c r="C61" s="35"/>
      <c r="D61" s="23"/>
      <c r="E61" s="74"/>
      <c r="F61" s="22"/>
      <c r="G61" s="94"/>
      <c r="H61" s="75"/>
      <c r="I61" s="10"/>
    </row>
    <row r="62" spans="1:9" ht="15.75" hidden="1" customHeight="1">
      <c r="A62" s="18"/>
      <c r="B62" s="23" t="s">
        <v>45</v>
      </c>
      <c r="C62" s="35" t="s">
        <v>85</v>
      </c>
      <c r="D62" s="23" t="s">
        <v>54</v>
      </c>
      <c r="E62" s="74">
        <v>206</v>
      </c>
      <c r="F62" s="22">
        <f>SUM(E62/100)</f>
        <v>2.06</v>
      </c>
      <c r="G62" s="22">
        <v>1040.8399999999999</v>
      </c>
      <c r="H62" s="75">
        <f>F62*G62/1000</f>
        <v>2.1441303999999999</v>
      </c>
      <c r="I62" s="10">
        <v>0</v>
      </c>
    </row>
    <row r="63" spans="1:9" ht="15.75" customHeight="1">
      <c r="A63" s="18">
        <v>13</v>
      </c>
      <c r="B63" s="23" t="s">
        <v>119</v>
      </c>
      <c r="C63" s="35" t="s">
        <v>25</v>
      </c>
      <c r="D63" s="23" t="s">
        <v>185</v>
      </c>
      <c r="E63" s="74">
        <v>200</v>
      </c>
      <c r="F63" s="22">
        <f>E63*12</f>
        <v>2400</v>
      </c>
      <c r="G63" s="52">
        <v>1.4</v>
      </c>
      <c r="H63" s="75">
        <f>F63*G63/1000</f>
        <v>3.36</v>
      </c>
      <c r="I63" s="10">
        <f>F63/12*G63</f>
        <v>280</v>
      </c>
    </row>
    <row r="64" spans="1:9" ht="16.5" hidden="1" customHeight="1">
      <c r="A64" s="18"/>
      <c r="B64" s="93" t="s">
        <v>46</v>
      </c>
      <c r="C64" s="80"/>
      <c r="D64" s="81"/>
      <c r="E64" s="82"/>
      <c r="F64" s="83"/>
      <c r="G64" s="83"/>
      <c r="H64" s="84" t="s">
        <v>128</v>
      </c>
      <c r="I64" s="10"/>
    </row>
    <row r="65" spans="1:9" ht="21" hidden="1" customHeight="1">
      <c r="A65" s="18">
        <v>16</v>
      </c>
      <c r="B65" s="50" t="s">
        <v>47</v>
      </c>
      <c r="C65" s="31" t="s">
        <v>94</v>
      </c>
      <c r="D65" s="23" t="s">
        <v>185</v>
      </c>
      <c r="E65" s="12">
        <v>10</v>
      </c>
      <c r="F65" s="22">
        <f>SUM(E65)</f>
        <v>10</v>
      </c>
      <c r="G65" s="27">
        <v>291.68</v>
      </c>
      <c r="H65" s="64">
        <f t="shared" ref="H65:H84" si="8">SUM(F65*G65/1000)</f>
        <v>2.9168000000000003</v>
      </c>
      <c r="I65" s="10">
        <f>G65*1</f>
        <v>291.68</v>
      </c>
    </row>
    <row r="66" spans="1:9" ht="19.5" hidden="1" customHeight="1">
      <c r="A66" s="18"/>
      <c r="B66" s="50" t="s">
        <v>48</v>
      </c>
      <c r="C66" s="31" t="s">
        <v>94</v>
      </c>
      <c r="D66" s="23" t="s">
        <v>66</v>
      </c>
      <c r="E66" s="12">
        <v>5</v>
      </c>
      <c r="F66" s="22">
        <f>SUM(E66)</f>
        <v>5</v>
      </c>
      <c r="G66" s="27">
        <v>100.01</v>
      </c>
      <c r="H66" s="64">
        <f t="shared" si="8"/>
        <v>0.50004999999999999</v>
      </c>
      <c r="I66" s="10">
        <v>0</v>
      </c>
    </row>
    <row r="67" spans="1:9" ht="17.25" hidden="1" customHeight="1">
      <c r="A67" s="18"/>
      <c r="B67" s="50" t="s">
        <v>49</v>
      </c>
      <c r="C67" s="33" t="s">
        <v>95</v>
      </c>
      <c r="D67" s="30" t="s">
        <v>54</v>
      </c>
      <c r="E67" s="74">
        <v>24063</v>
      </c>
      <c r="F67" s="28">
        <f>SUM(E67/100)</f>
        <v>240.63</v>
      </c>
      <c r="G67" s="27">
        <v>278.24</v>
      </c>
      <c r="H67" s="64">
        <f t="shared" si="8"/>
        <v>66.952891199999996</v>
      </c>
      <c r="I67" s="10">
        <f>F67*G67</f>
        <v>66952.891199999998</v>
      </c>
    </row>
    <row r="68" spans="1:9" ht="19.5" hidden="1" customHeight="1">
      <c r="A68" s="18"/>
      <c r="B68" s="50" t="s">
        <v>50</v>
      </c>
      <c r="C68" s="31" t="s">
        <v>96</v>
      </c>
      <c r="D68" s="30" t="s">
        <v>54</v>
      </c>
      <c r="E68" s="74">
        <v>24063</v>
      </c>
      <c r="F68" s="27">
        <f>SUM(E68/1000)</f>
        <v>24.062999999999999</v>
      </c>
      <c r="G68" s="27">
        <v>216.68</v>
      </c>
      <c r="H68" s="64">
        <f t="shared" si="8"/>
        <v>5.21397084</v>
      </c>
      <c r="I68" s="10">
        <f t="shared" ref="I68:I72" si="9">F68*G68</f>
        <v>5213.97084</v>
      </c>
    </row>
    <row r="69" spans="1:9" ht="20.25" hidden="1" customHeight="1">
      <c r="A69" s="18"/>
      <c r="B69" s="50" t="s">
        <v>51</v>
      </c>
      <c r="C69" s="31" t="s">
        <v>77</v>
      </c>
      <c r="D69" s="30" t="s">
        <v>54</v>
      </c>
      <c r="E69" s="74">
        <v>1300</v>
      </c>
      <c r="F69" s="27">
        <f>SUM(E69/100)</f>
        <v>13</v>
      </c>
      <c r="G69" s="27">
        <v>2720.94</v>
      </c>
      <c r="H69" s="64">
        <f t="shared" si="8"/>
        <v>35.372219999999999</v>
      </c>
      <c r="I69" s="10">
        <f t="shared" si="9"/>
        <v>35372.22</v>
      </c>
    </row>
    <row r="70" spans="1:9" ht="18" hidden="1" customHeight="1">
      <c r="A70" s="18"/>
      <c r="B70" s="46" t="s">
        <v>71</v>
      </c>
      <c r="C70" s="31" t="s">
        <v>32</v>
      </c>
      <c r="D70" s="30"/>
      <c r="E70" s="74">
        <v>10.4</v>
      </c>
      <c r="F70" s="27">
        <f>SUM(E70)</f>
        <v>10.4</v>
      </c>
      <c r="G70" s="27">
        <v>42.61</v>
      </c>
      <c r="H70" s="64">
        <f t="shared" si="8"/>
        <v>0.44314399999999998</v>
      </c>
      <c r="I70" s="10">
        <f t="shared" si="9"/>
        <v>443.14400000000001</v>
      </c>
    </row>
    <row r="71" spans="1:9" ht="13.5" hidden="1" customHeight="1">
      <c r="A71" s="18"/>
      <c r="B71" s="46" t="s">
        <v>72</v>
      </c>
      <c r="C71" s="31" t="s">
        <v>32</v>
      </c>
      <c r="D71" s="30"/>
      <c r="E71" s="74">
        <v>10.4</v>
      </c>
      <c r="F71" s="27">
        <f>SUM(E71)</f>
        <v>10.4</v>
      </c>
      <c r="G71" s="27">
        <v>46.04</v>
      </c>
      <c r="H71" s="64">
        <f t="shared" si="8"/>
        <v>0.47881600000000002</v>
      </c>
      <c r="I71" s="10">
        <f t="shared" si="9"/>
        <v>478.81600000000003</v>
      </c>
    </row>
    <row r="72" spans="1:9" ht="15" hidden="1" customHeight="1">
      <c r="A72" s="18"/>
      <c r="B72" s="30" t="s">
        <v>57</v>
      </c>
      <c r="C72" s="31" t="s">
        <v>58</v>
      </c>
      <c r="D72" s="30" t="s">
        <v>54</v>
      </c>
      <c r="E72" s="12">
        <v>5</v>
      </c>
      <c r="F72" s="22">
        <f>SUM(E72)</f>
        <v>5</v>
      </c>
      <c r="G72" s="27">
        <v>65.42</v>
      </c>
      <c r="H72" s="64">
        <f t="shared" si="8"/>
        <v>0.3271</v>
      </c>
      <c r="I72" s="10">
        <f t="shared" si="9"/>
        <v>327.10000000000002</v>
      </c>
    </row>
    <row r="73" spans="1:9" ht="15.75" customHeight="1">
      <c r="A73" s="18"/>
      <c r="B73" s="43" t="s">
        <v>73</v>
      </c>
      <c r="C73" s="31"/>
      <c r="D73" s="30"/>
      <c r="E73" s="12"/>
      <c r="F73" s="27"/>
      <c r="G73" s="27"/>
      <c r="H73" s="64" t="s">
        <v>128</v>
      </c>
      <c r="I73" s="10"/>
    </row>
    <row r="74" spans="1:9" ht="15.75" hidden="1" customHeight="1">
      <c r="A74" s="18"/>
      <c r="B74" s="30" t="s">
        <v>147</v>
      </c>
      <c r="C74" s="31" t="s">
        <v>94</v>
      </c>
      <c r="D74" s="23" t="s">
        <v>66</v>
      </c>
      <c r="E74" s="12">
        <v>1</v>
      </c>
      <c r="F74" s="27">
        <v>1</v>
      </c>
      <c r="G74" s="27">
        <v>1029.1199999999999</v>
      </c>
      <c r="H74" s="64">
        <f t="shared" ref="H74:H77" si="10">SUM(F74*G74/1000)</f>
        <v>1.0291199999999998</v>
      </c>
      <c r="I74" s="10">
        <v>0</v>
      </c>
    </row>
    <row r="75" spans="1:9" ht="15.75" hidden="1" customHeight="1">
      <c r="A75" s="18"/>
      <c r="B75" s="30" t="s">
        <v>148</v>
      </c>
      <c r="C75" s="31" t="s">
        <v>149</v>
      </c>
      <c r="D75" s="30"/>
      <c r="E75" s="12">
        <v>1</v>
      </c>
      <c r="F75" s="27">
        <f>E75</f>
        <v>1</v>
      </c>
      <c r="G75" s="27">
        <v>735</v>
      </c>
      <c r="H75" s="64">
        <f t="shared" si="10"/>
        <v>0.73499999999999999</v>
      </c>
      <c r="I75" s="10">
        <v>0</v>
      </c>
    </row>
    <row r="76" spans="1:9" ht="15.75" hidden="1" customHeight="1">
      <c r="A76" s="18">
        <v>19</v>
      </c>
      <c r="B76" s="30" t="s">
        <v>74</v>
      </c>
      <c r="C76" s="31" t="s">
        <v>75</v>
      </c>
      <c r="D76" s="23" t="s">
        <v>66</v>
      </c>
      <c r="E76" s="12">
        <v>7</v>
      </c>
      <c r="F76" s="27">
        <f>E76/10</f>
        <v>0.7</v>
      </c>
      <c r="G76" s="27">
        <v>657.87</v>
      </c>
      <c r="H76" s="64">
        <f t="shared" si="10"/>
        <v>0.46050899999999995</v>
      </c>
      <c r="I76" s="10">
        <f>G76*0.9</f>
        <v>592.08299999999997</v>
      </c>
    </row>
    <row r="77" spans="1:9" ht="15.75" hidden="1" customHeight="1">
      <c r="A77" s="18"/>
      <c r="B77" s="30" t="s">
        <v>115</v>
      </c>
      <c r="C77" s="31" t="s">
        <v>94</v>
      </c>
      <c r="D77" s="23" t="s">
        <v>66</v>
      </c>
      <c r="E77" s="12">
        <v>1</v>
      </c>
      <c r="F77" s="22">
        <f>SUM(E77)</f>
        <v>1</v>
      </c>
      <c r="G77" s="27">
        <v>1118.72</v>
      </c>
      <c r="H77" s="64">
        <f t="shared" si="10"/>
        <v>1.1187199999999999</v>
      </c>
      <c r="I77" s="10">
        <v>0</v>
      </c>
    </row>
    <row r="78" spans="1:9" ht="15.75" hidden="1" customHeight="1">
      <c r="A78" s="18"/>
      <c r="B78" s="66" t="s">
        <v>150</v>
      </c>
      <c r="C78" s="53" t="s">
        <v>94</v>
      </c>
      <c r="D78" s="23" t="s">
        <v>66</v>
      </c>
      <c r="E78" s="12">
        <v>1</v>
      </c>
      <c r="F78" s="52">
        <v>1</v>
      </c>
      <c r="G78" s="27">
        <v>1605.83</v>
      </c>
      <c r="H78" s="64">
        <f>SUM(F78*G78/1000)</f>
        <v>1.6058299999999999</v>
      </c>
      <c r="I78" s="10">
        <v>0</v>
      </c>
    </row>
    <row r="79" spans="1:9" ht="30.75" customHeight="1">
      <c r="A79" s="18">
        <v>14</v>
      </c>
      <c r="B79" s="66" t="s">
        <v>151</v>
      </c>
      <c r="C79" s="53" t="s">
        <v>94</v>
      </c>
      <c r="D79" s="30" t="s">
        <v>180</v>
      </c>
      <c r="E79" s="85">
        <v>2</v>
      </c>
      <c r="F79" s="83">
        <f>E79*12</f>
        <v>24</v>
      </c>
      <c r="G79" s="86">
        <v>53.42</v>
      </c>
      <c r="H79" s="64">
        <f t="shared" ref="H79:H80" si="11">SUM(F79*G79/1000)</f>
        <v>1.2820799999999999</v>
      </c>
      <c r="I79" s="10">
        <f>F79/12*G79</f>
        <v>106.84</v>
      </c>
    </row>
    <row r="80" spans="1:9" ht="15.75" customHeight="1">
      <c r="A80" s="18">
        <v>15</v>
      </c>
      <c r="B80" s="60" t="s">
        <v>116</v>
      </c>
      <c r="C80" s="31"/>
      <c r="D80" s="30" t="s">
        <v>180</v>
      </c>
      <c r="E80" s="12">
        <v>1</v>
      </c>
      <c r="F80" s="27">
        <v>12</v>
      </c>
      <c r="G80" s="27">
        <v>1194</v>
      </c>
      <c r="H80" s="64">
        <f t="shared" si="11"/>
        <v>14.327999999999999</v>
      </c>
      <c r="I80" s="10">
        <f>F80/12*G80</f>
        <v>1194</v>
      </c>
    </row>
    <row r="81" spans="1:11" ht="15.75" customHeight="1">
      <c r="A81" s="18"/>
      <c r="B81" s="95" t="s">
        <v>152</v>
      </c>
      <c r="C81" s="53"/>
      <c r="D81" s="30"/>
      <c r="E81" s="12"/>
      <c r="F81" s="27"/>
      <c r="G81" s="27"/>
      <c r="H81" s="64"/>
      <c r="I81" s="10"/>
    </row>
    <row r="82" spans="1:11" ht="15.75" customHeight="1">
      <c r="A82" s="18">
        <v>16</v>
      </c>
      <c r="B82" s="30" t="s">
        <v>153</v>
      </c>
      <c r="C82" s="36" t="s">
        <v>154</v>
      </c>
      <c r="D82" s="23"/>
      <c r="E82" s="12">
        <v>4394.8999999999996</v>
      </c>
      <c r="F82" s="27">
        <f>SUM(E82*12)</f>
        <v>52738.799999999996</v>
      </c>
      <c r="G82" s="27">
        <v>2.2799999999999998</v>
      </c>
      <c r="H82" s="64">
        <f t="shared" ref="H82" si="12">SUM(F82*G82/1000)</f>
        <v>120.24446399999998</v>
      </c>
      <c r="I82" s="10">
        <f>F82/12*G82</f>
        <v>10020.371999999998</v>
      </c>
    </row>
    <row r="83" spans="1:11" ht="15.75" hidden="1" customHeight="1">
      <c r="A83" s="18"/>
      <c r="B83" s="44" t="s">
        <v>76</v>
      </c>
      <c r="C83" s="31"/>
      <c r="D83" s="30"/>
      <c r="E83" s="12"/>
      <c r="F83" s="27"/>
      <c r="G83" s="27" t="s">
        <v>128</v>
      </c>
      <c r="H83" s="64" t="s">
        <v>128</v>
      </c>
      <c r="I83" s="10"/>
    </row>
    <row r="84" spans="1:11" ht="15.75" hidden="1" customHeight="1">
      <c r="A84" s="18"/>
      <c r="B84" s="32" t="s">
        <v>99</v>
      </c>
      <c r="C84" s="33" t="s">
        <v>77</v>
      </c>
      <c r="D84" s="50"/>
      <c r="E84" s="87"/>
      <c r="F84" s="28">
        <v>0.6</v>
      </c>
      <c r="G84" s="28">
        <v>3619.09</v>
      </c>
      <c r="H84" s="64">
        <f t="shared" si="8"/>
        <v>2.1714540000000002</v>
      </c>
      <c r="I84" s="10">
        <v>0</v>
      </c>
    </row>
    <row r="85" spans="1:11" ht="15.75" hidden="1" customHeight="1">
      <c r="A85" s="18"/>
      <c r="B85" s="100" t="s">
        <v>91</v>
      </c>
      <c r="C85" s="62"/>
      <c r="D85" s="20"/>
      <c r="E85" s="21"/>
      <c r="F85" s="59"/>
      <c r="G85" s="59"/>
      <c r="H85" s="88">
        <f>SUM(H59:H84)</f>
        <v>284.91172943999999</v>
      </c>
      <c r="I85" s="10"/>
    </row>
    <row r="86" spans="1:11" ht="15.75" hidden="1" customHeight="1">
      <c r="A86" s="18">
        <v>21</v>
      </c>
      <c r="B86" s="23" t="s">
        <v>97</v>
      </c>
      <c r="C86" s="89"/>
      <c r="D86" s="90"/>
      <c r="E86" s="91"/>
      <c r="F86" s="29">
        <v>1</v>
      </c>
      <c r="G86" s="29">
        <v>20004</v>
      </c>
      <c r="H86" s="64">
        <f>G86*F86/1000</f>
        <v>20.004000000000001</v>
      </c>
      <c r="I86" s="10">
        <v>5268</v>
      </c>
    </row>
    <row r="87" spans="1:11" ht="15.75" customHeight="1">
      <c r="A87" s="190" t="s">
        <v>124</v>
      </c>
      <c r="B87" s="191"/>
      <c r="C87" s="191"/>
      <c r="D87" s="191"/>
      <c r="E87" s="191"/>
      <c r="F87" s="191"/>
      <c r="G87" s="191"/>
      <c r="H87" s="191"/>
      <c r="I87" s="192"/>
    </row>
    <row r="88" spans="1:11" ht="15.75" customHeight="1">
      <c r="A88" s="18">
        <v>17</v>
      </c>
      <c r="B88" s="23" t="s">
        <v>98</v>
      </c>
      <c r="C88" s="31" t="s">
        <v>55</v>
      </c>
      <c r="D88" s="51"/>
      <c r="E88" s="27">
        <v>4394.8999999999996</v>
      </c>
      <c r="F88" s="27">
        <f>SUM(E88*12)</f>
        <v>52738.799999999996</v>
      </c>
      <c r="G88" s="27">
        <v>3.1</v>
      </c>
      <c r="H88" s="64">
        <f>SUM(F88*G88/1000)</f>
        <v>163.49028000000001</v>
      </c>
      <c r="I88" s="10">
        <f>F88/12*G88</f>
        <v>13624.189999999999</v>
      </c>
    </row>
    <row r="89" spans="1:11" ht="30.75" customHeight="1">
      <c r="A89" s="18">
        <v>18</v>
      </c>
      <c r="B89" s="30" t="s">
        <v>78</v>
      </c>
      <c r="C89" s="31"/>
      <c r="D89" s="51"/>
      <c r="E89" s="74">
        <f>E88</f>
        <v>4394.8999999999996</v>
      </c>
      <c r="F89" s="27">
        <f>E89*12</f>
        <v>52738.799999999996</v>
      </c>
      <c r="G89" s="27">
        <v>3.5</v>
      </c>
      <c r="H89" s="64">
        <f>F89*G89/1000</f>
        <v>184.58579999999998</v>
      </c>
      <c r="I89" s="10">
        <f>F89/12*G89</f>
        <v>15382.149999999998</v>
      </c>
      <c r="K89" s="109"/>
    </row>
    <row r="90" spans="1:11" ht="15.75" customHeight="1">
      <c r="A90" s="18"/>
      <c r="B90" s="34" t="s">
        <v>80</v>
      </c>
      <c r="C90" s="62"/>
      <c r="D90" s="61"/>
      <c r="E90" s="59"/>
      <c r="F90" s="59"/>
      <c r="G90" s="59"/>
      <c r="H90" s="63">
        <f>SUM(H77)</f>
        <v>1.1187199999999999</v>
      </c>
      <c r="I90" s="59">
        <f>I89+I88+I82+I80+I79+I63+I52+I44+I41+I39+I38+I37+I26+I25+I18+I17+I16+I40</f>
        <v>91136.744657666641</v>
      </c>
    </row>
    <row r="91" spans="1:11" ht="15.75" customHeight="1">
      <c r="A91" s="193" t="s">
        <v>60</v>
      </c>
      <c r="B91" s="194"/>
      <c r="C91" s="194"/>
      <c r="D91" s="194"/>
      <c r="E91" s="194"/>
      <c r="F91" s="194"/>
      <c r="G91" s="194"/>
      <c r="H91" s="194"/>
      <c r="I91" s="195"/>
    </row>
    <row r="92" spans="1:11" ht="15" customHeight="1">
      <c r="A92" s="18">
        <v>19</v>
      </c>
      <c r="B92" s="66" t="s">
        <v>118</v>
      </c>
      <c r="C92" s="53" t="s">
        <v>94</v>
      </c>
      <c r="D92" s="30"/>
      <c r="E92" s="12"/>
      <c r="F92" s="27">
        <v>1</v>
      </c>
      <c r="G92" s="27">
        <v>60.72</v>
      </c>
      <c r="H92" s="64">
        <f t="shared" ref="H92" si="13">G92*F92/1000</f>
        <v>6.0719999999999996E-2</v>
      </c>
      <c r="I92" s="108">
        <f>G92*1</f>
        <v>60.72</v>
      </c>
    </row>
    <row r="93" spans="1:11" ht="14.25" customHeight="1">
      <c r="A93" s="18">
        <v>20</v>
      </c>
      <c r="B93" s="66" t="s">
        <v>201</v>
      </c>
      <c r="C93" s="53" t="s">
        <v>94</v>
      </c>
      <c r="D93" s="30"/>
      <c r="E93" s="12"/>
      <c r="F93" s="27">
        <v>15</v>
      </c>
      <c r="G93" s="27">
        <v>580.70000000000005</v>
      </c>
      <c r="H93" s="64">
        <f>G93*F93/1000</f>
        <v>8.7104999999999997</v>
      </c>
      <c r="I93" s="108">
        <f>G93*1</f>
        <v>580.70000000000005</v>
      </c>
    </row>
    <row r="94" spans="1:11" ht="15.75" customHeight="1">
      <c r="A94" s="18">
        <v>21</v>
      </c>
      <c r="B94" s="66" t="s">
        <v>202</v>
      </c>
      <c r="C94" s="53" t="s">
        <v>94</v>
      </c>
      <c r="D94" s="30"/>
      <c r="E94" s="12"/>
      <c r="F94" s="27"/>
      <c r="G94" s="27">
        <v>1271.72</v>
      </c>
      <c r="H94" s="64"/>
      <c r="I94" s="108">
        <f>G94*1</f>
        <v>1271.72</v>
      </c>
    </row>
    <row r="95" spans="1:11" ht="33.75" customHeight="1">
      <c r="A95" s="18">
        <v>22</v>
      </c>
      <c r="B95" s="66" t="s">
        <v>203</v>
      </c>
      <c r="C95" s="53" t="s">
        <v>38</v>
      </c>
      <c r="D95" s="30" t="s">
        <v>284</v>
      </c>
      <c r="E95" s="12"/>
      <c r="F95" s="27"/>
      <c r="G95" s="27">
        <v>4070.89</v>
      </c>
      <c r="H95" s="64"/>
      <c r="I95" s="108">
        <v>0</v>
      </c>
    </row>
    <row r="96" spans="1:11" ht="15.75" customHeight="1">
      <c r="A96" s="18">
        <v>23</v>
      </c>
      <c r="B96" s="66" t="s">
        <v>39</v>
      </c>
      <c r="C96" s="53" t="s">
        <v>204</v>
      </c>
      <c r="D96" s="30" t="s">
        <v>185</v>
      </c>
      <c r="E96" s="12"/>
      <c r="F96" s="27"/>
      <c r="G96" s="27">
        <v>8426.7199999999993</v>
      </c>
      <c r="H96" s="64"/>
      <c r="I96" s="108">
        <v>0</v>
      </c>
    </row>
    <row r="97" spans="1:9" ht="16.5" customHeight="1">
      <c r="A97" s="18">
        <v>24</v>
      </c>
      <c r="B97" s="66" t="s">
        <v>205</v>
      </c>
      <c r="C97" s="53" t="s">
        <v>94</v>
      </c>
      <c r="D97" s="30"/>
      <c r="E97" s="12"/>
      <c r="F97" s="27"/>
      <c r="G97" s="27">
        <v>1538.49</v>
      </c>
      <c r="H97" s="64"/>
      <c r="I97" s="108">
        <f>G97*2</f>
        <v>3076.98</v>
      </c>
    </row>
    <row r="98" spans="1:9" ht="15.75" customHeight="1">
      <c r="A98" s="18">
        <v>25</v>
      </c>
      <c r="B98" s="66" t="s">
        <v>206</v>
      </c>
      <c r="C98" s="53" t="s">
        <v>94</v>
      </c>
      <c r="D98" s="45" t="s">
        <v>207</v>
      </c>
      <c r="E98" s="10"/>
      <c r="F98" s="10"/>
      <c r="G98" s="27">
        <v>24605</v>
      </c>
      <c r="H98" s="58"/>
      <c r="I98" s="108">
        <f>G98*2</f>
        <v>49210</v>
      </c>
    </row>
    <row r="99" spans="1:9">
      <c r="A99" s="18"/>
      <c r="B99" s="41" t="s">
        <v>52</v>
      </c>
      <c r="C99" s="37"/>
      <c r="D99" s="47"/>
      <c r="E99" s="37">
        <v>1</v>
      </c>
      <c r="F99" s="37"/>
      <c r="G99" s="37"/>
      <c r="H99" s="37"/>
      <c r="I99" s="21">
        <f>SUM(I92:I98)</f>
        <v>54200.12</v>
      </c>
    </row>
    <row r="100" spans="1:9" ht="15.75" customHeight="1">
      <c r="A100" s="18"/>
      <c r="B100" s="45" t="s">
        <v>79</v>
      </c>
      <c r="C100" s="11"/>
      <c r="D100" s="11"/>
      <c r="E100" s="38"/>
      <c r="F100" s="38"/>
      <c r="G100" s="39"/>
      <c r="H100" s="39"/>
      <c r="I100" s="12">
        <v>0</v>
      </c>
    </row>
    <row r="101" spans="1:9" ht="15.75" customHeight="1">
      <c r="A101" s="48"/>
      <c r="B101" s="42" t="s">
        <v>155</v>
      </c>
      <c r="C101" s="26"/>
      <c r="D101" s="26"/>
      <c r="E101" s="26"/>
      <c r="F101" s="26"/>
      <c r="G101" s="26"/>
      <c r="H101" s="26"/>
      <c r="I101" s="40">
        <f>I90+I99</f>
        <v>145336.86465766665</v>
      </c>
    </row>
    <row r="102" spans="1:9" ht="15.75">
      <c r="A102" s="196" t="s">
        <v>285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 customHeight="1">
      <c r="A103" s="54"/>
      <c r="B103" s="197" t="s">
        <v>286</v>
      </c>
      <c r="C103" s="197"/>
      <c r="D103" s="197"/>
      <c r="E103" s="197"/>
      <c r="F103" s="197"/>
      <c r="G103" s="197"/>
      <c r="H103" s="57"/>
      <c r="I103" s="2"/>
    </row>
    <row r="104" spans="1:9" ht="15.75" customHeight="1">
      <c r="A104" s="98"/>
      <c r="B104" s="184" t="s">
        <v>6</v>
      </c>
      <c r="C104" s="184"/>
      <c r="D104" s="184"/>
      <c r="E104" s="184"/>
      <c r="F104" s="184"/>
      <c r="G104" s="184"/>
      <c r="H104" s="13"/>
      <c r="I104" s="4"/>
    </row>
    <row r="105" spans="1:9" ht="15.75" customHeight="1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198" t="s">
        <v>7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 customHeight="1">
      <c r="A107" s="198" t="s">
        <v>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61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 customHeight="1">
      <c r="A109" s="8"/>
    </row>
    <row r="110" spans="1:9" ht="15.75">
      <c r="A110" s="182" t="s">
        <v>9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 customHeight="1">
      <c r="A111" s="3"/>
    </row>
    <row r="112" spans="1:9" ht="15.75">
      <c r="B112" s="99" t="s">
        <v>10</v>
      </c>
      <c r="C112" s="183" t="s">
        <v>123</v>
      </c>
      <c r="D112" s="183"/>
      <c r="E112" s="183"/>
      <c r="F112" s="55"/>
      <c r="I112" s="97"/>
    </row>
    <row r="113" spans="1:9">
      <c r="A113" s="98"/>
      <c r="C113" s="184" t="s">
        <v>11</v>
      </c>
      <c r="D113" s="184"/>
      <c r="E113" s="184"/>
      <c r="F113" s="13"/>
      <c r="I113" s="96" t="s">
        <v>12</v>
      </c>
    </row>
    <row r="114" spans="1:9" ht="15.75">
      <c r="A114" s="14"/>
      <c r="C114" s="9"/>
      <c r="D114" s="9"/>
      <c r="G114" s="9"/>
      <c r="H114" s="9"/>
    </row>
    <row r="115" spans="1:9" ht="15.75" customHeight="1">
      <c r="B115" s="99" t="s">
        <v>13</v>
      </c>
      <c r="C115" s="185"/>
      <c r="D115" s="185"/>
      <c r="E115" s="185"/>
      <c r="F115" s="56"/>
      <c r="I115" s="97"/>
    </row>
    <row r="116" spans="1:9" ht="15.75" customHeight="1">
      <c r="A116" s="98"/>
      <c r="C116" s="186" t="s">
        <v>11</v>
      </c>
      <c r="D116" s="186"/>
      <c r="E116" s="186"/>
      <c r="F116" s="98"/>
      <c r="I116" s="96" t="s">
        <v>12</v>
      </c>
    </row>
    <row r="117" spans="1:9" ht="15.75" customHeight="1">
      <c r="A117" s="3" t="s">
        <v>14</v>
      </c>
    </row>
    <row r="118" spans="1:9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5" customHeight="1">
      <c r="A119" s="181" t="s">
        <v>16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0" customHeight="1">
      <c r="A120" s="181" t="s">
        <v>17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0" customHeight="1">
      <c r="A121" s="181" t="s">
        <v>21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" customHeight="1">
      <c r="A122" s="181" t="s">
        <v>20</v>
      </c>
      <c r="B122" s="181"/>
      <c r="C122" s="181"/>
      <c r="D122" s="181"/>
      <c r="E122" s="181"/>
      <c r="F122" s="181"/>
      <c r="G122" s="181"/>
      <c r="H122" s="181"/>
      <c r="I122" s="181"/>
    </row>
  </sheetData>
  <mergeCells count="28">
    <mergeCell ref="A14:I14"/>
    <mergeCell ref="A3:I3"/>
    <mergeCell ref="A4:I4"/>
    <mergeCell ref="A5:I5"/>
    <mergeCell ref="A8:I8"/>
    <mergeCell ref="A10:I10"/>
    <mergeCell ref="A108:I108"/>
    <mergeCell ref="A15:I15"/>
    <mergeCell ref="A27:I27"/>
    <mergeCell ref="A46:I46"/>
    <mergeCell ref="A57:I57"/>
    <mergeCell ref="A87:I87"/>
    <mergeCell ref="A91:I91"/>
    <mergeCell ref="A102:I102"/>
    <mergeCell ref="B103:G103"/>
    <mergeCell ref="B104:G104"/>
    <mergeCell ref="A106:I106"/>
    <mergeCell ref="A107:I107"/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2"/>
  <sheetViews>
    <sheetView workbookViewId="0">
      <selection activeCell="A106" sqref="A106:I10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0" hidden="1" customWidth="1"/>
    <col min="6" max="6" width="17" hidden="1" customWidth="1"/>
    <col min="7" max="7" width="22.5703125" customWidth="1"/>
    <col min="8" max="8" width="22.5703125" hidden="1" customWidth="1"/>
    <col min="9" max="9" width="22.5703125" customWidth="1"/>
    <col min="11" max="11" width="10" bestFit="1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158</v>
      </c>
      <c r="B3" s="200"/>
      <c r="C3" s="200"/>
      <c r="D3" s="200"/>
      <c r="E3" s="200"/>
      <c r="F3" s="200"/>
      <c r="G3" s="200"/>
      <c r="H3" s="200"/>
      <c r="I3" s="200"/>
    </row>
    <row r="4" spans="1:9" ht="31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214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03"/>
      <c r="C6" s="103"/>
      <c r="D6" s="103"/>
      <c r="E6" s="103"/>
      <c r="F6" s="103"/>
      <c r="G6" s="103"/>
      <c r="H6" s="103"/>
      <c r="I6" s="19">
        <v>43921</v>
      </c>
    </row>
    <row r="7" spans="1:9" ht="15.75">
      <c r="B7" s="104"/>
      <c r="C7" s="104"/>
      <c r="D7" s="104"/>
      <c r="E7" s="2"/>
      <c r="F7" s="2"/>
      <c r="G7" s="2"/>
      <c r="H7" s="2"/>
    </row>
    <row r="8" spans="1:9" ht="78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47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 ht="15" customHeight="1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 ht="15.75" customHeight="1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.7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 ht="15.7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 ht="15.7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t="15.75" hidden="1" customHeight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F19/2*G19</f>
        <v>428.48639999999995</v>
      </c>
    </row>
    <row r="20" spans="1:9" ht="15.75" hidden="1" customHeight="1">
      <c r="A20" s="18"/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t="15.75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t="15.75" hidden="1" customHeight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 t="shared" ref="I22:I24" si="1">F22/12*G22</f>
        <v>210.11829999999998</v>
      </c>
    </row>
    <row r="23" spans="1:9" ht="15.75" hidden="1" customHeight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 t="shared" si="1"/>
        <v>4.67544</v>
      </c>
    </row>
    <row r="24" spans="1:9" ht="15.75" hidden="1" customHeight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si="1"/>
        <v>163.55840000000001</v>
      </c>
    </row>
    <row r="25" spans="1:9" ht="15.75" customHeight="1">
      <c r="A25" s="18">
        <v>5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 ht="15.75" customHeight="1">
      <c r="A26" s="18">
        <v>6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 ht="15.75" customHeight="1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15.75" hidden="1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5.75" hidden="1" customHeight="1">
      <c r="A29" s="18"/>
      <c r="B29" s="23" t="s">
        <v>93</v>
      </c>
      <c r="C29" s="35" t="s">
        <v>87</v>
      </c>
      <c r="D29" s="23" t="s">
        <v>135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5" si="2">SUM(F29*G29/1000)</f>
        <v>6.2509574400000005</v>
      </c>
      <c r="I29" s="10">
        <f t="shared" ref="I29:I33" si="3">F29/6*G29</f>
        <v>1041.8262400000001</v>
      </c>
    </row>
    <row r="30" spans="1:9" ht="31.5" hidden="1" customHeight="1">
      <c r="A30" s="18"/>
      <c r="B30" s="23" t="s">
        <v>131</v>
      </c>
      <c r="C30" s="35" t="s">
        <v>87</v>
      </c>
      <c r="D30" s="23" t="s">
        <v>136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2"/>
        <v>3.0610310399999996</v>
      </c>
      <c r="I30" s="10">
        <f t="shared" si="3"/>
        <v>510.17183999999992</v>
      </c>
    </row>
    <row r="31" spans="1:9" ht="15.75" hidden="1" customHeight="1">
      <c r="A31" s="18"/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2"/>
        <v>2.5233035100000003</v>
      </c>
      <c r="I31" s="10">
        <f>F31*G31</f>
        <v>2523.3035100000002</v>
      </c>
    </row>
    <row r="32" spans="1:9" ht="15.75" hidden="1" customHeight="1">
      <c r="A32" s="18"/>
      <c r="B32" s="23" t="s">
        <v>137</v>
      </c>
      <c r="C32" s="35" t="s">
        <v>40</v>
      </c>
      <c r="D32" s="23" t="s">
        <v>138</v>
      </c>
      <c r="E32" s="22">
        <v>8</v>
      </c>
      <c r="F32" s="22">
        <f>SUM(E32*48/100)</f>
        <v>3.84</v>
      </c>
      <c r="G32" s="22">
        <v>1707.63</v>
      </c>
      <c r="H32" s="75">
        <f t="shared" si="2"/>
        <v>6.5572992000000001</v>
      </c>
      <c r="I32" s="10">
        <f t="shared" si="3"/>
        <v>1092.8832</v>
      </c>
    </row>
    <row r="33" spans="1:9" ht="15.75" hidden="1" customHeight="1">
      <c r="A33" s="18"/>
      <c r="B33" s="23" t="s">
        <v>92</v>
      </c>
      <c r="C33" s="35" t="s">
        <v>30</v>
      </c>
      <c r="D33" s="23" t="s">
        <v>63</v>
      </c>
      <c r="E33" s="77">
        <f>1/3</f>
        <v>0.33333333333333331</v>
      </c>
      <c r="F33" s="22">
        <f>155/3</f>
        <v>51.666666666666664</v>
      </c>
      <c r="G33" s="22">
        <v>74.349999999999994</v>
      </c>
      <c r="H33" s="75">
        <f t="shared" si="2"/>
        <v>3.841416666666666</v>
      </c>
      <c r="I33" s="10">
        <f t="shared" si="3"/>
        <v>640.23611111111109</v>
      </c>
    </row>
    <row r="34" spans="1:9" ht="15.75" hidden="1" customHeight="1">
      <c r="A34" s="18"/>
      <c r="B34" s="23" t="s">
        <v>64</v>
      </c>
      <c r="C34" s="35" t="s">
        <v>32</v>
      </c>
      <c r="D34" s="23" t="s">
        <v>66</v>
      </c>
      <c r="E34" s="74"/>
      <c r="F34" s="22">
        <v>2</v>
      </c>
      <c r="G34" s="22">
        <v>250.92</v>
      </c>
      <c r="H34" s="75">
        <f t="shared" si="2"/>
        <v>0.50183999999999995</v>
      </c>
      <c r="I34" s="10">
        <v>0</v>
      </c>
    </row>
    <row r="35" spans="1:9" ht="15.75" hidden="1" customHeight="1">
      <c r="A35" s="18"/>
      <c r="B35" s="23" t="s">
        <v>65</v>
      </c>
      <c r="C35" s="35" t="s">
        <v>31</v>
      </c>
      <c r="D35" s="23" t="s">
        <v>66</v>
      </c>
      <c r="E35" s="74"/>
      <c r="F35" s="22">
        <v>3</v>
      </c>
      <c r="G35" s="22">
        <v>1490.31</v>
      </c>
      <c r="H35" s="75">
        <f t="shared" si="2"/>
        <v>4.4709300000000001</v>
      </c>
      <c r="I35" s="10">
        <v>0</v>
      </c>
    </row>
    <row r="36" spans="1:9" ht="15.75" customHeight="1">
      <c r="A36" s="18"/>
      <c r="B36" s="92" t="s">
        <v>5</v>
      </c>
      <c r="C36" s="35"/>
      <c r="D36" s="23"/>
      <c r="E36" s="74"/>
      <c r="F36" s="22"/>
      <c r="G36" s="22"/>
      <c r="H36" s="75" t="s">
        <v>128</v>
      </c>
      <c r="I36" s="10"/>
    </row>
    <row r="37" spans="1:9" ht="15.75" customHeight="1">
      <c r="A37" s="18">
        <v>7</v>
      </c>
      <c r="B37" s="24" t="s">
        <v>26</v>
      </c>
      <c r="C37" s="35" t="s">
        <v>31</v>
      </c>
      <c r="D37" s="23" t="s">
        <v>216</v>
      </c>
      <c r="E37" s="74"/>
      <c r="F37" s="22">
        <v>8</v>
      </c>
      <c r="G37" s="22">
        <v>2003</v>
      </c>
      <c r="H37" s="75">
        <f t="shared" ref="H37:H44" si="4">SUM(F37*G37/1000)</f>
        <v>16.024000000000001</v>
      </c>
      <c r="I37" s="10">
        <f>G37*1.4</f>
        <v>2804.2</v>
      </c>
    </row>
    <row r="38" spans="1:9" ht="15.75" customHeight="1">
      <c r="A38" s="18">
        <v>8</v>
      </c>
      <c r="B38" s="24" t="s">
        <v>67</v>
      </c>
      <c r="C38" s="49" t="s">
        <v>29</v>
      </c>
      <c r="D38" s="24" t="s">
        <v>182</v>
      </c>
      <c r="E38" s="25">
        <v>188</v>
      </c>
      <c r="F38" s="25">
        <f>SUM(E38*26/1000)</f>
        <v>4.8879999999999999</v>
      </c>
      <c r="G38" s="25">
        <v>2757.78</v>
      </c>
      <c r="H38" s="75">
        <f t="shared" si="4"/>
        <v>13.48002864</v>
      </c>
      <c r="I38" s="10">
        <f t="shared" ref="I38:I44" si="5">F38/6*G38</f>
        <v>2246.6714400000001</v>
      </c>
    </row>
    <row r="39" spans="1:9" ht="15.75" customHeight="1">
      <c r="A39" s="18">
        <v>9</v>
      </c>
      <c r="B39" s="23" t="s">
        <v>68</v>
      </c>
      <c r="C39" s="35" t="s">
        <v>29</v>
      </c>
      <c r="D39" s="23" t="s">
        <v>183</v>
      </c>
      <c r="E39" s="22">
        <v>188</v>
      </c>
      <c r="F39" s="25">
        <f>SUM(E39*155/1000)</f>
        <v>29.14</v>
      </c>
      <c r="G39" s="22">
        <v>460.02</v>
      </c>
      <c r="H39" s="75">
        <f t="shared" si="4"/>
        <v>13.404982799999999</v>
      </c>
      <c r="I39" s="10">
        <f t="shared" si="5"/>
        <v>2234.1637999999998</v>
      </c>
    </row>
    <row r="40" spans="1:9" ht="15.75" hidden="1" customHeight="1">
      <c r="A40" s="18">
        <v>11</v>
      </c>
      <c r="B40" s="23" t="s">
        <v>140</v>
      </c>
      <c r="C40" s="35" t="s">
        <v>141</v>
      </c>
      <c r="D40" s="23"/>
      <c r="E40" s="74"/>
      <c r="F40" s="25">
        <v>50</v>
      </c>
      <c r="G40" s="22">
        <v>213.2</v>
      </c>
      <c r="H40" s="75">
        <f t="shared" si="4"/>
        <v>10.66</v>
      </c>
      <c r="I40" s="10">
        <v>0</v>
      </c>
    </row>
    <row r="41" spans="1:9" ht="47.25" customHeight="1">
      <c r="A41" s="18">
        <v>10</v>
      </c>
      <c r="B41" s="23" t="s">
        <v>82</v>
      </c>
      <c r="C41" s="35" t="s">
        <v>87</v>
      </c>
      <c r="D41" s="23" t="s">
        <v>182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4"/>
        <v>37.20335008</v>
      </c>
      <c r="I41" s="10">
        <f t="shared" si="5"/>
        <v>6200.5583466666667</v>
      </c>
    </row>
    <row r="42" spans="1:9" ht="15.75" customHeight="1">
      <c r="A42" s="18">
        <v>11</v>
      </c>
      <c r="B42" s="23" t="s">
        <v>88</v>
      </c>
      <c r="C42" s="35" t="s">
        <v>87</v>
      </c>
      <c r="D42" s="23" t="s">
        <v>215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4"/>
        <v>2.5368719999999998</v>
      </c>
      <c r="I42" s="10">
        <f>G42*F42/24</f>
        <v>105.70299999999999</v>
      </c>
    </row>
    <row r="43" spans="1:9" ht="15.75" customHeight="1">
      <c r="A43" s="18">
        <v>12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4"/>
        <v>0.8773470000000001</v>
      </c>
      <c r="I43" s="10">
        <f>G43*F43/24</f>
        <v>36.556125000000002</v>
      </c>
    </row>
    <row r="44" spans="1:9" ht="29.25" customHeight="1">
      <c r="A44" s="18">
        <v>13</v>
      </c>
      <c r="B44" s="66" t="s">
        <v>143</v>
      </c>
      <c r="C44" s="53" t="s">
        <v>29</v>
      </c>
      <c r="D44" s="24" t="s">
        <v>184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4"/>
        <v>7.4937599999999986E-3</v>
      </c>
      <c r="I44" s="10">
        <f t="shared" si="5"/>
        <v>1.2489599999999998</v>
      </c>
    </row>
    <row r="45" spans="1:9" ht="15.75" hidden="1" customHeight="1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t="15.75" hidden="1" customHeight="1">
      <c r="A46" s="18"/>
      <c r="B46" s="23" t="s">
        <v>129</v>
      </c>
      <c r="C46" s="35" t="s">
        <v>87</v>
      </c>
      <c r="D46" s="23" t="s">
        <v>42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6">SUM(F46*G46/1000)</f>
        <v>3.842075006</v>
      </c>
      <c r="I46" s="10">
        <f t="shared" ref="I46:I54" si="7">F46/2*G46</f>
        <v>1921.037503</v>
      </c>
    </row>
    <row r="47" spans="1:9" ht="15.75" hidden="1" customHeight="1">
      <c r="A47" s="18"/>
      <c r="B47" s="23" t="s">
        <v>35</v>
      </c>
      <c r="C47" s="35" t="s">
        <v>87</v>
      </c>
      <c r="D47" s="23" t="s">
        <v>42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6"/>
        <v>0.91916240000000005</v>
      </c>
      <c r="I47" s="10">
        <f t="shared" si="7"/>
        <v>459.58120000000002</v>
      </c>
    </row>
    <row r="48" spans="1:9" ht="15.75" hidden="1" customHeight="1">
      <c r="A48" s="18"/>
      <c r="B48" s="23" t="s">
        <v>36</v>
      </c>
      <c r="C48" s="35" t="s">
        <v>87</v>
      </c>
      <c r="D48" s="23" t="s">
        <v>42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6"/>
        <v>7.2034689005999999</v>
      </c>
      <c r="I48" s="10">
        <f t="shared" si="7"/>
        <v>3601.7344502999999</v>
      </c>
    </row>
    <row r="49" spans="1:9" ht="15.75" hidden="1" customHeight="1">
      <c r="A49" s="18"/>
      <c r="B49" s="23" t="s">
        <v>37</v>
      </c>
      <c r="C49" s="35" t="s">
        <v>87</v>
      </c>
      <c r="D49" s="23" t="s">
        <v>42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6"/>
        <v>6.6006486806</v>
      </c>
      <c r="I49" s="10">
        <f t="shared" si="7"/>
        <v>3300.3243403000001</v>
      </c>
    </row>
    <row r="50" spans="1:9" ht="15.75" hidden="1" customHeight="1">
      <c r="A50" s="18"/>
      <c r="B50" s="23" t="s">
        <v>33</v>
      </c>
      <c r="C50" s="35" t="s">
        <v>34</v>
      </c>
      <c r="D50" s="23" t="s">
        <v>42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6"/>
        <v>3.4774048560000002</v>
      </c>
      <c r="I50" s="10">
        <f t="shared" si="7"/>
        <v>1738.7024280000001</v>
      </c>
    </row>
    <row r="51" spans="1:9" ht="15.75" hidden="1" customHeight="1">
      <c r="A51" s="18">
        <v>15</v>
      </c>
      <c r="B51" s="23" t="s">
        <v>56</v>
      </c>
      <c r="C51" s="35" t="s">
        <v>87</v>
      </c>
      <c r="D51" s="23" t="s">
        <v>132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6"/>
        <v>39.635185905</v>
      </c>
      <c r="I51" s="10">
        <f>F51/5*G51</f>
        <v>7927.0371809999997</v>
      </c>
    </row>
    <row r="52" spans="1:9" ht="31.5" hidden="1" customHeight="1">
      <c r="A52" s="18"/>
      <c r="B52" s="23" t="s">
        <v>89</v>
      </c>
      <c r="C52" s="35" t="s">
        <v>87</v>
      </c>
      <c r="D52" s="23" t="s">
        <v>42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6"/>
        <v>13.989845679999998</v>
      </c>
      <c r="I52" s="10">
        <f t="shared" si="7"/>
        <v>6994.9228399999993</v>
      </c>
    </row>
    <row r="53" spans="1:9" ht="31.5" hidden="1" customHeight="1">
      <c r="A53" s="18"/>
      <c r="B53" s="23" t="s">
        <v>90</v>
      </c>
      <c r="C53" s="35" t="s">
        <v>38</v>
      </c>
      <c r="D53" s="23" t="s">
        <v>42</v>
      </c>
      <c r="E53" s="74">
        <v>40</v>
      </c>
      <c r="F53" s="22">
        <f>SUM(E53*2/100)</f>
        <v>0.8</v>
      </c>
      <c r="G53" s="27">
        <v>4058.32</v>
      </c>
      <c r="H53" s="75">
        <f t="shared" si="6"/>
        <v>3.2466560000000002</v>
      </c>
      <c r="I53" s="10">
        <f t="shared" si="7"/>
        <v>1623.3280000000002</v>
      </c>
    </row>
    <row r="54" spans="1:9" ht="15.75" hidden="1" customHeight="1">
      <c r="A54" s="18"/>
      <c r="B54" s="23" t="s">
        <v>39</v>
      </c>
      <c r="C54" s="35" t="s">
        <v>40</v>
      </c>
      <c r="D54" s="23" t="s">
        <v>42</v>
      </c>
      <c r="E54" s="74">
        <v>1</v>
      </c>
      <c r="F54" s="22">
        <v>0.02</v>
      </c>
      <c r="G54" s="27">
        <v>7412.92</v>
      </c>
      <c r="H54" s="75">
        <f t="shared" si="6"/>
        <v>0.14825839999999998</v>
      </c>
      <c r="I54" s="10">
        <f t="shared" si="7"/>
        <v>74.129199999999997</v>
      </c>
    </row>
    <row r="55" spans="1:9" ht="15.75" hidden="1" customHeight="1">
      <c r="A55" s="18">
        <v>16</v>
      </c>
      <c r="B55" s="23" t="s">
        <v>41</v>
      </c>
      <c r="C55" s="35" t="s">
        <v>94</v>
      </c>
      <c r="D55" s="23" t="s">
        <v>70</v>
      </c>
      <c r="E55" s="74">
        <v>160</v>
      </c>
      <c r="F55" s="22">
        <f>SUM(E55)*3</f>
        <v>480</v>
      </c>
      <c r="G55" s="28">
        <v>86.15</v>
      </c>
      <c r="H55" s="75">
        <f t="shared" si="6"/>
        <v>41.351999999999997</v>
      </c>
      <c r="I55" s="10">
        <f>F55/3*G55</f>
        <v>13784</v>
      </c>
    </row>
    <row r="56" spans="1:9" ht="15.75" customHeight="1">
      <c r="A56" s="190" t="s">
        <v>125</v>
      </c>
      <c r="B56" s="191"/>
      <c r="C56" s="191"/>
      <c r="D56" s="191"/>
      <c r="E56" s="191"/>
      <c r="F56" s="191"/>
      <c r="G56" s="191"/>
      <c r="H56" s="191"/>
      <c r="I56" s="192"/>
    </row>
    <row r="57" spans="1:9" ht="15.75" hidden="1" customHeight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30" hidden="1" customHeight="1">
      <c r="A58" s="18">
        <v>14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>G58*0.125</f>
        <v>253.66249999999999</v>
      </c>
    </row>
    <row r="59" spans="1:9" ht="19.5" hidden="1" customHeight="1">
      <c r="A59" s="18">
        <v>15</v>
      </c>
      <c r="B59" s="23" t="s">
        <v>145</v>
      </c>
      <c r="C59" s="35" t="s">
        <v>146</v>
      </c>
      <c r="D59" s="23" t="s">
        <v>187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G59*1</f>
        <v>1582.05</v>
      </c>
    </row>
    <row r="60" spans="1:9" ht="15.75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t="19.5" hidden="1" customHeight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5.75" customHeight="1">
      <c r="A62" s="18">
        <v>14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 ht="15.75" hidden="1" customHeight="1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t="15.75" hidden="1" customHeight="1">
      <c r="A64" s="18">
        <v>18</v>
      </c>
      <c r="B64" s="50" t="s">
        <v>47</v>
      </c>
      <c r="C64" s="31" t="s">
        <v>94</v>
      </c>
      <c r="D64" s="23" t="s">
        <v>66</v>
      </c>
      <c r="E64" s="12">
        <v>10</v>
      </c>
      <c r="F64" s="22">
        <f>SUM(E64)</f>
        <v>10</v>
      </c>
      <c r="G64" s="27">
        <v>291.68</v>
      </c>
      <c r="H64" s="64">
        <f t="shared" ref="H64:H83" si="8">SUM(F64*G64/1000)</f>
        <v>2.9168000000000003</v>
      </c>
      <c r="I64" s="10">
        <f>G64*3</f>
        <v>875.04</v>
      </c>
    </row>
    <row r="65" spans="1:9" ht="15.75" hidden="1" customHeight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8"/>
        <v>0.50004999999999999</v>
      </c>
      <c r="I65" s="10">
        <v>0</v>
      </c>
    </row>
    <row r="66" spans="1:9" ht="15.75" hidden="1" customHeight="1">
      <c r="A66" s="18"/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278.24</v>
      </c>
      <c r="H66" s="64">
        <f t="shared" si="8"/>
        <v>66.952891199999996</v>
      </c>
      <c r="I66" s="10">
        <f>F66*G66</f>
        <v>66952.891199999998</v>
      </c>
    </row>
    <row r="67" spans="1:9" ht="15.75" hidden="1" customHeight="1">
      <c r="A67" s="18"/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216.68</v>
      </c>
      <c r="H67" s="64">
        <f t="shared" si="8"/>
        <v>5.21397084</v>
      </c>
      <c r="I67" s="10">
        <f t="shared" ref="I67:I71" si="9">F67*G67</f>
        <v>5213.97084</v>
      </c>
    </row>
    <row r="68" spans="1:9" ht="15.75" hidden="1" customHeight="1">
      <c r="A68" s="18"/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2720.94</v>
      </c>
      <c r="H68" s="64">
        <f t="shared" si="8"/>
        <v>35.372219999999999</v>
      </c>
      <c r="I68" s="10">
        <f t="shared" si="9"/>
        <v>35372.22</v>
      </c>
    </row>
    <row r="69" spans="1:9" ht="15.75" hidden="1" customHeight="1">
      <c r="A69" s="18"/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8"/>
        <v>0.44314399999999998</v>
      </c>
      <c r="I69" s="10">
        <f t="shared" si="9"/>
        <v>443.14400000000001</v>
      </c>
    </row>
    <row r="70" spans="1:9" ht="31.5" hidden="1" customHeight="1">
      <c r="A70" s="18"/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8"/>
        <v>0.47881600000000002</v>
      </c>
      <c r="I70" s="10">
        <f t="shared" si="9"/>
        <v>478.81600000000003</v>
      </c>
    </row>
    <row r="71" spans="1:9" ht="15.75" hidden="1" customHeight="1">
      <c r="A71" s="18"/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8"/>
        <v>0.3271</v>
      </c>
      <c r="I71" s="10">
        <f t="shared" si="9"/>
        <v>327.10000000000002</v>
      </c>
    </row>
    <row r="72" spans="1:9" ht="15.75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t="15.75" hidden="1" customHeight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0">SUM(F73*G73/1000)</f>
        <v>1.0291199999999998</v>
      </c>
      <c r="I73" s="10">
        <v>0</v>
      </c>
    </row>
    <row r="74" spans="1:9" ht="15.75" hidden="1" customHeight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0"/>
        <v>0.73499999999999999</v>
      </c>
      <c r="I74" s="10">
        <v>0</v>
      </c>
    </row>
    <row r="75" spans="1:9" ht="15.75" hidden="1" customHeight="1">
      <c r="A75" s="18">
        <v>19</v>
      </c>
      <c r="B75" s="30" t="s">
        <v>74</v>
      </c>
      <c r="C75" s="31" t="s">
        <v>75</v>
      </c>
      <c r="D75" s="23" t="s">
        <v>66</v>
      </c>
      <c r="E75" s="12">
        <v>7</v>
      </c>
      <c r="F75" s="27">
        <f>E75/10</f>
        <v>0.7</v>
      </c>
      <c r="G75" s="27">
        <v>657.87</v>
      </c>
      <c r="H75" s="64">
        <f t="shared" si="10"/>
        <v>0.46050899999999995</v>
      </c>
      <c r="I75" s="10">
        <f>G75*0.9</f>
        <v>592.08299999999997</v>
      </c>
    </row>
    <row r="76" spans="1:9" ht="15.75" hidden="1" customHeight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0"/>
        <v>1.1187199999999999</v>
      </c>
      <c r="I76" s="10">
        <v>0</v>
      </c>
    </row>
    <row r="77" spans="1:9" ht="15.75" hidden="1" customHeight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15.75" customHeight="1">
      <c r="A78" s="18">
        <v>15</v>
      </c>
      <c r="B78" s="66" t="s">
        <v>151</v>
      </c>
      <c r="C78" s="53" t="s">
        <v>94</v>
      </c>
      <c r="D78" s="30" t="s">
        <v>180</v>
      </c>
      <c r="E78" s="85">
        <v>2</v>
      </c>
      <c r="F78" s="83">
        <f>E78*12</f>
        <v>24</v>
      </c>
      <c r="G78" s="86">
        <v>53.42</v>
      </c>
      <c r="H78" s="64">
        <f t="shared" ref="H78:H79" si="11">SUM(F78*G78/1000)</f>
        <v>1.2820799999999999</v>
      </c>
      <c r="I78" s="10">
        <f>F78/12*G78</f>
        <v>106.84</v>
      </c>
    </row>
    <row r="79" spans="1:9" ht="15.75" customHeight="1">
      <c r="A79" s="18">
        <v>16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27">
        <v>1194</v>
      </c>
      <c r="H79" s="64">
        <f t="shared" si="11"/>
        <v>14.327999999999999</v>
      </c>
      <c r="I79" s="10">
        <f>F79/12*G79</f>
        <v>1194</v>
      </c>
    </row>
    <row r="80" spans="1:9" ht="15.75" customHeight="1">
      <c r="A80" s="18"/>
      <c r="B80" s="95" t="s">
        <v>152</v>
      </c>
      <c r="C80" s="53"/>
      <c r="D80" s="30"/>
      <c r="E80" s="12"/>
      <c r="F80" s="27"/>
      <c r="G80" s="27"/>
      <c r="H80" s="64"/>
      <c r="I80" s="10"/>
    </row>
    <row r="81" spans="1:11" ht="15.75" customHeight="1">
      <c r="A81" s="18">
        <v>17</v>
      </c>
      <c r="B81" s="30" t="s">
        <v>153</v>
      </c>
      <c r="C81" s="36" t="s">
        <v>154</v>
      </c>
      <c r="D81" s="23"/>
      <c r="E81" s="12">
        <v>4394.8999999999996</v>
      </c>
      <c r="F81" s="27">
        <f>SUM(E81*12)</f>
        <v>52738.799999999996</v>
      </c>
      <c r="G81" s="27">
        <v>2.2799999999999998</v>
      </c>
      <c r="H81" s="64">
        <f t="shared" ref="H81" si="12">SUM(F81*G81/1000)</f>
        <v>120.24446399999998</v>
      </c>
      <c r="I81" s="10">
        <f>F81/12*G81</f>
        <v>10020.371999999998</v>
      </c>
    </row>
    <row r="82" spans="1:11" ht="15.75" hidden="1" customHeight="1">
      <c r="A82" s="18"/>
      <c r="B82" s="44" t="s">
        <v>76</v>
      </c>
      <c r="C82" s="31"/>
      <c r="D82" s="30"/>
      <c r="E82" s="12"/>
      <c r="F82" s="27"/>
      <c r="G82" s="27" t="s">
        <v>128</v>
      </c>
      <c r="H82" s="64" t="s">
        <v>128</v>
      </c>
      <c r="I82" s="10"/>
    </row>
    <row r="83" spans="1:11" ht="15.75" hidden="1" customHeight="1">
      <c r="A83" s="18"/>
      <c r="B83" s="32" t="s">
        <v>99</v>
      </c>
      <c r="C83" s="33" t="s">
        <v>77</v>
      </c>
      <c r="D83" s="50"/>
      <c r="E83" s="87"/>
      <c r="F83" s="28">
        <v>0.6</v>
      </c>
      <c r="G83" s="28">
        <v>3619.09</v>
      </c>
      <c r="H83" s="64">
        <f t="shared" si="8"/>
        <v>2.1714540000000002</v>
      </c>
      <c r="I83" s="10">
        <v>0</v>
      </c>
    </row>
    <row r="84" spans="1:11" ht="15.75" hidden="1" customHeight="1">
      <c r="A84" s="18"/>
      <c r="B84" s="102" t="s">
        <v>91</v>
      </c>
      <c r="C84" s="62"/>
      <c r="D84" s="20"/>
      <c r="E84" s="21"/>
      <c r="F84" s="59"/>
      <c r="G84" s="59"/>
      <c r="H84" s="88">
        <f>SUM(H58:H83)</f>
        <v>284.91172943999999</v>
      </c>
      <c r="I84" s="10"/>
    </row>
    <row r="85" spans="1:11" ht="15.75" hidden="1" customHeight="1">
      <c r="A85" s="18"/>
      <c r="B85" s="23" t="s">
        <v>97</v>
      </c>
      <c r="C85" s="89"/>
      <c r="D85" s="90"/>
      <c r="E85" s="91"/>
      <c r="F85" s="29">
        <v>1</v>
      </c>
      <c r="G85" s="29">
        <v>18792</v>
      </c>
      <c r="H85" s="64">
        <f>G85*F85/1000</f>
        <v>18.792000000000002</v>
      </c>
      <c r="I85" s="10">
        <v>0</v>
      </c>
    </row>
    <row r="86" spans="1:11" ht="15.75" customHeight="1">
      <c r="A86" s="190" t="s">
        <v>126</v>
      </c>
      <c r="B86" s="191"/>
      <c r="C86" s="191"/>
      <c r="D86" s="191"/>
      <c r="E86" s="191"/>
      <c r="F86" s="191"/>
      <c r="G86" s="191"/>
      <c r="H86" s="191"/>
      <c r="I86" s="192"/>
    </row>
    <row r="87" spans="1:11" ht="15.75" customHeight="1">
      <c r="A87" s="18">
        <v>18</v>
      </c>
      <c r="B87" s="23" t="s">
        <v>98</v>
      </c>
      <c r="C87" s="31" t="s">
        <v>55</v>
      </c>
      <c r="D87" s="51"/>
      <c r="E87" s="27">
        <v>4394.8999999999996</v>
      </c>
      <c r="F87" s="27">
        <f>SUM(E87*12)</f>
        <v>52738.799999999996</v>
      </c>
      <c r="G87" s="27">
        <v>3.1</v>
      </c>
      <c r="H87" s="64">
        <f>SUM(F87*G87/1000)</f>
        <v>163.49028000000001</v>
      </c>
      <c r="I87" s="10">
        <f>F87/12*G87</f>
        <v>13624.189999999999</v>
      </c>
    </row>
    <row r="88" spans="1:11" ht="30.75" customHeight="1">
      <c r="A88" s="18">
        <v>19</v>
      </c>
      <c r="B88" s="30" t="s">
        <v>78</v>
      </c>
      <c r="C88" s="31"/>
      <c r="D88" s="51"/>
      <c r="E88" s="74">
        <f>E87</f>
        <v>4394.8999999999996</v>
      </c>
      <c r="F88" s="27">
        <f>E88*12</f>
        <v>52738.799999999996</v>
      </c>
      <c r="G88" s="27">
        <v>3.5</v>
      </c>
      <c r="H88" s="64">
        <f>F88*G88/1000</f>
        <v>184.58579999999998</v>
      </c>
      <c r="I88" s="10">
        <f>F88/12*G88</f>
        <v>15382.149999999998</v>
      </c>
      <c r="K88" s="109"/>
    </row>
    <row r="89" spans="1:11" ht="15.75" customHeight="1">
      <c r="A89" s="18"/>
      <c r="B89" s="34" t="s">
        <v>80</v>
      </c>
      <c r="C89" s="62"/>
      <c r="D89" s="61"/>
      <c r="E89" s="59"/>
      <c r="F89" s="59"/>
      <c r="G89" s="59"/>
      <c r="H89" s="63">
        <f>SUM(H76)</f>
        <v>1.1187199999999999</v>
      </c>
      <c r="I89" s="59">
        <f>I88+I87+I81+I79+I78+I62+I44+I43+I42+I41+I39+I38+I37+I26+I25+I21+I18+I17+I16</f>
        <v>76865.602953666646</v>
      </c>
    </row>
    <row r="90" spans="1:11" ht="15.75" customHeight="1">
      <c r="A90" s="193" t="s">
        <v>60</v>
      </c>
      <c r="B90" s="194"/>
      <c r="C90" s="194"/>
      <c r="D90" s="194"/>
      <c r="E90" s="194"/>
      <c r="F90" s="194"/>
      <c r="G90" s="194"/>
      <c r="H90" s="194"/>
      <c r="I90" s="195"/>
    </row>
    <row r="91" spans="1:11" ht="15.75" customHeight="1">
      <c r="A91" s="37">
        <v>20</v>
      </c>
      <c r="B91" s="66" t="s">
        <v>118</v>
      </c>
      <c r="C91" s="53" t="s">
        <v>94</v>
      </c>
      <c r="D91" s="65"/>
      <c r="E91" s="27"/>
      <c r="F91" s="27">
        <v>10</v>
      </c>
      <c r="G91" s="27">
        <v>60.72</v>
      </c>
      <c r="H91" s="37"/>
      <c r="I91" s="37">
        <f>G91*1</f>
        <v>60.72</v>
      </c>
    </row>
    <row r="92" spans="1:11" ht="30" customHeight="1">
      <c r="A92" s="18">
        <v>21</v>
      </c>
      <c r="B92" s="66" t="s">
        <v>167</v>
      </c>
      <c r="C92" s="53" t="s">
        <v>117</v>
      </c>
      <c r="D92" s="65"/>
      <c r="E92" s="27"/>
      <c r="F92" s="27">
        <v>1</v>
      </c>
      <c r="G92" s="27">
        <v>670.51</v>
      </c>
      <c r="H92" s="37"/>
      <c r="I92" s="18">
        <f>G92*1</f>
        <v>670.51</v>
      </c>
    </row>
    <row r="93" spans="1:11" ht="15.75" customHeight="1">
      <c r="A93" s="37">
        <v>22</v>
      </c>
      <c r="B93" s="66" t="s">
        <v>157</v>
      </c>
      <c r="C93" s="53" t="s">
        <v>172</v>
      </c>
      <c r="D93" s="65" t="s">
        <v>287</v>
      </c>
      <c r="E93" s="27"/>
      <c r="F93" s="27">
        <v>12</v>
      </c>
      <c r="G93" s="27">
        <v>284</v>
      </c>
      <c r="H93" s="37"/>
      <c r="I93" s="170">
        <v>0</v>
      </c>
    </row>
    <row r="94" spans="1:11" ht="15.75" customHeight="1">
      <c r="A94" s="37">
        <v>23</v>
      </c>
      <c r="B94" s="66" t="s">
        <v>39</v>
      </c>
      <c r="C94" s="53" t="s">
        <v>204</v>
      </c>
      <c r="D94" s="65" t="s">
        <v>185</v>
      </c>
      <c r="E94" s="27"/>
      <c r="F94" s="27">
        <v>0.02</v>
      </c>
      <c r="G94" s="27">
        <v>8426.7199999999993</v>
      </c>
      <c r="H94" s="37"/>
      <c r="I94" s="170">
        <v>0</v>
      </c>
    </row>
    <row r="95" spans="1:11" ht="15.75" customHeight="1">
      <c r="A95" s="37">
        <v>24</v>
      </c>
      <c r="B95" s="66" t="s">
        <v>129</v>
      </c>
      <c r="C95" s="53" t="s">
        <v>29</v>
      </c>
      <c r="D95" s="65" t="s">
        <v>185</v>
      </c>
      <c r="E95" s="27"/>
      <c r="F95" s="27">
        <v>0.06</v>
      </c>
      <c r="G95" s="27">
        <v>1356.96</v>
      </c>
      <c r="H95" s="37"/>
      <c r="I95" s="170">
        <v>0</v>
      </c>
    </row>
    <row r="96" spans="1:11" ht="15.75" customHeight="1">
      <c r="A96" s="37">
        <v>25</v>
      </c>
      <c r="B96" s="66" t="s">
        <v>175</v>
      </c>
      <c r="C96" s="53" t="s">
        <v>40</v>
      </c>
      <c r="D96" s="65"/>
      <c r="E96" s="27"/>
      <c r="F96" s="27">
        <v>0.03</v>
      </c>
      <c r="G96" s="27">
        <v>27139.18</v>
      </c>
      <c r="H96" s="37"/>
      <c r="I96" s="170">
        <v>0</v>
      </c>
    </row>
    <row r="97" spans="1:9" ht="15.75" customHeight="1">
      <c r="A97" s="37">
        <v>26</v>
      </c>
      <c r="B97" s="66" t="s">
        <v>173</v>
      </c>
      <c r="C97" s="53" t="s">
        <v>134</v>
      </c>
      <c r="D97" s="65" t="s">
        <v>217</v>
      </c>
      <c r="E97" s="27"/>
      <c r="F97" s="27">
        <v>2</v>
      </c>
      <c r="G97" s="27">
        <v>222.63</v>
      </c>
      <c r="H97" s="37"/>
      <c r="I97" s="170">
        <f>G97*1</f>
        <v>222.63</v>
      </c>
    </row>
    <row r="98" spans="1:9" ht="15.75" customHeight="1">
      <c r="A98" s="37">
        <v>27</v>
      </c>
      <c r="B98" s="66" t="s">
        <v>237</v>
      </c>
      <c r="C98" s="53" t="s">
        <v>149</v>
      </c>
      <c r="D98" s="65"/>
      <c r="E98" s="27"/>
      <c r="F98" s="27"/>
      <c r="G98" s="27">
        <v>23400</v>
      </c>
      <c r="H98" s="37"/>
      <c r="I98" s="170">
        <f>G98*1</f>
        <v>23400</v>
      </c>
    </row>
    <row r="99" spans="1:9">
      <c r="A99" s="18"/>
      <c r="B99" s="41" t="s">
        <v>52</v>
      </c>
      <c r="C99" s="37"/>
      <c r="D99" s="47"/>
      <c r="E99" s="37">
        <v>1</v>
      </c>
      <c r="F99" s="37"/>
      <c r="G99" s="37"/>
      <c r="H99" s="37"/>
      <c r="I99" s="21">
        <f>SUM(I91:I98)</f>
        <v>24353.86</v>
      </c>
    </row>
    <row r="100" spans="1:9" ht="15.75" customHeight="1">
      <c r="A100" s="18"/>
      <c r="B100" s="45" t="s">
        <v>79</v>
      </c>
      <c r="C100" s="11"/>
      <c r="D100" s="11"/>
      <c r="E100" s="38"/>
      <c r="F100" s="38"/>
      <c r="G100" s="39"/>
      <c r="H100" s="39"/>
      <c r="I100" s="12">
        <v>0</v>
      </c>
    </row>
    <row r="101" spans="1:9" ht="15.75" customHeight="1">
      <c r="A101" s="48"/>
      <c r="B101" s="42" t="s">
        <v>155</v>
      </c>
      <c r="C101" s="26"/>
      <c r="D101" s="26"/>
      <c r="E101" s="26"/>
      <c r="F101" s="26"/>
      <c r="G101" s="26"/>
      <c r="H101" s="26"/>
      <c r="I101" s="40">
        <f>I89+I99</f>
        <v>101219.46295366665</v>
      </c>
    </row>
    <row r="102" spans="1:9" ht="15.75">
      <c r="A102" s="196" t="s">
        <v>288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 customHeight="1">
      <c r="A103" s="54"/>
      <c r="B103" s="197" t="s">
        <v>289</v>
      </c>
      <c r="C103" s="197"/>
      <c r="D103" s="197"/>
      <c r="E103" s="197"/>
      <c r="F103" s="197"/>
      <c r="G103" s="197"/>
      <c r="H103" s="57"/>
      <c r="I103" s="2"/>
    </row>
    <row r="104" spans="1:9" ht="15.75" customHeight="1">
      <c r="A104" s="107"/>
      <c r="B104" s="184" t="s">
        <v>6</v>
      </c>
      <c r="C104" s="184"/>
      <c r="D104" s="184"/>
      <c r="E104" s="184"/>
      <c r="F104" s="184"/>
      <c r="G104" s="184"/>
      <c r="H104" s="13"/>
      <c r="I104" s="4"/>
    </row>
    <row r="105" spans="1:9" ht="15.75" customHeight="1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 customHeight="1">
      <c r="A106" s="198" t="s">
        <v>7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 customHeight="1">
      <c r="A107" s="198" t="s">
        <v>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61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 customHeight="1">
      <c r="A109" s="8"/>
    </row>
    <row r="110" spans="1:9" ht="15.75">
      <c r="A110" s="182" t="s">
        <v>9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 customHeight="1">
      <c r="A111" s="3"/>
    </row>
    <row r="112" spans="1:9" ht="15.75">
      <c r="B112" s="104" t="s">
        <v>10</v>
      </c>
      <c r="C112" s="183" t="s">
        <v>123</v>
      </c>
      <c r="D112" s="183"/>
      <c r="E112" s="183"/>
      <c r="F112" s="55"/>
      <c r="I112" s="106"/>
    </row>
    <row r="113" spans="1:9">
      <c r="A113" s="107"/>
      <c r="C113" s="184" t="s">
        <v>11</v>
      </c>
      <c r="D113" s="184"/>
      <c r="E113" s="184"/>
      <c r="F113" s="13"/>
      <c r="I113" s="105" t="s">
        <v>12</v>
      </c>
    </row>
    <row r="114" spans="1:9" ht="15.75">
      <c r="A114" s="14"/>
      <c r="C114" s="9"/>
      <c r="D114" s="9"/>
      <c r="G114" s="9"/>
      <c r="H114" s="9"/>
    </row>
    <row r="115" spans="1:9" ht="15.75" customHeight="1">
      <c r="B115" s="104" t="s">
        <v>13</v>
      </c>
      <c r="C115" s="185"/>
      <c r="D115" s="185"/>
      <c r="E115" s="185"/>
      <c r="F115" s="56"/>
      <c r="I115" s="106"/>
    </row>
    <row r="116" spans="1:9" ht="15.75" customHeight="1">
      <c r="A116" s="107"/>
      <c r="C116" s="186" t="s">
        <v>11</v>
      </c>
      <c r="D116" s="186"/>
      <c r="E116" s="186"/>
      <c r="F116" s="107"/>
      <c r="I116" s="105" t="s">
        <v>12</v>
      </c>
    </row>
    <row r="117" spans="1:9" ht="15.75" customHeight="1">
      <c r="A117" s="3" t="s">
        <v>14</v>
      </c>
    </row>
    <row r="118" spans="1:9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5" customHeight="1">
      <c r="A119" s="181" t="s">
        <v>16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0" customHeight="1">
      <c r="A120" s="181" t="s">
        <v>17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0" customHeight="1">
      <c r="A121" s="181" t="s">
        <v>21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" customHeight="1">
      <c r="A122" s="181" t="s">
        <v>20</v>
      </c>
      <c r="B122" s="181"/>
      <c r="C122" s="181"/>
      <c r="D122" s="181"/>
      <c r="E122" s="181"/>
      <c r="F122" s="181"/>
      <c r="G122" s="181"/>
      <c r="H122" s="181"/>
      <c r="I122" s="181"/>
    </row>
  </sheetData>
  <mergeCells count="28">
    <mergeCell ref="A119:I119"/>
    <mergeCell ref="A120:I120"/>
    <mergeCell ref="A121:I121"/>
    <mergeCell ref="A122:I122"/>
    <mergeCell ref="A110:I110"/>
    <mergeCell ref="C112:E112"/>
    <mergeCell ref="C113:E113"/>
    <mergeCell ref="C115:E115"/>
    <mergeCell ref="C116:E116"/>
    <mergeCell ref="A118:I118"/>
    <mergeCell ref="A108:I108"/>
    <mergeCell ref="A15:I15"/>
    <mergeCell ref="A27:I27"/>
    <mergeCell ref="A45:I45"/>
    <mergeCell ref="A56:I56"/>
    <mergeCell ref="A86:I86"/>
    <mergeCell ref="A90:I90"/>
    <mergeCell ref="A102:I102"/>
    <mergeCell ref="B103:G103"/>
    <mergeCell ref="B104:G104"/>
    <mergeCell ref="A106:I106"/>
    <mergeCell ref="A107:I107"/>
    <mergeCell ref="A14:I14"/>
    <mergeCell ref="A3:I3"/>
    <mergeCell ref="A4:I4"/>
    <mergeCell ref="A5:I5"/>
    <mergeCell ref="A8:I8"/>
    <mergeCell ref="A10:I10"/>
  </mergeCells>
  <pageMargins left="0.70866141732283472" right="0.70866141732283472" top="0.27559055118110237" bottom="0.27559055118110237" header="0.31496062992125984" footer="0.31496062992125984"/>
  <pageSetup paperSize="9" scale="6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1"/>
  <sheetViews>
    <sheetView view="pageBreakPreview" topLeftCell="A82" zoomScale="60" workbookViewId="0">
      <selection activeCell="I104" sqref="A104:I105"/>
    </sheetView>
  </sheetViews>
  <sheetFormatPr defaultRowHeight="15"/>
  <cols>
    <col min="2" max="2" width="54.7109375" customWidth="1"/>
    <col min="3" max="3" width="18" customWidth="1"/>
    <col min="4" max="4" width="18.28515625" customWidth="1"/>
    <col min="5" max="6" width="0" hidden="1" customWidth="1"/>
    <col min="7" max="7" width="17.42578125" customWidth="1"/>
    <col min="8" max="8" width="0" hidden="1" customWidth="1"/>
    <col min="9" max="9" width="18.425781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163</v>
      </c>
      <c r="B3" s="200"/>
      <c r="C3" s="200"/>
      <c r="D3" s="200"/>
      <c r="E3" s="200"/>
      <c r="F3" s="200"/>
      <c r="G3" s="200"/>
      <c r="H3" s="200"/>
      <c r="I3" s="200"/>
    </row>
    <row r="4" spans="1:9" ht="32.2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218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14"/>
      <c r="C6" s="114"/>
      <c r="D6" s="114"/>
      <c r="E6" s="114"/>
      <c r="F6" s="114"/>
      <c r="G6" s="114"/>
      <c r="H6" s="114"/>
      <c r="I6" s="19">
        <v>43951</v>
      </c>
    </row>
    <row r="7" spans="1:9" ht="15.75">
      <c r="B7" s="113"/>
      <c r="C7" s="113"/>
      <c r="D7" s="113"/>
      <c r="E7" s="2"/>
      <c r="F7" s="2"/>
      <c r="G7" s="2"/>
      <c r="H7" s="2"/>
    </row>
    <row r="8" spans="1:9" ht="81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63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54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idden="1">
      <c r="A19" s="18"/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F19/2*G19</f>
        <v>428.48639999999995</v>
      </c>
    </row>
    <row r="20" spans="1:9" hidden="1">
      <c r="A20" s="18"/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idden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idden="1">
      <c r="A22" s="18"/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 t="shared" ref="I22:I24" si="1">F22/12*G22</f>
        <v>210.11829999999998</v>
      </c>
    </row>
    <row r="23" spans="1:9" hidden="1">
      <c r="A23" s="18"/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 t="shared" si="1"/>
        <v>4.67544</v>
      </c>
    </row>
    <row r="24" spans="1:9" hidden="1">
      <c r="A24" s="18"/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si="1"/>
        <v>163.55840000000001</v>
      </c>
    </row>
    <row r="25" spans="1:9">
      <c r="A25" s="18">
        <v>4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>
      <c r="A26" s="18">
        <v>5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idden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idden="1">
      <c r="A29" s="18"/>
      <c r="B29" s="23" t="s">
        <v>93</v>
      </c>
      <c r="C29" s="35" t="s">
        <v>87</v>
      </c>
      <c r="D29" s="23" t="s">
        <v>135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5" si="2">SUM(F29*G29/1000)</f>
        <v>6.2509574400000005</v>
      </c>
      <c r="I29" s="10">
        <f t="shared" ref="I29:I33" si="3">F29/6*G29</f>
        <v>1041.8262400000001</v>
      </c>
    </row>
    <row r="30" spans="1:9" ht="30" hidden="1">
      <c r="A30" s="18"/>
      <c r="B30" s="23" t="s">
        <v>131</v>
      </c>
      <c r="C30" s="35" t="s">
        <v>87</v>
      </c>
      <c r="D30" s="23" t="s">
        <v>136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2"/>
        <v>3.0610310399999996</v>
      </c>
      <c r="I30" s="10">
        <f t="shared" si="3"/>
        <v>510.17183999999992</v>
      </c>
    </row>
    <row r="31" spans="1:9" hidden="1">
      <c r="A31" s="18"/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2"/>
        <v>2.5233035100000003</v>
      </c>
      <c r="I31" s="10">
        <f>F31*G31</f>
        <v>2523.3035100000002</v>
      </c>
    </row>
    <row r="32" spans="1:9" hidden="1">
      <c r="A32" s="18"/>
      <c r="B32" s="23" t="s">
        <v>137</v>
      </c>
      <c r="C32" s="35" t="s">
        <v>40</v>
      </c>
      <c r="D32" s="23" t="s">
        <v>138</v>
      </c>
      <c r="E32" s="22">
        <v>8</v>
      </c>
      <c r="F32" s="22">
        <f>SUM(E32*48/100)</f>
        <v>3.84</v>
      </c>
      <c r="G32" s="22">
        <v>1707.63</v>
      </c>
      <c r="H32" s="75">
        <f t="shared" si="2"/>
        <v>6.5572992000000001</v>
      </c>
      <c r="I32" s="10">
        <f t="shared" si="3"/>
        <v>1092.8832</v>
      </c>
    </row>
    <row r="33" spans="1:9" hidden="1">
      <c r="A33" s="18"/>
      <c r="B33" s="23" t="s">
        <v>92</v>
      </c>
      <c r="C33" s="35" t="s">
        <v>30</v>
      </c>
      <c r="D33" s="23" t="s">
        <v>63</v>
      </c>
      <c r="E33" s="77">
        <f>1/3</f>
        <v>0.33333333333333331</v>
      </c>
      <c r="F33" s="22">
        <f>155/3</f>
        <v>51.666666666666664</v>
      </c>
      <c r="G33" s="22">
        <v>74.349999999999994</v>
      </c>
      <c r="H33" s="75">
        <f t="shared" si="2"/>
        <v>3.841416666666666</v>
      </c>
      <c r="I33" s="10">
        <f t="shared" si="3"/>
        <v>640.23611111111109</v>
      </c>
    </row>
    <row r="34" spans="1:9" hidden="1">
      <c r="A34" s="18"/>
      <c r="B34" s="23" t="s">
        <v>64</v>
      </c>
      <c r="C34" s="35" t="s">
        <v>32</v>
      </c>
      <c r="D34" s="23" t="s">
        <v>66</v>
      </c>
      <c r="E34" s="74"/>
      <c r="F34" s="22">
        <v>2</v>
      </c>
      <c r="G34" s="22">
        <v>250.92</v>
      </c>
      <c r="H34" s="75">
        <f t="shared" si="2"/>
        <v>0.50183999999999995</v>
      </c>
      <c r="I34" s="10">
        <v>0</v>
      </c>
    </row>
    <row r="35" spans="1:9" hidden="1">
      <c r="A35" s="18"/>
      <c r="B35" s="23" t="s">
        <v>65</v>
      </c>
      <c r="C35" s="35" t="s">
        <v>31</v>
      </c>
      <c r="D35" s="23" t="s">
        <v>66</v>
      </c>
      <c r="E35" s="74"/>
      <c r="F35" s="22">
        <v>3</v>
      </c>
      <c r="G35" s="22">
        <v>1490.31</v>
      </c>
      <c r="H35" s="75">
        <f t="shared" si="2"/>
        <v>4.4709300000000001</v>
      </c>
      <c r="I35" s="10">
        <v>0</v>
      </c>
    </row>
    <row r="36" spans="1:9">
      <c r="A36" s="18"/>
      <c r="B36" s="92" t="s">
        <v>5</v>
      </c>
      <c r="C36" s="35"/>
      <c r="D36" s="23"/>
      <c r="E36" s="74"/>
      <c r="F36" s="22"/>
      <c r="G36" s="22"/>
      <c r="H36" s="75" t="s">
        <v>128</v>
      </c>
      <c r="I36" s="10"/>
    </row>
    <row r="37" spans="1:9" hidden="1">
      <c r="A37" s="18">
        <v>8</v>
      </c>
      <c r="B37" s="24" t="s">
        <v>26</v>
      </c>
      <c r="C37" s="35" t="s">
        <v>31</v>
      </c>
      <c r="D37" s="23"/>
      <c r="E37" s="74"/>
      <c r="F37" s="22">
        <v>8</v>
      </c>
      <c r="G37" s="22">
        <v>2003</v>
      </c>
      <c r="H37" s="75">
        <f t="shared" ref="H37:H45" si="4">SUM(F37*G37/1000)</f>
        <v>16.024000000000001</v>
      </c>
      <c r="I37" s="10">
        <f t="shared" ref="I37:I45" si="5">F37/6*G37</f>
        <v>2670.6666666666665</v>
      </c>
    </row>
    <row r="38" spans="1:9">
      <c r="A38" s="18">
        <v>6</v>
      </c>
      <c r="B38" s="24" t="s">
        <v>67</v>
      </c>
      <c r="C38" s="49" t="s">
        <v>29</v>
      </c>
      <c r="D38" s="24" t="s">
        <v>182</v>
      </c>
      <c r="E38" s="25">
        <v>188</v>
      </c>
      <c r="F38" s="25">
        <f>SUM(E38*26/1000)</f>
        <v>4.8879999999999999</v>
      </c>
      <c r="G38" s="25">
        <v>2757.78</v>
      </c>
      <c r="H38" s="75">
        <f t="shared" si="4"/>
        <v>13.48002864</v>
      </c>
      <c r="I38" s="10">
        <f t="shared" si="5"/>
        <v>2246.6714400000001</v>
      </c>
    </row>
    <row r="39" spans="1:9" ht="30.75" customHeight="1">
      <c r="A39" s="18">
        <v>7</v>
      </c>
      <c r="B39" s="23" t="s">
        <v>68</v>
      </c>
      <c r="C39" s="35" t="s">
        <v>29</v>
      </c>
      <c r="D39" s="23" t="s">
        <v>183</v>
      </c>
      <c r="E39" s="22">
        <v>188</v>
      </c>
      <c r="F39" s="25">
        <f>SUM(E39*155/1000)</f>
        <v>29.14</v>
      </c>
      <c r="G39" s="22">
        <v>460.02</v>
      </c>
      <c r="H39" s="75">
        <f t="shared" si="4"/>
        <v>13.404982799999999</v>
      </c>
      <c r="I39" s="10">
        <f t="shared" si="5"/>
        <v>2234.1637999999998</v>
      </c>
    </row>
    <row r="40" spans="1:9" hidden="1">
      <c r="A40" s="18">
        <v>11</v>
      </c>
      <c r="B40" s="23" t="s">
        <v>140</v>
      </c>
      <c r="C40" s="35" t="s">
        <v>141</v>
      </c>
      <c r="D40" s="23"/>
      <c r="E40" s="74"/>
      <c r="F40" s="25">
        <v>50</v>
      </c>
      <c r="G40" s="22">
        <v>213.2</v>
      </c>
      <c r="H40" s="75">
        <f t="shared" si="4"/>
        <v>10.66</v>
      </c>
      <c r="I40" s="10">
        <v>0</v>
      </c>
    </row>
    <row r="41" spans="1:9" hidden="1">
      <c r="A41" s="18">
        <v>8</v>
      </c>
      <c r="B41" s="23" t="s">
        <v>140</v>
      </c>
      <c r="C41" s="35" t="s">
        <v>141</v>
      </c>
      <c r="D41" s="121" t="s">
        <v>174</v>
      </c>
      <c r="E41" s="74"/>
      <c r="F41" s="25"/>
      <c r="G41" s="22">
        <v>213.2</v>
      </c>
      <c r="H41" s="75"/>
      <c r="I41" s="10">
        <f>G41*40</f>
        <v>8528</v>
      </c>
    </row>
    <row r="42" spans="1:9" ht="45">
      <c r="A42" s="18">
        <v>8</v>
      </c>
      <c r="B42" s="23" t="s">
        <v>82</v>
      </c>
      <c r="C42" s="35" t="s">
        <v>87</v>
      </c>
      <c r="D42" s="23" t="s">
        <v>182</v>
      </c>
      <c r="E42" s="22">
        <v>188</v>
      </c>
      <c r="F42" s="25">
        <f>SUM(E42*26/1000)</f>
        <v>4.8879999999999999</v>
      </c>
      <c r="G42" s="22">
        <v>7611.16</v>
      </c>
      <c r="H42" s="75">
        <f t="shared" si="4"/>
        <v>37.20335008</v>
      </c>
      <c r="I42" s="10">
        <f t="shared" si="5"/>
        <v>6200.5583466666667</v>
      </c>
    </row>
    <row r="43" spans="1:9" hidden="1">
      <c r="A43" s="18">
        <v>10</v>
      </c>
      <c r="B43" s="23" t="s">
        <v>88</v>
      </c>
      <c r="C43" s="35" t="s">
        <v>87</v>
      </c>
      <c r="D43" s="23" t="s">
        <v>182</v>
      </c>
      <c r="E43" s="22">
        <v>188</v>
      </c>
      <c r="F43" s="25">
        <f>SUM(E43*24/1000)</f>
        <v>4.5119999999999996</v>
      </c>
      <c r="G43" s="22">
        <v>562.25</v>
      </c>
      <c r="H43" s="75">
        <f t="shared" si="4"/>
        <v>2.5368719999999998</v>
      </c>
      <c r="I43" s="10">
        <f>(F43/7.5*1.5)*G43</f>
        <v>507.37439999999992</v>
      </c>
    </row>
    <row r="44" spans="1:9" hidden="1">
      <c r="A44" s="18">
        <v>11</v>
      </c>
      <c r="B44" s="24" t="s">
        <v>69</v>
      </c>
      <c r="C44" s="49" t="s">
        <v>32</v>
      </c>
      <c r="D44" s="24"/>
      <c r="E44" s="78"/>
      <c r="F44" s="25">
        <v>0.9</v>
      </c>
      <c r="G44" s="25">
        <v>974.83</v>
      </c>
      <c r="H44" s="75">
        <f t="shared" si="4"/>
        <v>0.8773470000000001</v>
      </c>
      <c r="I44" s="10">
        <f>(F44/7.5*1.5)*G44</f>
        <v>175.46940000000004</v>
      </c>
    </row>
    <row r="45" spans="1:9" ht="30">
      <c r="A45" s="18">
        <v>9</v>
      </c>
      <c r="B45" s="66" t="s">
        <v>143</v>
      </c>
      <c r="C45" s="53" t="s">
        <v>29</v>
      </c>
      <c r="D45" s="24" t="s">
        <v>184</v>
      </c>
      <c r="E45" s="78">
        <v>2.4</v>
      </c>
      <c r="F45" s="25">
        <f>SUM(E45*12/1000)</f>
        <v>2.8799999999999996E-2</v>
      </c>
      <c r="G45" s="25">
        <v>260.2</v>
      </c>
      <c r="H45" s="75">
        <f t="shared" si="4"/>
        <v>7.4937599999999986E-3</v>
      </c>
      <c r="I45" s="10">
        <f t="shared" si="5"/>
        <v>1.2489599999999998</v>
      </c>
    </row>
    <row r="46" spans="1:9" hidden="1">
      <c r="A46" s="190" t="s">
        <v>121</v>
      </c>
      <c r="B46" s="191"/>
      <c r="C46" s="191"/>
      <c r="D46" s="191"/>
      <c r="E46" s="191"/>
      <c r="F46" s="191"/>
      <c r="G46" s="191"/>
      <c r="H46" s="191"/>
      <c r="I46" s="192"/>
    </row>
    <row r="47" spans="1:9" hidden="1">
      <c r="A47" s="18"/>
      <c r="B47" s="23" t="s">
        <v>129</v>
      </c>
      <c r="C47" s="35" t="s">
        <v>87</v>
      </c>
      <c r="D47" s="23" t="s">
        <v>42</v>
      </c>
      <c r="E47" s="74">
        <v>1609.3</v>
      </c>
      <c r="F47" s="22">
        <f>SUM(E47*2/1000)</f>
        <v>3.2185999999999999</v>
      </c>
      <c r="G47" s="27">
        <v>1193.71</v>
      </c>
      <c r="H47" s="75">
        <f t="shared" ref="H47:H56" si="6">SUM(F47*G47/1000)</f>
        <v>3.842075006</v>
      </c>
      <c r="I47" s="10">
        <f t="shared" ref="I47:I55" si="7">F47/2*G47</f>
        <v>1921.037503</v>
      </c>
    </row>
    <row r="48" spans="1:9" hidden="1">
      <c r="A48" s="18"/>
      <c r="B48" s="23" t="s">
        <v>35</v>
      </c>
      <c r="C48" s="35" t="s">
        <v>87</v>
      </c>
      <c r="D48" s="23" t="s">
        <v>42</v>
      </c>
      <c r="E48" s="74">
        <v>104</v>
      </c>
      <c r="F48" s="22">
        <f>SUM(E48*2/1000)</f>
        <v>0.20799999999999999</v>
      </c>
      <c r="G48" s="27">
        <v>4419.05</v>
      </c>
      <c r="H48" s="75">
        <f t="shared" si="6"/>
        <v>0.91916240000000005</v>
      </c>
      <c r="I48" s="10">
        <f t="shared" si="7"/>
        <v>459.58120000000002</v>
      </c>
    </row>
    <row r="49" spans="1:9" hidden="1">
      <c r="A49" s="18"/>
      <c r="B49" s="23" t="s">
        <v>36</v>
      </c>
      <c r="C49" s="35" t="s">
        <v>87</v>
      </c>
      <c r="D49" s="23" t="s">
        <v>42</v>
      </c>
      <c r="E49" s="74">
        <v>1996.87</v>
      </c>
      <c r="F49" s="22">
        <f>SUM(E49*2/1000)</f>
        <v>3.9937399999999998</v>
      </c>
      <c r="G49" s="27">
        <v>1803.69</v>
      </c>
      <c r="H49" s="75">
        <f t="shared" si="6"/>
        <v>7.2034689005999999</v>
      </c>
      <c r="I49" s="10">
        <f t="shared" si="7"/>
        <v>3601.7344502999999</v>
      </c>
    </row>
    <row r="50" spans="1:9" hidden="1">
      <c r="A50" s="18"/>
      <c r="B50" s="23" t="s">
        <v>37</v>
      </c>
      <c r="C50" s="35" t="s">
        <v>87</v>
      </c>
      <c r="D50" s="23" t="s">
        <v>42</v>
      </c>
      <c r="E50" s="74">
        <v>2654.21</v>
      </c>
      <c r="F50" s="22">
        <f>SUM(E50*2/1000)</f>
        <v>5.3084199999999999</v>
      </c>
      <c r="G50" s="27">
        <v>1243.43</v>
      </c>
      <c r="H50" s="75">
        <f t="shared" si="6"/>
        <v>6.6006486806</v>
      </c>
      <c r="I50" s="10">
        <f t="shared" si="7"/>
        <v>3300.3243403000001</v>
      </c>
    </row>
    <row r="51" spans="1:9" hidden="1">
      <c r="A51" s="18"/>
      <c r="B51" s="23" t="s">
        <v>33</v>
      </c>
      <c r="C51" s="35" t="s">
        <v>34</v>
      </c>
      <c r="D51" s="23" t="s">
        <v>42</v>
      </c>
      <c r="E51" s="74">
        <v>128.53</v>
      </c>
      <c r="F51" s="22">
        <f>SUM(E51*2/100)</f>
        <v>2.5706000000000002</v>
      </c>
      <c r="G51" s="27">
        <v>1352.76</v>
      </c>
      <c r="H51" s="75">
        <f t="shared" si="6"/>
        <v>3.4774048560000002</v>
      </c>
      <c r="I51" s="10">
        <f t="shared" si="7"/>
        <v>1738.7024280000001</v>
      </c>
    </row>
    <row r="52" spans="1:9" hidden="1">
      <c r="A52" s="18">
        <v>15</v>
      </c>
      <c r="B52" s="23" t="s">
        <v>56</v>
      </c>
      <c r="C52" s="35" t="s">
        <v>87</v>
      </c>
      <c r="D52" s="23" t="s">
        <v>132</v>
      </c>
      <c r="E52" s="74">
        <v>4394.8999999999996</v>
      </c>
      <c r="F52" s="22">
        <f>SUM(E52*5/1000)</f>
        <v>21.974499999999999</v>
      </c>
      <c r="G52" s="27">
        <v>1803.69</v>
      </c>
      <c r="H52" s="75">
        <f t="shared" si="6"/>
        <v>39.635185905</v>
      </c>
      <c r="I52" s="10">
        <f>F52/5*G52</f>
        <v>7927.0371809999997</v>
      </c>
    </row>
    <row r="53" spans="1:9" ht="30" hidden="1">
      <c r="A53" s="18"/>
      <c r="B53" s="23" t="s">
        <v>89</v>
      </c>
      <c r="C53" s="35" t="s">
        <v>87</v>
      </c>
      <c r="D53" s="23" t="s">
        <v>42</v>
      </c>
      <c r="E53" s="74">
        <v>4394.8999999999996</v>
      </c>
      <c r="F53" s="22">
        <f>SUM(E53*2/1000)</f>
        <v>8.7897999999999996</v>
      </c>
      <c r="G53" s="27">
        <v>1591.6</v>
      </c>
      <c r="H53" s="75">
        <f t="shared" si="6"/>
        <v>13.989845679999998</v>
      </c>
      <c r="I53" s="10">
        <f t="shared" si="7"/>
        <v>6994.9228399999993</v>
      </c>
    </row>
    <row r="54" spans="1:9" ht="30" hidden="1">
      <c r="A54" s="18"/>
      <c r="B54" s="23" t="s">
        <v>90</v>
      </c>
      <c r="C54" s="35" t="s">
        <v>38</v>
      </c>
      <c r="D54" s="23" t="s">
        <v>42</v>
      </c>
      <c r="E54" s="74">
        <v>40</v>
      </c>
      <c r="F54" s="22">
        <f>SUM(E54*2/100)</f>
        <v>0.8</v>
      </c>
      <c r="G54" s="27">
        <v>4058.32</v>
      </c>
      <c r="H54" s="75">
        <f t="shared" si="6"/>
        <v>3.2466560000000002</v>
      </c>
      <c r="I54" s="10">
        <f t="shared" si="7"/>
        <v>1623.3280000000002</v>
      </c>
    </row>
    <row r="55" spans="1:9" hidden="1">
      <c r="A55" s="18"/>
      <c r="B55" s="23" t="s">
        <v>39</v>
      </c>
      <c r="C55" s="35" t="s">
        <v>40</v>
      </c>
      <c r="D55" s="23" t="s">
        <v>42</v>
      </c>
      <c r="E55" s="74">
        <v>1</v>
      </c>
      <c r="F55" s="22">
        <v>0.02</v>
      </c>
      <c r="G55" s="27">
        <v>7412.92</v>
      </c>
      <c r="H55" s="75">
        <f t="shared" si="6"/>
        <v>0.14825839999999998</v>
      </c>
      <c r="I55" s="10">
        <f t="shared" si="7"/>
        <v>74.129199999999997</v>
      </c>
    </row>
    <row r="56" spans="1:9" hidden="1">
      <c r="A56" s="18">
        <v>16</v>
      </c>
      <c r="B56" s="23" t="s">
        <v>41</v>
      </c>
      <c r="C56" s="35" t="s">
        <v>94</v>
      </c>
      <c r="D56" s="23" t="s">
        <v>70</v>
      </c>
      <c r="E56" s="74">
        <v>160</v>
      </c>
      <c r="F56" s="22">
        <f>SUM(E56)*3</f>
        <v>480</v>
      </c>
      <c r="G56" s="28">
        <v>86.15</v>
      </c>
      <c r="H56" s="75">
        <f t="shared" si="6"/>
        <v>41.351999999999997</v>
      </c>
      <c r="I56" s="10">
        <f>F56/3*G56</f>
        <v>13784</v>
      </c>
    </row>
    <row r="57" spans="1:9">
      <c r="A57" s="190" t="s">
        <v>125</v>
      </c>
      <c r="B57" s="191"/>
      <c r="C57" s="191"/>
      <c r="D57" s="191"/>
      <c r="E57" s="191"/>
      <c r="F57" s="191"/>
      <c r="G57" s="191"/>
      <c r="H57" s="191"/>
      <c r="I57" s="192"/>
    </row>
    <row r="58" spans="1:9" hidden="1">
      <c r="A58" s="18"/>
      <c r="B58" s="92" t="s">
        <v>43</v>
      </c>
      <c r="C58" s="35"/>
      <c r="D58" s="23"/>
      <c r="E58" s="74"/>
      <c r="F58" s="22"/>
      <c r="G58" s="22"/>
      <c r="H58" s="75"/>
      <c r="I58" s="10"/>
    </row>
    <row r="59" spans="1:9" ht="33.75" hidden="1" customHeight="1">
      <c r="A59" s="18">
        <v>13</v>
      </c>
      <c r="B59" s="23" t="s">
        <v>130</v>
      </c>
      <c r="C59" s="35" t="s">
        <v>85</v>
      </c>
      <c r="D59" s="23"/>
      <c r="E59" s="74">
        <v>160</v>
      </c>
      <c r="F59" s="22">
        <f>SUM(E59*6/100)</f>
        <v>9.6</v>
      </c>
      <c r="G59" s="27">
        <v>2029.3</v>
      </c>
      <c r="H59" s="75">
        <f>SUM(F59*G59/1000)</f>
        <v>19.481279999999998</v>
      </c>
      <c r="I59" s="10">
        <f>G59*0.16</f>
        <v>324.68799999999999</v>
      </c>
    </row>
    <row r="60" spans="1:9" ht="16.5" hidden="1" customHeight="1">
      <c r="A60" s="18">
        <v>18</v>
      </c>
      <c r="B60" s="23" t="s">
        <v>145</v>
      </c>
      <c r="C60" s="35" t="s">
        <v>146</v>
      </c>
      <c r="D60" s="23" t="s">
        <v>66</v>
      </c>
      <c r="E60" s="74"/>
      <c r="F60" s="22">
        <v>3</v>
      </c>
      <c r="G60" s="27">
        <v>1582.05</v>
      </c>
      <c r="H60" s="75">
        <f>SUM(F60*G60/1000)</f>
        <v>4.7461499999999992</v>
      </c>
      <c r="I60" s="10">
        <f>G60*(1.5+1+1.5)</f>
        <v>6328.2</v>
      </c>
    </row>
    <row r="61" spans="1:9">
      <c r="A61" s="18"/>
      <c r="B61" s="92" t="s">
        <v>44</v>
      </c>
      <c r="C61" s="35"/>
      <c r="D61" s="23"/>
      <c r="E61" s="74"/>
      <c r="F61" s="22"/>
      <c r="G61" s="94"/>
      <c r="H61" s="75"/>
      <c r="I61" s="10"/>
    </row>
    <row r="62" spans="1:9" hidden="1">
      <c r="A62" s="18"/>
      <c r="B62" s="23" t="s">
        <v>45</v>
      </c>
      <c r="C62" s="35" t="s">
        <v>85</v>
      </c>
      <c r="D62" s="23" t="s">
        <v>54</v>
      </c>
      <c r="E62" s="74">
        <v>206</v>
      </c>
      <c r="F62" s="22">
        <f>SUM(E62/100)</f>
        <v>2.06</v>
      </c>
      <c r="G62" s="22">
        <v>1040.8399999999999</v>
      </c>
      <c r="H62" s="75">
        <f>F62*G62/1000</f>
        <v>2.1441303999999999</v>
      </c>
      <c r="I62" s="10">
        <v>0</v>
      </c>
    </row>
    <row r="63" spans="1:9">
      <c r="A63" s="18">
        <v>10</v>
      </c>
      <c r="B63" s="23" t="s">
        <v>119</v>
      </c>
      <c r="C63" s="35" t="s">
        <v>25</v>
      </c>
      <c r="D63" s="23" t="s">
        <v>185</v>
      </c>
      <c r="E63" s="74">
        <v>200</v>
      </c>
      <c r="F63" s="22">
        <f>E63*12</f>
        <v>2400</v>
      </c>
      <c r="G63" s="52">
        <v>1.4</v>
      </c>
      <c r="H63" s="75">
        <f>F63*G63/1000</f>
        <v>3.36</v>
      </c>
      <c r="I63" s="10">
        <f>F63/12*G63</f>
        <v>280</v>
      </c>
    </row>
    <row r="64" spans="1:9">
      <c r="A64" s="18"/>
      <c r="B64" s="93" t="s">
        <v>46</v>
      </c>
      <c r="C64" s="80"/>
      <c r="D64" s="81"/>
      <c r="E64" s="82"/>
      <c r="F64" s="83"/>
      <c r="G64" s="83"/>
      <c r="H64" s="84" t="s">
        <v>128</v>
      </c>
      <c r="I64" s="10"/>
    </row>
    <row r="65" spans="1:9">
      <c r="A65" s="18">
        <v>11</v>
      </c>
      <c r="B65" s="50" t="s">
        <v>47</v>
      </c>
      <c r="C65" s="31" t="s">
        <v>94</v>
      </c>
      <c r="D65" s="23" t="s">
        <v>185</v>
      </c>
      <c r="E65" s="12">
        <v>10</v>
      </c>
      <c r="F65" s="22">
        <f>SUM(E65)</f>
        <v>10</v>
      </c>
      <c r="G65" s="27">
        <v>291.68</v>
      </c>
      <c r="H65" s="64">
        <f t="shared" ref="H65:H84" si="8">SUM(F65*G65/1000)</f>
        <v>2.9168000000000003</v>
      </c>
      <c r="I65" s="10">
        <f>G65*1</f>
        <v>291.68</v>
      </c>
    </row>
    <row r="66" spans="1:9" ht="15.75" hidden="1" customHeight="1">
      <c r="A66" s="18"/>
      <c r="B66" s="50" t="s">
        <v>48</v>
      </c>
      <c r="C66" s="31" t="s">
        <v>94</v>
      </c>
      <c r="D66" s="23" t="s">
        <v>66</v>
      </c>
      <c r="E66" s="12">
        <v>5</v>
      </c>
      <c r="F66" s="22">
        <f>SUM(E66)</f>
        <v>5</v>
      </c>
      <c r="G66" s="27">
        <v>100.01</v>
      </c>
      <c r="H66" s="64">
        <f t="shared" si="8"/>
        <v>0.50004999999999999</v>
      </c>
      <c r="I66" s="10">
        <v>0</v>
      </c>
    </row>
    <row r="67" spans="1:9" hidden="1">
      <c r="A67" s="18"/>
      <c r="B67" s="50" t="s">
        <v>49</v>
      </c>
      <c r="C67" s="33" t="s">
        <v>95</v>
      </c>
      <c r="D67" s="30" t="s">
        <v>54</v>
      </c>
      <c r="E67" s="74">
        <v>24063</v>
      </c>
      <c r="F67" s="28">
        <f>SUM(E67/100)</f>
        <v>240.63</v>
      </c>
      <c r="G67" s="27">
        <v>278.24</v>
      </c>
      <c r="H67" s="64">
        <f t="shared" si="8"/>
        <v>66.952891199999996</v>
      </c>
      <c r="I67" s="10">
        <f>F67*G67</f>
        <v>66952.891199999998</v>
      </c>
    </row>
    <row r="68" spans="1:9" hidden="1">
      <c r="A68" s="18"/>
      <c r="B68" s="50" t="s">
        <v>50</v>
      </c>
      <c r="C68" s="31" t="s">
        <v>96</v>
      </c>
      <c r="D68" s="30" t="s">
        <v>54</v>
      </c>
      <c r="E68" s="74">
        <v>24063</v>
      </c>
      <c r="F68" s="27">
        <f>SUM(E68/1000)</f>
        <v>24.062999999999999</v>
      </c>
      <c r="G68" s="27">
        <v>216.68</v>
      </c>
      <c r="H68" s="64">
        <f t="shared" si="8"/>
        <v>5.21397084</v>
      </c>
      <c r="I68" s="10">
        <f t="shared" ref="I68:I72" si="9">F68*G68</f>
        <v>5213.97084</v>
      </c>
    </row>
    <row r="69" spans="1:9" hidden="1">
      <c r="A69" s="18"/>
      <c r="B69" s="50" t="s">
        <v>51</v>
      </c>
      <c r="C69" s="31" t="s">
        <v>77</v>
      </c>
      <c r="D69" s="30" t="s">
        <v>54</v>
      </c>
      <c r="E69" s="74">
        <v>1300</v>
      </c>
      <c r="F69" s="27">
        <f>SUM(E69/100)</f>
        <v>13</v>
      </c>
      <c r="G69" s="27">
        <v>2720.94</v>
      </c>
      <c r="H69" s="64">
        <f t="shared" si="8"/>
        <v>35.372219999999999</v>
      </c>
      <c r="I69" s="10">
        <f t="shared" si="9"/>
        <v>35372.22</v>
      </c>
    </row>
    <row r="70" spans="1:9" hidden="1">
      <c r="A70" s="18"/>
      <c r="B70" s="46" t="s">
        <v>71</v>
      </c>
      <c r="C70" s="31" t="s">
        <v>32</v>
      </c>
      <c r="D70" s="30"/>
      <c r="E70" s="74">
        <v>10.4</v>
      </c>
      <c r="F70" s="27">
        <f>SUM(E70)</f>
        <v>10.4</v>
      </c>
      <c r="G70" s="27">
        <v>42.61</v>
      </c>
      <c r="H70" s="64">
        <f t="shared" si="8"/>
        <v>0.44314399999999998</v>
      </c>
      <c r="I70" s="10">
        <f t="shared" si="9"/>
        <v>443.14400000000001</v>
      </c>
    </row>
    <row r="71" spans="1:9" ht="30" hidden="1">
      <c r="A71" s="18"/>
      <c r="B71" s="46" t="s">
        <v>72</v>
      </c>
      <c r="C71" s="31" t="s">
        <v>32</v>
      </c>
      <c r="D71" s="30"/>
      <c r="E71" s="74">
        <v>10.4</v>
      </c>
      <c r="F71" s="27">
        <f>SUM(E71)</f>
        <v>10.4</v>
      </c>
      <c r="G71" s="27">
        <v>46.04</v>
      </c>
      <c r="H71" s="64">
        <f t="shared" si="8"/>
        <v>0.47881600000000002</v>
      </c>
      <c r="I71" s="10">
        <f t="shared" si="9"/>
        <v>478.81600000000003</v>
      </c>
    </row>
    <row r="72" spans="1:9" hidden="1">
      <c r="A72" s="18"/>
      <c r="B72" s="30" t="s">
        <v>57</v>
      </c>
      <c r="C72" s="31" t="s">
        <v>58</v>
      </c>
      <c r="D72" s="30" t="s">
        <v>54</v>
      </c>
      <c r="E72" s="12">
        <v>5</v>
      </c>
      <c r="F72" s="22">
        <f>SUM(E72)</f>
        <v>5</v>
      </c>
      <c r="G72" s="27">
        <v>65.42</v>
      </c>
      <c r="H72" s="64">
        <f t="shared" si="8"/>
        <v>0.3271</v>
      </c>
      <c r="I72" s="10">
        <f t="shared" si="9"/>
        <v>327.10000000000002</v>
      </c>
    </row>
    <row r="73" spans="1:9">
      <c r="A73" s="18"/>
      <c r="B73" s="43" t="s">
        <v>73</v>
      </c>
      <c r="C73" s="31"/>
      <c r="D73" s="30"/>
      <c r="E73" s="12"/>
      <c r="F73" s="27"/>
      <c r="G73" s="27"/>
      <c r="H73" s="64" t="s">
        <v>128</v>
      </c>
      <c r="I73" s="10"/>
    </row>
    <row r="74" spans="1:9" hidden="1">
      <c r="A74" s="18"/>
      <c r="B74" s="30" t="s">
        <v>147</v>
      </c>
      <c r="C74" s="31" t="s">
        <v>94</v>
      </c>
      <c r="D74" s="23" t="s">
        <v>66</v>
      </c>
      <c r="E74" s="12">
        <v>1</v>
      </c>
      <c r="F74" s="27">
        <v>1</v>
      </c>
      <c r="G74" s="27">
        <v>1029.1199999999999</v>
      </c>
      <c r="H74" s="64">
        <f t="shared" ref="H74:H77" si="10">SUM(F74*G74/1000)</f>
        <v>1.0291199999999998</v>
      </c>
      <c r="I74" s="10">
        <v>0</v>
      </c>
    </row>
    <row r="75" spans="1:9" hidden="1">
      <c r="A75" s="18"/>
      <c r="B75" s="30" t="s">
        <v>148</v>
      </c>
      <c r="C75" s="31" t="s">
        <v>149</v>
      </c>
      <c r="D75" s="30"/>
      <c r="E75" s="12">
        <v>1</v>
      </c>
      <c r="F75" s="27">
        <f>E75</f>
        <v>1</v>
      </c>
      <c r="G75" s="27">
        <v>735</v>
      </c>
      <c r="H75" s="64">
        <f t="shared" si="10"/>
        <v>0.73499999999999999</v>
      </c>
      <c r="I75" s="10">
        <v>0</v>
      </c>
    </row>
    <row r="76" spans="1:9" hidden="1">
      <c r="A76" s="18">
        <v>19</v>
      </c>
      <c r="B76" s="30" t="s">
        <v>74</v>
      </c>
      <c r="C76" s="31" t="s">
        <v>75</v>
      </c>
      <c r="D76" s="23" t="s">
        <v>66</v>
      </c>
      <c r="E76" s="12">
        <v>7</v>
      </c>
      <c r="F76" s="27">
        <f>E76/10</f>
        <v>0.7</v>
      </c>
      <c r="G76" s="27">
        <v>657.87</v>
      </c>
      <c r="H76" s="64">
        <f t="shared" si="10"/>
        <v>0.46050899999999995</v>
      </c>
      <c r="I76" s="10">
        <f>G76*0.9</f>
        <v>592.08299999999997</v>
      </c>
    </row>
    <row r="77" spans="1:9" hidden="1">
      <c r="A77" s="18"/>
      <c r="B77" s="30" t="s">
        <v>115</v>
      </c>
      <c r="C77" s="31" t="s">
        <v>94</v>
      </c>
      <c r="D77" s="23" t="s">
        <v>66</v>
      </c>
      <c r="E77" s="12">
        <v>1</v>
      </c>
      <c r="F77" s="22">
        <f>SUM(E77)</f>
        <v>1</v>
      </c>
      <c r="G77" s="27">
        <v>1118.72</v>
      </c>
      <c r="H77" s="64">
        <f t="shared" si="10"/>
        <v>1.1187199999999999</v>
      </c>
      <c r="I77" s="10">
        <v>0</v>
      </c>
    </row>
    <row r="78" spans="1:9" hidden="1">
      <c r="A78" s="18"/>
      <c r="B78" s="66" t="s">
        <v>150</v>
      </c>
      <c r="C78" s="53" t="s">
        <v>94</v>
      </c>
      <c r="D78" s="23" t="s">
        <v>66</v>
      </c>
      <c r="E78" s="12">
        <v>1</v>
      </c>
      <c r="F78" s="52">
        <v>1</v>
      </c>
      <c r="G78" s="27">
        <v>1605.83</v>
      </c>
      <c r="H78" s="64">
        <f>SUM(F78*G78/1000)</f>
        <v>1.6058299999999999</v>
      </c>
      <c r="I78" s="10">
        <v>0</v>
      </c>
    </row>
    <row r="79" spans="1:9" ht="30">
      <c r="A79" s="18">
        <v>12</v>
      </c>
      <c r="B79" s="66" t="s">
        <v>151</v>
      </c>
      <c r="C79" s="53" t="s">
        <v>94</v>
      </c>
      <c r="D79" s="30" t="s">
        <v>180</v>
      </c>
      <c r="E79" s="85">
        <v>2</v>
      </c>
      <c r="F79" s="83">
        <f>E79*12</f>
        <v>24</v>
      </c>
      <c r="G79" s="86">
        <v>53.42</v>
      </c>
      <c r="H79" s="64">
        <f t="shared" ref="H79:H80" si="11">SUM(F79*G79/1000)</f>
        <v>1.2820799999999999</v>
      </c>
      <c r="I79" s="10">
        <f>F79/12*G79</f>
        <v>106.84</v>
      </c>
    </row>
    <row r="80" spans="1:9">
      <c r="A80" s="18">
        <v>13</v>
      </c>
      <c r="B80" s="60" t="s">
        <v>116</v>
      </c>
      <c r="C80" s="31"/>
      <c r="D80" s="30" t="s">
        <v>180</v>
      </c>
      <c r="E80" s="12">
        <v>1</v>
      </c>
      <c r="F80" s="27">
        <v>12</v>
      </c>
      <c r="G80" s="27">
        <v>1194</v>
      </c>
      <c r="H80" s="64">
        <f t="shared" si="11"/>
        <v>14.327999999999999</v>
      </c>
      <c r="I80" s="10">
        <f>F80/12*G80</f>
        <v>1194</v>
      </c>
    </row>
    <row r="81" spans="1:9">
      <c r="A81" s="18"/>
      <c r="B81" s="95" t="s">
        <v>152</v>
      </c>
      <c r="C81" s="53"/>
      <c r="D81" s="30"/>
      <c r="E81" s="12"/>
      <c r="F81" s="27"/>
      <c r="G81" s="27"/>
      <c r="H81" s="64"/>
      <c r="I81" s="10"/>
    </row>
    <row r="82" spans="1:9">
      <c r="A82" s="18">
        <v>14</v>
      </c>
      <c r="B82" s="30" t="s">
        <v>153</v>
      </c>
      <c r="C82" s="36" t="s">
        <v>154</v>
      </c>
      <c r="D82" s="23"/>
      <c r="E82" s="12">
        <v>4394.8999999999996</v>
      </c>
      <c r="F82" s="27">
        <f>SUM(E82*12)</f>
        <v>52738.799999999996</v>
      </c>
      <c r="G82" s="27">
        <v>2.2799999999999998</v>
      </c>
      <c r="H82" s="64">
        <f t="shared" ref="H82" si="12">SUM(F82*G82/1000)</f>
        <v>120.24446399999998</v>
      </c>
      <c r="I82" s="10">
        <f>F82/12*G82</f>
        <v>10020.371999999998</v>
      </c>
    </row>
    <row r="83" spans="1:9" hidden="1">
      <c r="A83" s="18"/>
      <c r="B83" s="44" t="s">
        <v>76</v>
      </c>
      <c r="C83" s="31"/>
      <c r="D83" s="30"/>
      <c r="E83" s="12"/>
      <c r="F83" s="27"/>
      <c r="G83" s="27" t="s">
        <v>128</v>
      </c>
      <c r="H83" s="64" t="s">
        <v>128</v>
      </c>
      <c r="I83" s="10"/>
    </row>
    <row r="84" spans="1:9" hidden="1">
      <c r="A84" s="18"/>
      <c r="B84" s="32" t="s">
        <v>99</v>
      </c>
      <c r="C84" s="33" t="s">
        <v>77</v>
      </c>
      <c r="D84" s="50"/>
      <c r="E84" s="87"/>
      <c r="F84" s="28">
        <v>0.6</v>
      </c>
      <c r="G84" s="28">
        <v>3619.09</v>
      </c>
      <c r="H84" s="64">
        <f t="shared" si="8"/>
        <v>2.1714540000000002</v>
      </c>
      <c r="I84" s="10">
        <v>0</v>
      </c>
    </row>
    <row r="85" spans="1:9" hidden="1">
      <c r="A85" s="18"/>
      <c r="B85" s="115" t="s">
        <v>91</v>
      </c>
      <c r="C85" s="62"/>
      <c r="D85" s="20"/>
      <c r="E85" s="21"/>
      <c r="F85" s="59"/>
      <c r="G85" s="59"/>
      <c r="H85" s="88">
        <f>SUM(H59:H84)</f>
        <v>284.91172943999999</v>
      </c>
      <c r="I85" s="10"/>
    </row>
    <row r="86" spans="1:9" hidden="1">
      <c r="A86" s="18"/>
      <c r="B86" s="23" t="s">
        <v>97</v>
      </c>
      <c r="C86" s="89"/>
      <c r="D86" s="90"/>
      <c r="E86" s="91"/>
      <c r="F86" s="29">
        <v>1</v>
      </c>
      <c r="G86" s="29">
        <v>18792</v>
      </c>
      <c r="H86" s="64">
        <f>G86*F86/1000</f>
        <v>18.792000000000002</v>
      </c>
      <c r="I86" s="10">
        <v>0</v>
      </c>
    </row>
    <row r="87" spans="1:9">
      <c r="A87" s="190" t="s">
        <v>126</v>
      </c>
      <c r="B87" s="191"/>
      <c r="C87" s="191"/>
      <c r="D87" s="191"/>
      <c r="E87" s="191"/>
      <c r="F87" s="191"/>
      <c r="G87" s="191"/>
      <c r="H87" s="191"/>
      <c r="I87" s="192"/>
    </row>
    <row r="88" spans="1:9">
      <c r="A88" s="18">
        <v>15</v>
      </c>
      <c r="B88" s="23" t="s">
        <v>98</v>
      </c>
      <c r="C88" s="31" t="s">
        <v>55</v>
      </c>
      <c r="D88" s="51"/>
      <c r="E88" s="27">
        <v>4394.8999999999996</v>
      </c>
      <c r="F88" s="27">
        <f>SUM(E88*12)</f>
        <v>52738.799999999996</v>
      </c>
      <c r="G88" s="27">
        <v>3.1</v>
      </c>
      <c r="H88" s="64">
        <f>SUM(F88*G88/1000)</f>
        <v>163.49028000000001</v>
      </c>
      <c r="I88" s="10">
        <f>F88/12*G88</f>
        <v>13624.189999999999</v>
      </c>
    </row>
    <row r="89" spans="1:9" ht="30">
      <c r="A89" s="18">
        <v>16</v>
      </c>
      <c r="B89" s="30" t="s">
        <v>78</v>
      </c>
      <c r="C89" s="31"/>
      <c r="D89" s="51"/>
      <c r="E89" s="74">
        <f>E88</f>
        <v>4394.8999999999996</v>
      </c>
      <c r="F89" s="27">
        <f>E89*12</f>
        <v>52738.799999999996</v>
      </c>
      <c r="G89" s="27">
        <v>3.5</v>
      </c>
      <c r="H89" s="64">
        <f>F89*G89/1000</f>
        <v>184.58579999999998</v>
      </c>
      <c r="I89" s="10">
        <f>F89/12*G89</f>
        <v>15382.149999999998</v>
      </c>
    </row>
    <row r="90" spans="1:9">
      <c r="A90" s="18"/>
      <c r="B90" s="34" t="s">
        <v>80</v>
      </c>
      <c r="C90" s="62"/>
      <c r="D90" s="61"/>
      <c r="E90" s="59"/>
      <c r="F90" s="59"/>
      <c r="G90" s="59"/>
      <c r="H90" s="63">
        <f>SUM(H77)</f>
        <v>1.1187199999999999</v>
      </c>
      <c r="I90" s="59">
        <f>I89+I88+I82+I80+I79+I65+I63+I45+I42+I39+I38+I26+I25+I18+I17+I16</f>
        <v>74185.087476666638</v>
      </c>
    </row>
    <row r="91" spans="1:9">
      <c r="A91" s="193" t="s">
        <v>60</v>
      </c>
      <c r="B91" s="194"/>
      <c r="C91" s="194"/>
      <c r="D91" s="194"/>
      <c r="E91" s="194"/>
      <c r="F91" s="194"/>
      <c r="G91" s="194"/>
      <c r="H91" s="194"/>
      <c r="I91" s="195"/>
    </row>
    <row r="92" spans="1:9">
      <c r="A92" s="18">
        <v>17</v>
      </c>
      <c r="B92" s="66" t="s">
        <v>118</v>
      </c>
      <c r="C92" s="53" t="s">
        <v>94</v>
      </c>
      <c r="D92" s="65"/>
      <c r="E92" s="27"/>
      <c r="F92" s="27">
        <v>10</v>
      </c>
      <c r="G92" s="27">
        <v>60.72</v>
      </c>
      <c r="H92" s="37"/>
      <c r="I92" s="37">
        <f>G92*1</f>
        <v>60.72</v>
      </c>
    </row>
    <row r="93" spans="1:9">
      <c r="A93" s="18">
        <v>18</v>
      </c>
      <c r="B93" s="66" t="s">
        <v>157</v>
      </c>
      <c r="C93" s="53" t="s">
        <v>172</v>
      </c>
      <c r="D93" s="65" t="s">
        <v>290</v>
      </c>
      <c r="E93" s="27"/>
      <c r="F93" s="27">
        <v>34</v>
      </c>
      <c r="G93" s="27">
        <v>284</v>
      </c>
      <c r="H93" s="64">
        <f>G93*F93/1000</f>
        <v>9.6560000000000006</v>
      </c>
      <c r="I93" s="108">
        <v>0</v>
      </c>
    </row>
    <row r="94" spans="1:9">
      <c r="A94" s="18">
        <v>19</v>
      </c>
      <c r="B94" s="66" t="s">
        <v>175</v>
      </c>
      <c r="C94" s="53" t="s">
        <v>40</v>
      </c>
      <c r="D94" s="65" t="s">
        <v>185</v>
      </c>
      <c r="E94" s="27"/>
      <c r="F94" s="27">
        <v>0.04</v>
      </c>
      <c r="G94" s="27">
        <v>27139.18</v>
      </c>
      <c r="H94" s="58">
        <f>G94*F94/1000</f>
        <v>1.0855672000000001</v>
      </c>
      <c r="I94" s="108">
        <v>0</v>
      </c>
    </row>
    <row r="95" spans="1:9" ht="30">
      <c r="A95" s="18">
        <v>20</v>
      </c>
      <c r="B95" s="66" t="s">
        <v>167</v>
      </c>
      <c r="C95" s="53" t="s">
        <v>117</v>
      </c>
      <c r="D95" s="65" t="s">
        <v>191</v>
      </c>
      <c r="E95" s="27"/>
      <c r="F95" s="27">
        <v>2</v>
      </c>
      <c r="G95" s="27">
        <v>670.51</v>
      </c>
      <c r="H95" s="58"/>
      <c r="I95" s="108">
        <f>G95*1</f>
        <v>670.51</v>
      </c>
    </row>
    <row r="96" spans="1:9">
      <c r="A96" s="18">
        <v>21</v>
      </c>
      <c r="B96" s="66" t="s">
        <v>219</v>
      </c>
      <c r="C96" s="53" t="s">
        <v>94</v>
      </c>
      <c r="D96" s="65" t="s">
        <v>220</v>
      </c>
      <c r="E96" s="27"/>
      <c r="F96" s="27">
        <v>2</v>
      </c>
      <c r="G96" s="27">
        <v>234.78</v>
      </c>
      <c r="H96" s="58"/>
      <c r="I96" s="108">
        <f>G96*2</f>
        <v>469.56</v>
      </c>
    </row>
    <row r="97" spans="1:9">
      <c r="A97" s="18">
        <v>22</v>
      </c>
      <c r="B97" s="66" t="s">
        <v>221</v>
      </c>
      <c r="C97" s="53" t="s">
        <v>149</v>
      </c>
      <c r="D97" s="65"/>
      <c r="E97" s="27"/>
      <c r="F97" s="27">
        <v>1</v>
      </c>
      <c r="G97" s="27">
        <v>28547</v>
      </c>
      <c r="H97" s="58"/>
      <c r="I97" s="108">
        <f>G97*1</f>
        <v>28547</v>
      </c>
    </row>
    <row r="98" spans="1:9">
      <c r="A98" s="18"/>
      <c r="B98" s="41" t="s">
        <v>52</v>
      </c>
      <c r="C98" s="120"/>
      <c r="D98" s="47"/>
      <c r="E98" s="37"/>
      <c r="F98" s="37"/>
      <c r="G98" s="37"/>
      <c r="H98" s="37"/>
      <c r="I98" s="21">
        <f>SUM(I92:I97)</f>
        <v>29747.79</v>
      </c>
    </row>
    <row r="99" spans="1:9">
      <c r="A99" s="18"/>
      <c r="B99" s="45" t="s">
        <v>79</v>
      </c>
      <c r="C99" s="11"/>
      <c r="D99" s="11"/>
      <c r="E99" s="38"/>
      <c r="F99" s="38"/>
      <c r="G99" s="39"/>
      <c r="H99" s="39"/>
      <c r="I99" s="12">
        <v>0</v>
      </c>
    </row>
    <row r="100" spans="1:9">
      <c r="A100" s="48"/>
      <c r="B100" s="42" t="s">
        <v>155</v>
      </c>
      <c r="C100" s="26"/>
      <c r="D100" s="26"/>
      <c r="E100" s="26"/>
      <c r="F100" s="26"/>
      <c r="G100" s="26"/>
      <c r="H100" s="26"/>
      <c r="I100" s="40">
        <f>I98+I90</f>
        <v>103932.87747666665</v>
      </c>
    </row>
    <row r="101" spans="1:9" ht="15.75">
      <c r="A101" s="196" t="s">
        <v>291</v>
      </c>
      <c r="B101" s="196"/>
      <c r="C101" s="196"/>
      <c r="D101" s="196"/>
      <c r="E101" s="196"/>
      <c r="F101" s="196"/>
      <c r="G101" s="196"/>
      <c r="H101" s="196"/>
      <c r="I101" s="196"/>
    </row>
    <row r="102" spans="1:9" ht="15.75">
      <c r="A102" s="54"/>
      <c r="B102" s="197" t="s">
        <v>292</v>
      </c>
      <c r="C102" s="197"/>
      <c r="D102" s="197"/>
      <c r="E102" s="197"/>
      <c r="F102" s="197"/>
      <c r="G102" s="197"/>
      <c r="H102" s="57"/>
      <c r="I102" s="2"/>
    </row>
    <row r="103" spans="1:9">
      <c r="A103" s="112"/>
      <c r="B103" s="184" t="s">
        <v>6</v>
      </c>
      <c r="C103" s="184"/>
      <c r="D103" s="184"/>
      <c r="E103" s="184"/>
      <c r="F103" s="184"/>
      <c r="G103" s="184"/>
      <c r="H103" s="13"/>
      <c r="I103" s="4"/>
    </row>
    <row r="104" spans="1:9">
      <c r="A104" s="7"/>
      <c r="B104" s="7"/>
      <c r="C104" s="7"/>
      <c r="D104" s="7"/>
      <c r="E104" s="7"/>
      <c r="F104" s="7"/>
      <c r="G104" s="7"/>
      <c r="H104" s="7"/>
      <c r="I104" s="7"/>
    </row>
    <row r="105" spans="1:9" ht="15.75">
      <c r="A105" s="198" t="s">
        <v>7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>
      <c r="A106" s="198" t="s">
        <v>8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88" t="s">
        <v>61</v>
      </c>
      <c r="B107" s="188"/>
      <c r="C107" s="188"/>
      <c r="D107" s="188"/>
      <c r="E107" s="188"/>
      <c r="F107" s="188"/>
      <c r="G107" s="188"/>
      <c r="H107" s="188"/>
      <c r="I107" s="188"/>
    </row>
    <row r="108" spans="1:9" ht="15.75">
      <c r="A108" s="8"/>
    </row>
    <row r="109" spans="1:9" ht="15.75">
      <c r="A109" s="182" t="s">
        <v>9</v>
      </c>
      <c r="B109" s="182"/>
      <c r="C109" s="182"/>
      <c r="D109" s="182"/>
      <c r="E109" s="182"/>
      <c r="F109" s="182"/>
      <c r="G109" s="182"/>
      <c r="H109" s="182"/>
      <c r="I109" s="182"/>
    </row>
    <row r="110" spans="1:9" ht="15.75">
      <c r="A110" s="3"/>
    </row>
    <row r="111" spans="1:9" ht="15.75">
      <c r="B111" s="113" t="s">
        <v>10</v>
      </c>
      <c r="C111" s="183" t="s">
        <v>123</v>
      </c>
      <c r="D111" s="183"/>
      <c r="E111" s="183"/>
      <c r="F111" s="55"/>
      <c r="I111" s="111"/>
    </row>
    <row r="112" spans="1:9">
      <c r="A112" s="112"/>
      <c r="C112" s="184" t="s">
        <v>11</v>
      </c>
      <c r="D112" s="184"/>
      <c r="E112" s="184"/>
      <c r="F112" s="13"/>
      <c r="I112" s="110" t="s">
        <v>12</v>
      </c>
    </row>
    <row r="113" spans="1:9" ht="15.75">
      <c r="A113" s="14"/>
      <c r="C113" s="9"/>
      <c r="D113" s="9"/>
      <c r="G113" s="9"/>
      <c r="H113" s="9"/>
    </row>
    <row r="114" spans="1:9" ht="15.75">
      <c r="B114" s="113" t="s">
        <v>13</v>
      </c>
      <c r="C114" s="185"/>
      <c r="D114" s="185"/>
      <c r="E114" s="185"/>
      <c r="F114" s="56"/>
      <c r="I114" s="111"/>
    </row>
    <row r="115" spans="1:9">
      <c r="A115" s="112"/>
      <c r="C115" s="186" t="s">
        <v>11</v>
      </c>
      <c r="D115" s="186"/>
      <c r="E115" s="186"/>
      <c r="F115" s="112"/>
      <c r="I115" s="110" t="s">
        <v>12</v>
      </c>
    </row>
    <row r="116" spans="1:9" ht="15.75">
      <c r="A116" s="3" t="s">
        <v>14</v>
      </c>
    </row>
    <row r="117" spans="1:9">
      <c r="A117" s="187" t="s">
        <v>15</v>
      </c>
      <c r="B117" s="187"/>
      <c r="C117" s="187"/>
      <c r="D117" s="187"/>
      <c r="E117" s="187"/>
      <c r="F117" s="187"/>
      <c r="G117" s="187"/>
      <c r="H117" s="187"/>
      <c r="I117" s="187"/>
    </row>
    <row r="118" spans="1:9" ht="46.5" customHeight="1">
      <c r="A118" s="181" t="s">
        <v>16</v>
      </c>
      <c r="B118" s="181"/>
      <c r="C118" s="181"/>
      <c r="D118" s="181"/>
      <c r="E118" s="181"/>
      <c r="F118" s="181"/>
      <c r="G118" s="181"/>
      <c r="H118" s="181"/>
      <c r="I118" s="181"/>
    </row>
    <row r="119" spans="1:9" ht="47.25" customHeight="1">
      <c r="A119" s="181" t="s">
        <v>17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40.5" customHeight="1">
      <c r="A120" s="181" t="s">
        <v>21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15.75">
      <c r="A121" s="181" t="s">
        <v>20</v>
      </c>
      <c r="B121" s="181"/>
      <c r="C121" s="181"/>
      <c r="D121" s="181"/>
      <c r="E121" s="181"/>
      <c r="F121" s="181"/>
      <c r="G121" s="181"/>
      <c r="H121" s="181"/>
      <c r="I121" s="181"/>
    </row>
  </sheetData>
  <mergeCells count="28">
    <mergeCell ref="A14:I14"/>
    <mergeCell ref="A3:I3"/>
    <mergeCell ref="A4:I4"/>
    <mergeCell ref="A5:I5"/>
    <mergeCell ref="A8:I8"/>
    <mergeCell ref="A10:I10"/>
    <mergeCell ref="A107:I107"/>
    <mergeCell ref="A15:I15"/>
    <mergeCell ref="A27:I27"/>
    <mergeCell ref="A46:I46"/>
    <mergeCell ref="A57:I57"/>
    <mergeCell ref="A87:I87"/>
    <mergeCell ref="A91:I91"/>
    <mergeCell ref="A101:I101"/>
    <mergeCell ref="B102:G102"/>
    <mergeCell ref="B103:G103"/>
    <mergeCell ref="A105:I105"/>
    <mergeCell ref="A106:I106"/>
    <mergeCell ref="A118:I118"/>
    <mergeCell ref="A119:I119"/>
    <mergeCell ref="A120:I120"/>
    <mergeCell ref="A121:I121"/>
    <mergeCell ref="A109:I109"/>
    <mergeCell ref="C111:E111"/>
    <mergeCell ref="C112:E112"/>
    <mergeCell ref="C114:E114"/>
    <mergeCell ref="C115:E115"/>
    <mergeCell ref="A117:I117"/>
  </mergeCells>
  <pageMargins left="0.7" right="0.7" top="0.75" bottom="0.75" header="0.3" footer="0.3"/>
  <pageSetup paperSize="9" scale="64" orientation="portrait" horizontalDpi="0" verticalDpi="0" r:id="rId1"/>
  <rowBreaks count="1" manualBreakCount="1">
    <brk id="10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topLeftCell="A53" zoomScale="60" workbookViewId="0">
      <selection activeCell="A107" sqref="A107:I107"/>
    </sheetView>
  </sheetViews>
  <sheetFormatPr defaultRowHeight="15"/>
  <cols>
    <col min="2" max="2" width="54.42578125" customWidth="1"/>
    <col min="3" max="3" width="17.85546875" customWidth="1"/>
    <col min="4" max="4" width="18.140625" customWidth="1"/>
    <col min="5" max="5" width="0" hidden="1" customWidth="1"/>
    <col min="6" max="6" width="8.85546875" hidden="1" customWidth="1"/>
    <col min="7" max="7" width="17.85546875" customWidth="1"/>
    <col min="8" max="8" width="0" hidden="1" customWidth="1"/>
    <col min="9" max="9" width="17.57031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160</v>
      </c>
      <c r="B3" s="200"/>
      <c r="C3" s="200"/>
      <c r="D3" s="200"/>
      <c r="E3" s="200"/>
      <c r="F3" s="200"/>
      <c r="G3" s="200"/>
      <c r="H3" s="200"/>
      <c r="I3" s="200"/>
    </row>
    <row r="4" spans="1:9" ht="34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222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27"/>
      <c r="C6" s="127"/>
      <c r="D6" s="127"/>
      <c r="E6" s="127"/>
      <c r="F6" s="127"/>
      <c r="G6" s="127"/>
      <c r="H6" s="127"/>
      <c r="I6" s="19">
        <v>43982</v>
      </c>
    </row>
    <row r="7" spans="1:9" ht="15.75">
      <c r="B7" s="125"/>
      <c r="C7" s="125"/>
      <c r="D7" s="125"/>
      <c r="E7" s="2"/>
      <c r="F7" s="2"/>
      <c r="G7" s="2"/>
      <c r="H7" s="2"/>
    </row>
    <row r="8" spans="1:9" ht="87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66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idden="1">
      <c r="A19" s="18">
        <v>4</v>
      </c>
      <c r="B19" s="23" t="s">
        <v>104</v>
      </c>
      <c r="C19" s="35" t="s">
        <v>105</v>
      </c>
      <c r="D19" s="23" t="s">
        <v>188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F19/1*G19</f>
        <v>856.97279999999989</v>
      </c>
    </row>
    <row r="20" spans="1:9" hidden="1">
      <c r="A20" s="18">
        <v>5</v>
      </c>
      <c r="B20" s="23" t="s">
        <v>107</v>
      </c>
      <c r="C20" s="35" t="s">
        <v>85</v>
      </c>
      <c r="D20" s="23" t="s">
        <v>185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idden="1">
      <c r="A22" s="18">
        <v>7</v>
      </c>
      <c r="B22" s="158" t="s">
        <v>109</v>
      </c>
      <c r="C22" s="159" t="s">
        <v>53</v>
      </c>
      <c r="D22" s="158" t="s">
        <v>188</v>
      </c>
      <c r="E22" s="162">
        <v>714</v>
      </c>
      <c r="F22" s="160">
        <f>SUM(E22/100)</f>
        <v>7.14</v>
      </c>
      <c r="G22" s="160">
        <v>353.14</v>
      </c>
      <c r="H22" s="75">
        <f t="shared" si="0"/>
        <v>2.5214195999999998</v>
      </c>
      <c r="I22" s="10">
        <f>F22/1*G22</f>
        <v>2521.4195999999997</v>
      </c>
    </row>
    <row r="23" spans="1:9" hidden="1">
      <c r="A23" s="18">
        <v>8</v>
      </c>
      <c r="B23" s="23" t="s">
        <v>110</v>
      </c>
      <c r="C23" s="35" t="s">
        <v>53</v>
      </c>
      <c r="D23" s="23" t="s">
        <v>189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>F23/1*G23</f>
        <v>56.105279999999993</v>
      </c>
    </row>
    <row r="24" spans="1:9" hidden="1">
      <c r="A24" s="18">
        <v>9</v>
      </c>
      <c r="B24" s="23" t="s">
        <v>111</v>
      </c>
      <c r="C24" s="35" t="s">
        <v>53</v>
      </c>
      <c r="D24" s="23" t="s">
        <v>188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ref="I24" si="1">F24/12*G24</f>
        <v>163.55840000000001</v>
      </c>
    </row>
    <row r="25" spans="1:9">
      <c r="A25" s="18">
        <v>5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>
      <c r="A26" s="18">
        <v>6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>
      <c r="A29" s="18">
        <v>7</v>
      </c>
      <c r="B29" s="23" t="s">
        <v>93</v>
      </c>
      <c r="C29" s="35" t="s">
        <v>87</v>
      </c>
      <c r="D29" s="23" t="s">
        <v>178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4" si="2">SUM(F29*G29/1000)</f>
        <v>6.2509574400000005</v>
      </c>
      <c r="I29" s="10">
        <f t="shared" ref="I29:I32" si="3">F29/6*G29</f>
        <v>1041.8262400000001</v>
      </c>
    </row>
    <row r="30" spans="1:9" ht="36" customHeight="1">
      <c r="A30" s="18">
        <v>8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2"/>
        <v>3.0610310399999996</v>
      </c>
      <c r="I30" s="10">
        <f t="shared" si="3"/>
        <v>510.17183999999992</v>
      </c>
    </row>
    <row r="31" spans="1:9">
      <c r="A31" s="18">
        <v>9</v>
      </c>
      <c r="B31" s="23" t="s">
        <v>27</v>
      </c>
      <c r="C31" s="35" t="s">
        <v>87</v>
      </c>
      <c r="D31" s="23" t="s">
        <v>185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2"/>
        <v>2.5233035100000003</v>
      </c>
      <c r="I31" s="10">
        <f>F31*G31</f>
        <v>2523.3035100000002</v>
      </c>
    </row>
    <row r="32" spans="1:9">
      <c r="A32" s="18">
        <v>10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1707.63</v>
      </c>
      <c r="H32" s="75">
        <f t="shared" si="2"/>
        <v>6.5572992000000001</v>
      </c>
      <c r="I32" s="10">
        <f t="shared" si="3"/>
        <v>1092.8832</v>
      </c>
    </row>
    <row r="33" spans="1:9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si="2"/>
        <v>0.50183999999999995</v>
      </c>
      <c r="I33" s="10">
        <v>0</v>
      </c>
    </row>
    <row r="34" spans="1:9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2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4">SUM(F36*G36/1000)</f>
        <v>16.024000000000001</v>
      </c>
      <c r="I36" s="10">
        <f t="shared" ref="I36:I44" si="5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4"/>
        <v>13.48002864</v>
      </c>
      <c r="I37" s="10">
        <f t="shared" si="5"/>
        <v>2246.6714400000001</v>
      </c>
    </row>
    <row r="38" spans="1:9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4"/>
        <v>13.404982799999999</v>
      </c>
      <c r="I38" s="10">
        <f t="shared" si="5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4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45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4"/>
        <v>37.20335008</v>
      </c>
      <c r="I41" s="10">
        <f t="shared" si="5"/>
        <v>6200.5583466666667</v>
      </c>
    </row>
    <row r="42" spans="1:9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4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4"/>
        <v>0.8773470000000001</v>
      </c>
      <c r="I43" s="10">
        <f>(F43/7.5*1.5)*G43</f>
        <v>175.46940000000004</v>
      </c>
    </row>
    <row r="44" spans="1:9" ht="30" hidden="1">
      <c r="A44" s="18">
        <v>14</v>
      </c>
      <c r="B44" s="66" t="s">
        <v>143</v>
      </c>
      <c r="C44" s="53" t="s">
        <v>29</v>
      </c>
      <c r="D44" s="24" t="s">
        <v>144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4"/>
        <v>7.4937599999999986E-3</v>
      </c>
      <c r="I44" s="10">
        <f t="shared" si="5"/>
        <v>1.2489599999999998</v>
      </c>
    </row>
    <row r="45" spans="1:9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>
      <c r="A46" s="18">
        <v>11</v>
      </c>
      <c r="B46" s="23" t="s">
        <v>129</v>
      </c>
      <c r="C46" s="35" t="s">
        <v>87</v>
      </c>
      <c r="D46" s="23" t="s">
        <v>185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6">SUM(F46*G46/1000)</f>
        <v>3.842075006</v>
      </c>
      <c r="I46" s="10">
        <f t="shared" ref="I46:I54" si="7">F46/2*G46</f>
        <v>1921.037503</v>
      </c>
    </row>
    <row r="47" spans="1:9">
      <c r="A47" s="18">
        <v>12</v>
      </c>
      <c r="B47" s="23" t="s">
        <v>35</v>
      </c>
      <c r="C47" s="35" t="s">
        <v>87</v>
      </c>
      <c r="D47" s="23" t="s">
        <v>185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6"/>
        <v>0.91916240000000005</v>
      </c>
      <c r="I47" s="10">
        <f t="shared" si="7"/>
        <v>459.58120000000002</v>
      </c>
    </row>
    <row r="48" spans="1:9">
      <c r="A48" s="18">
        <v>13</v>
      </c>
      <c r="B48" s="23" t="s">
        <v>36</v>
      </c>
      <c r="C48" s="35" t="s">
        <v>87</v>
      </c>
      <c r="D48" s="23" t="s">
        <v>185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6"/>
        <v>7.2034689005999999</v>
      </c>
      <c r="I48" s="10">
        <f t="shared" si="7"/>
        <v>3601.7344502999999</v>
      </c>
    </row>
    <row r="49" spans="1:9">
      <c r="A49" s="18">
        <v>14</v>
      </c>
      <c r="B49" s="23" t="s">
        <v>37</v>
      </c>
      <c r="C49" s="35" t="s">
        <v>87</v>
      </c>
      <c r="D49" s="23" t="s">
        <v>185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6"/>
        <v>6.6006486806</v>
      </c>
      <c r="I49" s="10">
        <f t="shared" si="7"/>
        <v>3300.3243403000001</v>
      </c>
    </row>
    <row r="50" spans="1:9">
      <c r="A50" s="18">
        <v>15</v>
      </c>
      <c r="B50" s="23" t="s">
        <v>33</v>
      </c>
      <c r="C50" s="35" t="s">
        <v>34</v>
      </c>
      <c r="D50" s="23" t="s">
        <v>185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6"/>
        <v>3.4774048560000002</v>
      </c>
      <c r="I50" s="10">
        <f t="shared" si="7"/>
        <v>1738.7024280000001</v>
      </c>
    </row>
    <row r="51" spans="1:9">
      <c r="A51" s="18">
        <v>16</v>
      </c>
      <c r="B51" s="23" t="s">
        <v>56</v>
      </c>
      <c r="C51" s="35" t="s">
        <v>87</v>
      </c>
      <c r="D51" s="23" t="s">
        <v>185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6"/>
        <v>39.635185905</v>
      </c>
      <c r="I51" s="10">
        <f>F51/5*G51</f>
        <v>7927.0371809999997</v>
      </c>
    </row>
    <row r="52" spans="1:9" ht="30">
      <c r="A52" s="18">
        <v>17</v>
      </c>
      <c r="B52" s="23" t="s">
        <v>89</v>
      </c>
      <c r="C52" s="35" t="s">
        <v>87</v>
      </c>
      <c r="D52" s="23" t="s">
        <v>185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6"/>
        <v>13.989845679999998</v>
      </c>
      <c r="I52" s="10">
        <f t="shared" si="7"/>
        <v>6994.9228399999993</v>
      </c>
    </row>
    <row r="53" spans="1:9" ht="30">
      <c r="A53" s="18">
        <v>18</v>
      </c>
      <c r="B53" s="23" t="s">
        <v>90</v>
      </c>
      <c r="C53" s="35" t="s">
        <v>38</v>
      </c>
      <c r="D53" s="23" t="s">
        <v>185</v>
      </c>
      <c r="E53" s="74">
        <v>40</v>
      </c>
      <c r="F53" s="22">
        <f>SUM(E53*2/100)</f>
        <v>0.8</v>
      </c>
      <c r="G53" s="27">
        <v>4058.32</v>
      </c>
      <c r="H53" s="75">
        <f t="shared" si="6"/>
        <v>3.2466560000000002</v>
      </c>
      <c r="I53" s="10">
        <f t="shared" si="7"/>
        <v>1623.3280000000002</v>
      </c>
    </row>
    <row r="54" spans="1:9">
      <c r="A54" s="18">
        <v>19</v>
      </c>
      <c r="B54" s="23" t="s">
        <v>39</v>
      </c>
      <c r="C54" s="35" t="s">
        <v>40</v>
      </c>
      <c r="D54" s="23" t="s">
        <v>185</v>
      </c>
      <c r="E54" s="74">
        <v>1</v>
      </c>
      <c r="F54" s="22">
        <v>0.02</v>
      </c>
      <c r="G54" s="27">
        <v>7412.92</v>
      </c>
      <c r="H54" s="75">
        <f t="shared" si="6"/>
        <v>0.14825839999999998</v>
      </c>
      <c r="I54" s="10">
        <f t="shared" si="7"/>
        <v>74.129199999999997</v>
      </c>
    </row>
    <row r="55" spans="1:9">
      <c r="A55" s="18">
        <v>20</v>
      </c>
      <c r="B55" s="23" t="s">
        <v>41</v>
      </c>
      <c r="C55" s="35" t="s">
        <v>94</v>
      </c>
      <c r="D55" s="161">
        <v>43965</v>
      </c>
      <c r="E55" s="74">
        <v>160</v>
      </c>
      <c r="F55" s="22">
        <f>SUM(E55)*3</f>
        <v>480</v>
      </c>
      <c r="G55" s="28">
        <v>86.15</v>
      </c>
      <c r="H55" s="75">
        <f t="shared" si="6"/>
        <v>41.351999999999997</v>
      </c>
      <c r="I55" s="10">
        <f>F55/3*G55</f>
        <v>13784</v>
      </c>
    </row>
    <row r="56" spans="1:9">
      <c r="A56" s="190" t="s">
        <v>122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30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8">F58/6*G58</f>
        <v>3246.8799999999997</v>
      </c>
    </row>
    <row r="59" spans="1:9" hidden="1">
      <c r="A59" s="18">
        <v>18</v>
      </c>
      <c r="B59" s="23" t="s">
        <v>145</v>
      </c>
      <c r="C59" s="35" t="s">
        <v>146</v>
      </c>
      <c r="D59" s="23" t="s">
        <v>66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G59*(1.5+1+1.5)</f>
        <v>6328.2</v>
      </c>
    </row>
    <row r="60" spans="1:9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>
      <c r="A62" s="18">
        <v>21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 hidden="1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idden="1">
      <c r="A64" s="18">
        <v>18</v>
      </c>
      <c r="B64" s="50" t="s">
        <v>47</v>
      </c>
      <c r="C64" s="31" t="s">
        <v>94</v>
      </c>
      <c r="D64" s="23" t="s">
        <v>66</v>
      </c>
      <c r="E64" s="12">
        <v>10</v>
      </c>
      <c r="F64" s="22">
        <f>SUM(E64)</f>
        <v>10</v>
      </c>
      <c r="G64" s="27">
        <v>291.68</v>
      </c>
      <c r="H64" s="64">
        <f t="shared" ref="H64:H85" si="9">SUM(F64*G64/1000)</f>
        <v>2.9168000000000003</v>
      </c>
      <c r="I64" s="10">
        <f>G64*3</f>
        <v>875.04</v>
      </c>
    </row>
    <row r="65" spans="1:9" hidden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9"/>
        <v>0.50004999999999999</v>
      </c>
      <c r="I65" s="10">
        <v>0</v>
      </c>
    </row>
    <row r="66" spans="1:9" hidden="1">
      <c r="A66" s="18">
        <v>28</v>
      </c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278.24</v>
      </c>
      <c r="H66" s="64">
        <f t="shared" si="9"/>
        <v>66.952891199999996</v>
      </c>
      <c r="I66" s="10">
        <f>F66*G66</f>
        <v>66952.891199999998</v>
      </c>
    </row>
    <row r="67" spans="1:9" hidden="1">
      <c r="A67" s="18">
        <v>29</v>
      </c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216.68</v>
      </c>
      <c r="H67" s="64">
        <f t="shared" si="9"/>
        <v>5.21397084</v>
      </c>
      <c r="I67" s="10">
        <f t="shared" ref="I67:I71" si="10">F67*G67</f>
        <v>5213.97084</v>
      </c>
    </row>
    <row r="68" spans="1:9" hidden="1">
      <c r="A68" s="18">
        <v>30</v>
      </c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2720.94</v>
      </c>
      <c r="H68" s="64">
        <f t="shared" si="9"/>
        <v>35.372219999999999</v>
      </c>
      <c r="I68" s="10">
        <f t="shared" si="10"/>
        <v>35372.22</v>
      </c>
    </row>
    <row r="69" spans="1:9" hidden="1">
      <c r="A69" s="18">
        <v>31</v>
      </c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9"/>
        <v>0.44314399999999998</v>
      </c>
      <c r="I69" s="10">
        <f t="shared" si="10"/>
        <v>443.14400000000001</v>
      </c>
    </row>
    <row r="70" spans="1:9" ht="30" hidden="1">
      <c r="A70" s="18">
        <v>35</v>
      </c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9"/>
        <v>0.47881600000000002</v>
      </c>
      <c r="I70" s="10">
        <f t="shared" si="10"/>
        <v>478.81600000000003</v>
      </c>
    </row>
    <row r="71" spans="1:9" hidden="1">
      <c r="A71" s="18"/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9"/>
        <v>0.3271</v>
      </c>
      <c r="I71" s="10">
        <f t="shared" si="10"/>
        <v>327.10000000000002</v>
      </c>
    </row>
    <row r="72" spans="1:9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1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1"/>
        <v>0.73499999999999999</v>
      </c>
      <c r="I74" s="10">
        <v>0</v>
      </c>
    </row>
    <row r="75" spans="1:9" hidden="1">
      <c r="A75" s="18">
        <v>19</v>
      </c>
      <c r="B75" s="30" t="s">
        <v>74</v>
      </c>
      <c r="C75" s="31" t="s">
        <v>75</v>
      </c>
      <c r="D75" s="23" t="s">
        <v>66</v>
      </c>
      <c r="E75" s="12">
        <v>7</v>
      </c>
      <c r="F75" s="27">
        <f>E75/10</f>
        <v>0.7</v>
      </c>
      <c r="G75" s="27">
        <v>657.87</v>
      </c>
      <c r="H75" s="64">
        <f t="shared" si="11"/>
        <v>0.46050899999999995</v>
      </c>
      <c r="I75" s="10">
        <f>G75*0.9</f>
        <v>592.08299999999997</v>
      </c>
    </row>
    <row r="76" spans="1:9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1"/>
        <v>1.1187199999999999</v>
      </c>
      <c r="I76" s="10">
        <v>0</v>
      </c>
    </row>
    <row r="77" spans="1:9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30">
      <c r="A78" s="18">
        <v>22</v>
      </c>
      <c r="B78" s="66" t="s">
        <v>151</v>
      </c>
      <c r="C78" s="53" t="s">
        <v>94</v>
      </c>
      <c r="D78" s="30" t="s">
        <v>180</v>
      </c>
      <c r="E78" s="85">
        <v>2</v>
      </c>
      <c r="F78" s="83">
        <f>E78*12</f>
        <v>24</v>
      </c>
      <c r="G78" s="86">
        <v>53.42</v>
      </c>
      <c r="H78" s="64">
        <f t="shared" ref="H78:H79" si="12">SUM(F78*G78/1000)</f>
        <v>1.2820799999999999</v>
      </c>
      <c r="I78" s="10">
        <f>F78/12*G78</f>
        <v>106.84</v>
      </c>
    </row>
    <row r="79" spans="1:9">
      <c r="A79" s="18">
        <v>23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27">
        <v>1194</v>
      </c>
      <c r="H79" s="64">
        <f t="shared" si="12"/>
        <v>14.327999999999999</v>
      </c>
      <c r="I79" s="10">
        <f>F79/12*G79</f>
        <v>1194</v>
      </c>
    </row>
    <row r="80" spans="1:9" hidden="1">
      <c r="A80" s="18"/>
      <c r="B80" s="119" t="s">
        <v>46</v>
      </c>
      <c r="C80" s="116"/>
      <c r="D80" s="117"/>
      <c r="E80" s="12"/>
      <c r="F80" s="27"/>
      <c r="G80" s="27"/>
      <c r="H80" s="64"/>
      <c r="I80" s="10"/>
    </row>
    <row r="81" spans="1:9" hidden="1">
      <c r="A81" s="18"/>
      <c r="B81" s="50" t="s">
        <v>47</v>
      </c>
      <c r="C81" s="31" t="s">
        <v>94</v>
      </c>
      <c r="D81" s="30" t="s">
        <v>66</v>
      </c>
      <c r="E81" s="12"/>
      <c r="F81" s="27"/>
      <c r="G81" s="27">
        <v>291.68</v>
      </c>
      <c r="H81" s="64"/>
      <c r="I81" s="10">
        <f>G81*1</f>
        <v>291.68</v>
      </c>
    </row>
    <row r="82" spans="1:9">
      <c r="A82" s="18"/>
      <c r="B82" s="95" t="s">
        <v>152</v>
      </c>
      <c r="C82" s="53"/>
      <c r="D82" s="30"/>
      <c r="E82" s="12"/>
      <c r="F82" s="27"/>
      <c r="G82" s="27"/>
      <c r="H82" s="64"/>
      <c r="I82" s="10"/>
    </row>
    <row r="83" spans="1:9">
      <c r="A83" s="18">
        <v>24</v>
      </c>
      <c r="B83" s="30" t="s">
        <v>153</v>
      </c>
      <c r="C83" s="36" t="s">
        <v>154</v>
      </c>
      <c r="D83" s="23"/>
      <c r="E83" s="12">
        <v>4394.8999999999996</v>
      </c>
      <c r="F83" s="27">
        <f>SUM(E83*12)</f>
        <v>52738.799999999996</v>
      </c>
      <c r="G83" s="27">
        <v>2.2799999999999998</v>
      </c>
      <c r="H83" s="64">
        <f t="shared" ref="H83" si="13">SUM(F83*G83/1000)</f>
        <v>120.24446399999998</v>
      </c>
      <c r="I83" s="10">
        <f>F83/12*G83</f>
        <v>10020.371999999998</v>
      </c>
    </row>
    <row r="84" spans="1:9" hidden="1">
      <c r="A84" s="18"/>
      <c r="B84" s="44" t="s">
        <v>76</v>
      </c>
      <c r="C84" s="31"/>
      <c r="D84" s="30"/>
      <c r="E84" s="12"/>
      <c r="F84" s="27"/>
      <c r="G84" s="27" t="s">
        <v>128</v>
      </c>
      <c r="H84" s="64" t="s">
        <v>128</v>
      </c>
      <c r="I84" s="10"/>
    </row>
    <row r="85" spans="1:9" hidden="1">
      <c r="A85" s="18"/>
      <c r="B85" s="32" t="s">
        <v>99</v>
      </c>
      <c r="C85" s="33" t="s">
        <v>77</v>
      </c>
      <c r="D85" s="50"/>
      <c r="E85" s="87"/>
      <c r="F85" s="28">
        <v>0.6</v>
      </c>
      <c r="G85" s="28">
        <v>3619.09</v>
      </c>
      <c r="H85" s="64">
        <f t="shared" si="9"/>
        <v>2.1714540000000002</v>
      </c>
      <c r="I85" s="10">
        <v>0</v>
      </c>
    </row>
    <row r="86" spans="1:9" ht="17.25" customHeight="1">
      <c r="A86" s="18"/>
      <c r="B86" s="126" t="s">
        <v>91</v>
      </c>
      <c r="C86" s="62"/>
      <c r="D86" s="20"/>
      <c r="E86" s="21"/>
      <c r="F86" s="59"/>
      <c r="G86" s="59"/>
      <c r="H86" s="88">
        <f>SUM(H58:H85)</f>
        <v>284.91172943999999</v>
      </c>
      <c r="I86" s="10"/>
    </row>
    <row r="87" spans="1:9">
      <c r="A87" s="18">
        <v>25</v>
      </c>
      <c r="B87" s="23" t="s">
        <v>97</v>
      </c>
      <c r="C87" s="89"/>
      <c r="D87" s="90"/>
      <c r="E87" s="91"/>
      <c r="F87" s="29">
        <v>1</v>
      </c>
      <c r="G87" s="29">
        <v>1924</v>
      </c>
      <c r="H87" s="64">
        <f>G87*F87/1000</f>
        <v>1.9239999999999999</v>
      </c>
      <c r="I87" s="10">
        <f>G87*1</f>
        <v>1924</v>
      </c>
    </row>
    <row r="88" spans="1:9">
      <c r="A88" s="190" t="s">
        <v>124</v>
      </c>
      <c r="B88" s="191"/>
      <c r="C88" s="191"/>
      <c r="D88" s="191"/>
      <c r="E88" s="191"/>
      <c r="F88" s="191"/>
      <c r="G88" s="191"/>
      <c r="H88" s="191"/>
      <c r="I88" s="192"/>
    </row>
    <row r="89" spans="1:9">
      <c r="A89" s="18">
        <v>26</v>
      </c>
      <c r="B89" s="23" t="s">
        <v>98</v>
      </c>
      <c r="C89" s="31" t="s">
        <v>55</v>
      </c>
      <c r="D89" s="51"/>
      <c r="E89" s="27">
        <v>4394.8999999999996</v>
      </c>
      <c r="F89" s="27">
        <f>SUM(E89*12)</f>
        <v>52738.799999999996</v>
      </c>
      <c r="G89" s="27">
        <v>3.1</v>
      </c>
      <c r="H89" s="64">
        <f>SUM(F89*G89/1000)</f>
        <v>163.49028000000001</v>
      </c>
      <c r="I89" s="10">
        <f>F89/12*G89</f>
        <v>13624.189999999999</v>
      </c>
    </row>
    <row r="90" spans="1:9" ht="30">
      <c r="A90" s="18">
        <v>27</v>
      </c>
      <c r="B90" s="30" t="s">
        <v>78</v>
      </c>
      <c r="C90" s="31"/>
      <c r="D90" s="51"/>
      <c r="E90" s="74">
        <f>E89</f>
        <v>4394.8999999999996</v>
      </c>
      <c r="F90" s="27">
        <f>E90*12</f>
        <v>52738.799999999996</v>
      </c>
      <c r="G90" s="27">
        <v>3.5</v>
      </c>
      <c r="H90" s="64">
        <f>F90*G90/1000</f>
        <v>184.58579999999998</v>
      </c>
      <c r="I90" s="10">
        <f>F90/12*G90</f>
        <v>15382.149999999998</v>
      </c>
    </row>
    <row r="91" spans="1:9">
      <c r="A91" s="18"/>
      <c r="B91" s="34" t="s">
        <v>80</v>
      </c>
      <c r="C91" s="62"/>
      <c r="D91" s="61"/>
      <c r="E91" s="59"/>
      <c r="F91" s="59"/>
      <c r="G91" s="59"/>
      <c r="H91" s="63">
        <f>SUM(H76)</f>
        <v>1.1187199999999999</v>
      </c>
      <c r="I91" s="59">
        <f>I90+I89+I83+I79+I78+I62+I55+I54+I53+I52+I51+I50+I49+I48+I47+I46+I32+I31+I30+I29+I26+I21+I18+I17+I16+I25+I87</f>
        <v>111753.48321459997</v>
      </c>
    </row>
    <row r="92" spans="1:9">
      <c r="A92" s="193" t="s">
        <v>60</v>
      </c>
      <c r="B92" s="194"/>
      <c r="C92" s="194"/>
      <c r="D92" s="194"/>
      <c r="E92" s="194"/>
      <c r="F92" s="194"/>
      <c r="G92" s="194"/>
      <c r="H92" s="194"/>
      <c r="I92" s="195"/>
    </row>
    <row r="93" spans="1:9">
      <c r="A93" s="18">
        <v>28</v>
      </c>
      <c r="B93" s="66" t="s">
        <v>118</v>
      </c>
      <c r="C93" s="53" t="s">
        <v>94</v>
      </c>
      <c r="D93" s="65"/>
      <c r="E93" s="27"/>
      <c r="F93" s="27">
        <v>10</v>
      </c>
      <c r="G93" s="27">
        <v>60.72</v>
      </c>
      <c r="H93" s="37"/>
      <c r="I93" s="37">
        <f>G93*1</f>
        <v>60.72</v>
      </c>
    </row>
    <row r="94" spans="1:9">
      <c r="A94" s="18">
        <v>29</v>
      </c>
      <c r="B94" s="66" t="s">
        <v>173</v>
      </c>
      <c r="C94" s="53" t="s">
        <v>134</v>
      </c>
      <c r="D94" s="65" t="s">
        <v>224</v>
      </c>
      <c r="E94" s="27"/>
      <c r="F94" s="27">
        <v>3</v>
      </c>
      <c r="G94" s="27">
        <v>222.63</v>
      </c>
      <c r="H94" s="171"/>
      <c r="I94" s="170">
        <f>G94*1</f>
        <v>222.63</v>
      </c>
    </row>
    <row r="95" spans="1:9">
      <c r="A95" s="18">
        <v>30</v>
      </c>
      <c r="B95" s="66" t="s">
        <v>157</v>
      </c>
      <c r="C95" s="53" t="s">
        <v>172</v>
      </c>
      <c r="D95" s="65" t="s">
        <v>293</v>
      </c>
      <c r="E95" s="27"/>
      <c r="F95" s="27">
        <v>48</v>
      </c>
      <c r="G95" s="27">
        <v>284</v>
      </c>
      <c r="H95" s="171"/>
      <c r="I95" s="170">
        <v>0</v>
      </c>
    </row>
    <row r="96" spans="1:9">
      <c r="A96" s="18">
        <v>31</v>
      </c>
      <c r="B96" s="66" t="s">
        <v>175</v>
      </c>
      <c r="C96" s="53" t="s">
        <v>40</v>
      </c>
      <c r="D96" s="65" t="s">
        <v>179</v>
      </c>
      <c r="E96" s="27"/>
      <c r="F96" s="27">
        <v>0.06</v>
      </c>
      <c r="G96" s="27">
        <v>27139.18</v>
      </c>
      <c r="H96" s="171"/>
      <c r="I96" s="170">
        <v>0</v>
      </c>
    </row>
    <row r="97" spans="1:9" ht="30">
      <c r="A97" s="18">
        <v>32</v>
      </c>
      <c r="B97" s="66" t="s">
        <v>203</v>
      </c>
      <c r="C97" s="53" t="s">
        <v>38</v>
      </c>
      <c r="D97" s="65" t="s">
        <v>185</v>
      </c>
      <c r="E97" s="27"/>
      <c r="F97" s="27">
        <v>0.13</v>
      </c>
      <c r="G97" s="27">
        <v>4070.89</v>
      </c>
      <c r="H97" s="171"/>
      <c r="I97" s="172">
        <v>0</v>
      </c>
    </row>
    <row r="98" spans="1:9" ht="30">
      <c r="A98" s="18">
        <v>33</v>
      </c>
      <c r="B98" s="66" t="s">
        <v>223</v>
      </c>
      <c r="C98" s="53" t="s">
        <v>94</v>
      </c>
      <c r="D98" s="65"/>
      <c r="E98" s="27"/>
      <c r="F98" s="27">
        <v>1</v>
      </c>
      <c r="G98" s="27">
        <v>94.76</v>
      </c>
      <c r="H98" s="171"/>
      <c r="I98" s="18">
        <f>G98*1</f>
        <v>94.76</v>
      </c>
    </row>
    <row r="99" spans="1:9">
      <c r="A99" s="18"/>
      <c r="B99" s="41" t="s">
        <v>52</v>
      </c>
      <c r="C99" s="120"/>
      <c r="D99" s="47"/>
      <c r="E99" s="37"/>
      <c r="F99" s="37"/>
      <c r="G99" s="37"/>
      <c r="H99" s="37"/>
      <c r="I99" s="21">
        <f>SUM(I93:I98)</f>
        <v>378.11</v>
      </c>
    </row>
    <row r="100" spans="1:9">
      <c r="A100" s="18"/>
      <c r="B100" s="45" t="s">
        <v>79</v>
      </c>
      <c r="C100" s="11"/>
      <c r="D100" s="11"/>
      <c r="E100" s="38"/>
      <c r="F100" s="38"/>
      <c r="G100" s="39"/>
      <c r="H100" s="39"/>
      <c r="I100" s="12">
        <v>0</v>
      </c>
    </row>
    <row r="101" spans="1:9">
      <c r="A101" s="48"/>
      <c r="B101" s="42" t="s">
        <v>155</v>
      </c>
      <c r="C101" s="26"/>
      <c r="D101" s="26"/>
      <c r="E101" s="26"/>
      <c r="F101" s="26"/>
      <c r="G101" s="26"/>
      <c r="H101" s="26"/>
      <c r="I101" s="40">
        <f>I99+I91</f>
        <v>112131.59321459997</v>
      </c>
    </row>
    <row r="102" spans="1:9" ht="15.75">
      <c r="A102" s="196" t="s">
        <v>294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>
      <c r="A103" s="54"/>
      <c r="B103" s="197" t="s">
        <v>295</v>
      </c>
      <c r="C103" s="197"/>
      <c r="D103" s="197"/>
      <c r="E103" s="197"/>
      <c r="F103" s="197"/>
      <c r="G103" s="197"/>
      <c r="H103" s="57"/>
      <c r="I103" s="2"/>
    </row>
    <row r="104" spans="1:9">
      <c r="A104" s="124"/>
      <c r="B104" s="184" t="s">
        <v>6</v>
      </c>
      <c r="C104" s="184"/>
      <c r="D104" s="184"/>
      <c r="E104" s="184"/>
      <c r="F104" s="184"/>
      <c r="G104" s="184"/>
      <c r="H104" s="13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98" t="s">
        <v>7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98" t="s">
        <v>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61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>
      <c r="A109" s="8"/>
    </row>
    <row r="110" spans="1:9" ht="15.75">
      <c r="A110" s="182" t="s">
        <v>9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>
      <c r="A111" s="3"/>
    </row>
    <row r="112" spans="1:9" ht="15.75">
      <c r="B112" s="125" t="s">
        <v>10</v>
      </c>
      <c r="C112" s="183" t="s">
        <v>123</v>
      </c>
      <c r="D112" s="183"/>
      <c r="E112" s="183"/>
      <c r="F112" s="55"/>
      <c r="I112" s="123"/>
    </row>
    <row r="113" spans="1:9">
      <c r="A113" s="124"/>
      <c r="C113" s="184" t="s">
        <v>11</v>
      </c>
      <c r="D113" s="184"/>
      <c r="E113" s="184"/>
      <c r="F113" s="13"/>
      <c r="I113" s="122" t="s">
        <v>12</v>
      </c>
    </row>
    <row r="114" spans="1:9" ht="15.75">
      <c r="A114" s="14"/>
      <c r="C114" s="9"/>
      <c r="D114" s="9"/>
      <c r="G114" s="9"/>
      <c r="H114" s="9"/>
    </row>
    <row r="115" spans="1:9" ht="15.75">
      <c r="B115" s="125" t="s">
        <v>13</v>
      </c>
      <c r="C115" s="185"/>
      <c r="D115" s="185"/>
      <c r="E115" s="185"/>
      <c r="F115" s="56"/>
      <c r="I115" s="123"/>
    </row>
    <row r="116" spans="1:9">
      <c r="A116" s="124"/>
      <c r="C116" s="186" t="s">
        <v>11</v>
      </c>
      <c r="D116" s="186"/>
      <c r="E116" s="186"/>
      <c r="F116" s="124"/>
      <c r="I116" s="122" t="s">
        <v>12</v>
      </c>
    </row>
    <row r="117" spans="1:9" ht="15.75">
      <c r="A117" s="3" t="s">
        <v>14</v>
      </c>
    </row>
    <row r="118" spans="1:9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6.5" customHeight="1">
      <c r="A119" s="181" t="s">
        <v>16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5.25" customHeight="1">
      <c r="A120" s="181" t="s">
        <v>17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6.75" customHeight="1">
      <c r="A121" s="181" t="s">
        <v>21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.75">
      <c r="A122" s="181" t="s">
        <v>20</v>
      </c>
      <c r="B122" s="181"/>
      <c r="C122" s="181"/>
      <c r="D122" s="181"/>
      <c r="E122" s="181"/>
      <c r="F122" s="181"/>
      <c r="G122" s="181"/>
      <c r="H122" s="181"/>
      <c r="I122" s="181"/>
    </row>
  </sheetData>
  <mergeCells count="28">
    <mergeCell ref="A92:I9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8:I88"/>
    <mergeCell ref="C116:E116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" right="0.7" top="0.75" bottom="0.75" header="0.3" footer="0.3"/>
  <pageSetup paperSize="9" scale="64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23"/>
  <sheetViews>
    <sheetView view="pageBreakPreview" topLeftCell="A88" zoomScale="60" workbookViewId="0">
      <selection activeCell="L106" sqref="L106"/>
    </sheetView>
  </sheetViews>
  <sheetFormatPr defaultRowHeight="15"/>
  <cols>
    <col min="1" max="1" width="11.5703125" customWidth="1"/>
    <col min="2" max="2" width="47.7109375" customWidth="1"/>
    <col min="3" max="3" width="18.28515625" customWidth="1"/>
    <col min="4" max="4" width="19.42578125" customWidth="1"/>
    <col min="5" max="6" width="0" hidden="1" customWidth="1"/>
    <col min="7" max="7" width="17.42578125" customWidth="1"/>
    <col min="8" max="8" width="0" hidden="1" customWidth="1"/>
    <col min="9" max="9" width="18.1406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161</v>
      </c>
      <c r="B3" s="200"/>
      <c r="C3" s="200"/>
      <c r="D3" s="200"/>
      <c r="E3" s="200"/>
      <c r="F3" s="200"/>
      <c r="G3" s="200"/>
      <c r="H3" s="200"/>
      <c r="I3" s="200"/>
    </row>
    <row r="4" spans="1:9" ht="34.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225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29"/>
      <c r="C6" s="129"/>
      <c r="D6" s="129"/>
      <c r="E6" s="129"/>
      <c r="F6" s="129"/>
      <c r="G6" s="129"/>
      <c r="H6" s="129"/>
      <c r="I6" s="19">
        <v>44012</v>
      </c>
    </row>
    <row r="7" spans="1:9" ht="3" customHeight="1">
      <c r="B7" s="130"/>
      <c r="C7" s="130"/>
      <c r="D7" s="130"/>
      <c r="E7" s="2"/>
      <c r="F7" s="2"/>
      <c r="G7" s="2"/>
      <c r="H7" s="2"/>
    </row>
    <row r="8" spans="1:9" ht="78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70.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48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6.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 ht="20.2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 ht="16.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>
      <c r="A19" s="18">
        <v>4</v>
      </c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F19*G19</f>
        <v>856.97279999999989</v>
      </c>
    </row>
    <row r="20" spans="1:9">
      <c r="A20" s="18">
        <v>5</v>
      </c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idden="1">
      <c r="A21" s="18">
        <v>6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>
      <c r="A22" s="18">
        <v>6</v>
      </c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>F22*G22</f>
        <v>2521.4195999999997</v>
      </c>
    </row>
    <row r="23" spans="1:9">
      <c r="A23" s="18">
        <v>7</v>
      </c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>F23*G23</f>
        <v>56.105279999999993</v>
      </c>
    </row>
    <row r="24" spans="1:9">
      <c r="A24" s="18">
        <v>8</v>
      </c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>F24/1*G24</f>
        <v>1962.7007999999998</v>
      </c>
    </row>
    <row r="25" spans="1:9" ht="13.5" customHeight="1">
      <c r="A25" s="18">
        <v>9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F25*G25/12</f>
        <v>116.1185</v>
      </c>
    </row>
    <row r="26" spans="1:9" ht="19.5" customHeight="1">
      <c r="A26" s="18">
        <v>10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20.25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6.5" customHeight="1">
      <c r="A29" s="18">
        <v>11</v>
      </c>
      <c r="B29" s="23" t="s">
        <v>93</v>
      </c>
      <c r="C29" s="35" t="s">
        <v>87</v>
      </c>
      <c r="D29" s="23" t="s">
        <v>178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4" si="1">SUM(F29*G29/1000)</f>
        <v>6.2509574400000005</v>
      </c>
      <c r="I29" s="10">
        <f t="shared" ref="I29:I32" si="2">F29/6*G29</f>
        <v>1041.8262400000001</v>
      </c>
    </row>
    <row r="30" spans="1:9" ht="45.75" customHeight="1">
      <c r="A30" s="18">
        <v>12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1"/>
        <v>3.0610310399999996</v>
      </c>
      <c r="I30" s="10">
        <f t="shared" si="2"/>
        <v>510.17183999999992</v>
      </c>
    </row>
    <row r="31" spans="1:9" hidden="1">
      <c r="A31" s="18">
        <v>15</v>
      </c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1"/>
        <v>2.5233035100000003</v>
      </c>
      <c r="I31" s="10">
        <f>F31*G31</f>
        <v>2523.3035100000002</v>
      </c>
    </row>
    <row r="32" spans="1:9" ht="16.5" customHeight="1">
      <c r="A32" s="18">
        <v>13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1707.63</v>
      </c>
      <c r="H32" s="75">
        <f t="shared" si="1"/>
        <v>6.5572992000000001</v>
      </c>
      <c r="I32" s="10">
        <f t="shared" si="2"/>
        <v>1092.8832</v>
      </c>
    </row>
    <row r="33" spans="1:9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si="1"/>
        <v>0.50183999999999995</v>
      </c>
      <c r="I33" s="10">
        <v>0</v>
      </c>
    </row>
    <row r="34" spans="1:9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1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3">SUM(F36*G36/1000)</f>
        <v>16.024000000000001</v>
      </c>
      <c r="I36" s="10">
        <f t="shared" ref="I36:I44" si="4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3"/>
        <v>13.48002864</v>
      </c>
      <c r="I37" s="10">
        <f t="shared" si="4"/>
        <v>2246.6714400000001</v>
      </c>
    </row>
    <row r="38" spans="1:9" ht="30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3"/>
        <v>13.404982799999999</v>
      </c>
      <c r="I38" s="10">
        <f t="shared" si="4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3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60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3"/>
        <v>37.20335008</v>
      </c>
      <c r="I41" s="10">
        <f t="shared" si="4"/>
        <v>6200.5583466666667</v>
      </c>
    </row>
    <row r="42" spans="1:9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3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3"/>
        <v>0.8773470000000001</v>
      </c>
      <c r="I43" s="10">
        <f>(F43/7.5*1.5)*G43</f>
        <v>175.46940000000004</v>
      </c>
    </row>
    <row r="44" spans="1:9" ht="30" hidden="1">
      <c r="A44" s="18">
        <v>14</v>
      </c>
      <c r="B44" s="66" t="s">
        <v>143</v>
      </c>
      <c r="C44" s="53" t="s">
        <v>29</v>
      </c>
      <c r="D44" s="24" t="s">
        <v>144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3"/>
        <v>7.4937599999999986E-3</v>
      </c>
      <c r="I44" s="10">
        <f t="shared" si="4"/>
        <v>1.2489599999999998</v>
      </c>
    </row>
    <row r="45" spans="1:9" hidden="1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idden="1">
      <c r="A46" s="18">
        <v>18</v>
      </c>
      <c r="B46" s="23" t="s">
        <v>129</v>
      </c>
      <c r="C46" s="35" t="s">
        <v>87</v>
      </c>
      <c r="D46" s="23" t="s">
        <v>42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5">SUM(F46*G46/1000)</f>
        <v>3.842075006</v>
      </c>
      <c r="I46" s="10">
        <f t="shared" ref="I46:I54" si="6">F46/2*G46</f>
        <v>1921.037503</v>
      </c>
    </row>
    <row r="47" spans="1:9" hidden="1">
      <c r="A47" s="18">
        <v>19</v>
      </c>
      <c r="B47" s="23" t="s">
        <v>35</v>
      </c>
      <c r="C47" s="35" t="s">
        <v>87</v>
      </c>
      <c r="D47" s="23" t="s">
        <v>42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5"/>
        <v>0.91916240000000005</v>
      </c>
      <c r="I47" s="10">
        <f t="shared" si="6"/>
        <v>459.58120000000002</v>
      </c>
    </row>
    <row r="48" spans="1:9" hidden="1">
      <c r="A48" s="18">
        <v>20</v>
      </c>
      <c r="B48" s="23" t="s">
        <v>36</v>
      </c>
      <c r="C48" s="35" t="s">
        <v>87</v>
      </c>
      <c r="D48" s="23" t="s">
        <v>42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5"/>
        <v>7.2034689005999999</v>
      </c>
      <c r="I48" s="10">
        <f t="shared" si="6"/>
        <v>3601.7344502999999</v>
      </c>
    </row>
    <row r="49" spans="1:9" hidden="1">
      <c r="A49" s="18">
        <v>21</v>
      </c>
      <c r="B49" s="23" t="s">
        <v>37</v>
      </c>
      <c r="C49" s="35" t="s">
        <v>87</v>
      </c>
      <c r="D49" s="23" t="s">
        <v>42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5"/>
        <v>6.6006486806</v>
      </c>
      <c r="I49" s="10">
        <f t="shared" si="6"/>
        <v>3300.3243403000001</v>
      </c>
    </row>
    <row r="50" spans="1:9" hidden="1">
      <c r="A50" s="18">
        <v>22</v>
      </c>
      <c r="B50" s="23" t="s">
        <v>33</v>
      </c>
      <c r="C50" s="35" t="s">
        <v>34</v>
      </c>
      <c r="D50" s="23" t="s">
        <v>42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5"/>
        <v>3.4774048560000002</v>
      </c>
      <c r="I50" s="10">
        <f t="shared" si="6"/>
        <v>1738.7024280000001</v>
      </c>
    </row>
    <row r="51" spans="1:9" hidden="1">
      <c r="A51" s="18">
        <v>23</v>
      </c>
      <c r="B51" s="23" t="s">
        <v>56</v>
      </c>
      <c r="C51" s="35" t="s">
        <v>87</v>
      </c>
      <c r="D51" s="23" t="s">
        <v>132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5"/>
        <v>39.635185905</v>
      </c>
      <c r="I51" s="10">
        <f>F51/5*G51</f>
        <v>7927.0371809999997</v>
      </c>
    </row>
    <row r="52" spans="1:9" ht="45" hidden="1">
      <c r="A52" s="18">
        <v>24</v>
      </c>
      <c r="B52" s="23" t="s">
        <v>89</v>
      </c>
      <c r="C52" s="35" t="s">
        <v>87</v>
      </c>
      <c r="D52" s="23" t="s">
        <v>42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5"/>
        <v>13.989845679999998</v>
      </c>
      <c r="I52" s="10">
        <f t="shared" si="6"/>
        <v>6994.9228399999993</v>
      </c>
    </row>
    <row r="53" spans="1:9" ht="30" hidden="1">
      <c r="A53" s="18">
        <v>25</v>
      </c>
      <c r="B53" s="23" t="s">
        <v>90</v>
      </c>
      <c r="C53" s="35" t="s">
        <v>38</v>
      </c>
      <c r="D53" s="23" t="s">
        <v>42</v>
      </c>
      <c r="E53" s="74">
        <v>40</v>
      </c>
      <c r="F53" s="22">
        <f>SUM(E53*2/100)</f>
        <v>0.8</v>
      </c>
      <c r="G53" s="27">
        <v>4058.32</v>
      </c>
      <c r="H53" s="75">
        <f t="shared" si="5"/>
        <v>3.2466560000000002</v>
      </c>
      <c r="I53" s="10">
        <f t="shared" si="6"/>
        <v>1623.3280000000002</v>
      </c>
    </row>
    <row r="54" spans="1:9" hidden="1">
      <c r="A54" s="18">
        <v>26</v>
      </c>
      <c r="B54" s="23" t="s">
        <v>39</v>
      </c>
      <c r="C54" s="35" t="s">
        <v>40</v>
      </c>
      <c r="D54" s="23" t="s">
        <v>42</v>
      </c>
      <c r="E54" s="74">
        <v>1</v>
      </c>
      <c r="F54" s="22">
        <v>0.02</v>
      </c>
      <c r="G54" s="27">
        <v>7412.92</v>
      </c>
      <c r="H54" s="75">
        <f t="shared" si="5"/>
        <v>0.14825839999999998</v>
      </c>
      <c r="I54" s="10">
        <f t="shared" si="6"/>
        <v>74.129199999999997</v>
      </c>
    </row>
    <row r="55" spans="1:9" hidden="1">
      <c r="A55" s="18">
        <v>27</v>
      </c>
      <c r="B55" s="23" t="s">
        <v>41</v>
      </c>
      <c r="C55" s="35" t="s">
        <v>94</v>
      </c>
      <c r="D55" s="23" t="s">
        <v>70</v>
      </c>
      <c r="E55" s="74">
        <v>160</v>
      </c>
      <c r="F55" s="22">
        <f>SUM(E55)*3</f>
        <v>480</v>
      </c>
      <c r="G55" s="28">
        <v>86.15</v>
      </c>
      <c r="H55" s="75">
        <f t="shared" si="5"/>
        <v>41.351999999999997</v>
      </c>
      <c r="I55" s="10">
        <f>F55/3*G55</f>
        <v>13784</v>
      </c>
    </row>
    <row r="56" spans="1:9">
      <c r="A56" s="190" t="s">
        <v>125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45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7">F58/6*G58</f>
        <v>3246.8799999999997</v>
      </c>
    </row>
    <row r="59" spans="1:9" hidden="1">
      <c r="A59" s="18">
        <v>18</v>
      </c>
      <c r="B59" s="23" t="s">
        <v>145</v>
      </c>
      <c r="C59" s="35" t="s">
        <v>146</v>
      </c>
      <c r="D59" s="23" t="s">
        <v>66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G59*(1.5+1+1.5)</f>
        <v>6328.2</v>
      </c>
    </row>
    <row r="60" spans="1:9" ht="16.5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8" customHeight="1">
      <c r="A62" s="18">
        <v>14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 ht="18" hidden="1" customHeight="1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t="19.5" hidden="1" customHeight="1">
      <c r="A64" s="18">
        <v>18</v>
      </c>
      <c r="B64" s="50" t="s">
        <v>47</v>
      </c>
      <c r="C64" s="31" t="s">
        <v>94</v>
      </c>
      <c r="D64" s="23" t="s">
        <v>66</v>
      </c>
      <c r="E64" s="12">
        <v>10</v>
      </c>
      <c r="F64" s="22">
        <f>SUM(E64)</f>
        <v>10</v>
      </c>
      <c r="G64" s="27">
        <v>291.68</v>
      </c>
      <c r="H64" s="64">
        <f t="shared" ref="H64:H85" si="8">SUM(F64*G64/1000)</f>
        <v>2.9168000000000003</v>
      </c>
      <c r="I64" s="10">
        <f>G64*3</f>
        <v>875.04</v>
      </c>
    </row>
    <row r="65" spans="1:9" ht="17.25" hidden="1" customHeight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8"/>
        <v>0.50004999999999999</v>
      </c>
      <c r="I65" s="10">
        <v>0</v>
      </c>
    </row>
    <row r="66" spans="1:9" ht="15.75" hidden="1" customHeight="1">
      <c r="A66" s="18">
        <v>10</v>
      </c>
      <c r="B66" s="50" t="s">
        <v>49</v>
      </c>
      <c r="C66" s="33" t="s">
        <v>95</v>
      </c>
      <c r="D66" s="30"/>
      <c r="E66" s="74">
        <v>24063</v>
      </c>
      <c r="F66" s="28">
        <f>SUM(E66/100)</f>
        <v>240.63</v>
      </c>
      <c r="G66" s="27">
        <v>278.24</v>
      </c>
      <c r="H66" s="64">
        <f t="shared" si="8"/>
        <v>66.952891199999996</v>
      </c>
      <c r="I66" s="10">
        <f>F66*G66</f>
        <v>66952.891199999998</v>
      </c>
    </row>
    <row r="67" spans="1:9" ht="16.5" hidden="1" customHeight="1">
      <c r="A67" s="18">
        <v>11</v>
      </c>
      <c r="B67" s="50" t="s">
        <v>50</v>
      </c>
      <c r="C67" s="31" t="s">
        <v>96</v>
      </c>
      <c r="D67" s="30"/>
      <c r="E67" s="74">
        <v>24063</v>
      </c>
      <c r="F67" s="27">
        <f>SUM(E67/1000)</f>
        <v>24.062999999999999</v>
      </c>
      <c r="G67" s="27">
        <v>216.68</v>
      </c>
      <c r="H67" s="64">
        <f t="shared" si="8"/>
        <v>5.21397084</v>
      </c>
      <c r="I67" s="10">
        <f t="shared" ref="I67:I71" si="9">F67*G67</f>
        <v>5213.97084</v>
      </c>
    </row>
    <row r="68" spans="1:9" ht="15.75" hidden="1" customHeight="1">
      <c r="A68" s="18">
        <v>12</v>
      </c>
      <c r="B68" s="50" t="s">
        <v>51</v>
      </c>
      <c r="C68" s="31" t="s">
        <v>77</v>
      </c>
      <c r="D68" s="30"/>
      <c r="E68" s="74">
        <v>1300</v>
      </c>
      <c r="F68" s="27">
        <f>SUM(E68/100)</f>
        <v>13</v>
      </c>
      <c r="G68" s="27">
        <v>2720.94</v>
      </c>
      <c r="H68" s="64">
        <f t="shared" si="8"/>
        <v>35.372219999999999</v>
      </c>
      <c r="I68" s="10">
        <f t="shared" si="9"/>
        <v>35372.22</v>
      </c>
    </row>
    <row r="69" spans="1:9" ht="16.5" hidden="1" customHeight="1">
      <c r="A69" s="18">
        <v>13</v>
      </c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8"/>
        <v>0.44314399999999998</v>
      </c>
      <c r="I69" s="10">
        <f t="shared" si="9"/>
        <v>443.14400000000001</v>
      </c>
    </row>
    <row r="70" spans="1:9" ht="30" hidden="1" customHeight="1">
      <c r="A70" s="18">
        <v>14</v>
      </c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8"/>
        <v>0.47881600000000002</v>
      </c>
      <c r="I70" s="10">
        <f t="shared" si="9"/>
        <v>478.81600000000003</v>
      </c>
    </row>
    <row r="71" spans="1:9" ht="21" hidden="1" customHeight="1">
      <c r="A71" s="18"/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8"/>
        <v>0.3271</v>
      </c>
      <c r="I71" s="10">
        <f t="shared" si="9"/>
        <v>327.10000000000002</v>
      </c>
    </row>
    <row r="72" spans="1:9" ht="18.75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0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0"/>
        <v>0.73499999999999999</v>
      </c>
      <c r="I74" s="10">
        <v>0</v>
      </c>
    </row>
    <row r="75" spans="1:9" ht="19.5" hidden="1" customHeight="1">
      <c r="A75" s="18">
        <v>11</v>
      </c>
      <c r="B75" s="30" t="s">
        <v>74</v>
      </c>
      <c r="C75" s="31" t="s">
        <v>75</v>
      </c>
      <c r="D75" s="23" t="s">
        <v>66</v>
      </c>
      <c r="E75" s="12">
        <v>7</v>
      </c>
      <c r="F75" s="27">
        <f>E75/10</f>
        <v>0.7</v>
      </c>
      <c r="G75" s="27">
        <v>657.87</v>
      </c>
      <c r="H75" s="64">
        <f t="shared" si="10"/>
        <v>0.46050899999999995</v>
      </c>
      <c r="I75" s="10">
        <f>G75*0.3</f>
        <v>197.36099999999999</v>
      </c>
    </row>
    <row r="76" spans="1:9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0"/>
        <v>1.1187199999999999</v>
      </c>
      <c r="I76" s="10">
        <v>0</v>
      </c>
    </row>
    <row r="77" spans="1:9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30.75" customHeight="1">
      <c r="A78" s="18">
        <v>15</v>
      </c>
      <c r="B78" s="66" t="s">
        <v>151</v>
      </c>
      <c r="C78" s="53" t="s">
        <v>94</v>
      </c>
      <c r="D78" s="30" t="s">
        <v>180</v>
      </c>
      <c r="E78" s="85">
        <v>2</v>
      </c>
      <c r="F78" s="83">
        <f>E78*12</f>
        <v>24</v>
      </c>
      <c r="G78" s="86">
        <v>53.42</v>
      </c>
      <c r="H78" s="64">
        <f t="shared" ref="H78:H79" si="11">SUM(F78*G78/1000)</f>
        <v>1.2820799999999999</v>
      </c>
      <c r="I78" s="10">
        <f>F78/12*G78</f>
        <v>106.84</v>
      </c>
    </row>
    <row r="79" spans="1:9" ht="16.5" customHeight="1">
      <c r="A79" s="18">
        <v>16</v>
      </c>
      <c r="B79" s="60" t="s">
        <v>116</v>
      </c>
      <c r="C79" s="31"/>
      <c r="D79" s="30" t="s">
        <v>185</v>
      </c>
      <c r="E79" s="12">
        <v>1</v>
      </c>
      <c r="F79" s="27">
        <v>12</v>
      </c>
      <c r="G79" s="27">
        <v>1194</v>
      </c>
      <c r="H79" s="64">
        <f t="shared" si="11"/>
        <v>14.327999999999999</v>
      </c>
      <c r="I79" s="10">
        <f>F79/12*G79</f>
        <v>1194</v>
      </c>
    </row>
    <row r="80" spans="1:9" hidden="1">
      <c r="A80" s="18"/>
      <c r="B80" s="119" t="s">
        <v>46</v>
      </c>
      <c r="C80" s="116"/>
      <c r="D80" s="117"/>
      <c r="E80" s="12"/>
      <c r="F80" s="27"/>
      <c r="G80" s="27"/>
      <c r="H80" s="64"/>
      <c r="I80" s="10"/>
    </row>
    <row r="81" spans="1:9" hidden="1">
      <c r="A81" s="18"/>
      <c r="B81" s="50" t="s">
        <v>47</v>
      </c>
      <c r="C81" s="31" t="s">
        <v>94</v>
      </c>
      <c r="D81" s="30" t="s">
        <v>66</v>
      </c>
      <c r="E81" s="12"/>
      <c r="F81" s="27"/>
      <c r="G81" s="27">
        <v>291.68</v>
      </c>
      <c r="H81" s="64"/>
      <c r="I81" s="10">
        <f>G81*1</f>
        <v>291.68</v>
      </c>
    </row>
    <row r="82" spans="1:9" ht="23.25" customHeight="1">
      <c r="A82" s="18"/>
      <c r="B82" s="95" t="s">
        <v>152</v>
      </c>
      <c r="C82" s="53"/>
      <c r="D82" s="30"/>
      <c r="E82" s="12"/>
      <c r="F82" s="27"/>
      <c r="G82" s="27"/>
      <c r="H82" s="64"/>
      <c r="I82" s="10"/>
    </row>
    <row r="83" spans="1:9" ht="16.5" customHeight="1">
      <c r="A83" s="18">
        <v>17</v>
      </c>
      <c r="B83" s="30" t="s">
        <v>153</v>
      </c>
      <c r="C83" s="36" t="s">
        <v>154</v>
      </c>
      <c r="D83" s="23"/>
      <c r="E83" s="12">
        <v>4394.8999999999996</v>
      </c>
      <c r="F83" s="27">
        <f>SUM(E83*12)</f>
        <v>52738.799999999996</v>
      </c>
      <c r="G83" s="27">
        <v>2.2799999999999998</v>
      </c>
      <c r="H83" s="64">
        <f t="shared" ref="H83" si="12">SUM(F83*G83/1000)</f>
        <v>120.24446399999998</v>
      </c>
      <c r="I83" s="10">
        <f>F83/12*G83</f>
        <v>10020.371999999998</v>
      </c>
    </row>
    <row r="84" spans="1:9" hidden="1">
      <c r="A84" s="18"/>
      <c r="B84" s="44" t="s">
        <v>76</v>
      </c>
      <c r="C84" s="31"/>
      <c r="D84" s="30"/>
      <c r="E84" s="12"/>
      <c r="F84" s="27"/>
      <c r="G84" s="27" t="s">
        <v>128</v>
      </c>
      <c r="H84" s="64" t="s">
        <v>128</v>
      </c>
      <c r="I84" s="10"/>
    </row>
    <row r="85" spans="1:9" hidden="1">
      <c r="A85" s="18"/>
      <c r="B85" s="32" t="s">
        <v>99</v>
      </c>
      <c r="C85" s="33" t="s">
        <v>77</v>
      </c>
      <c r="D85" s="50"/>
      <c r="E85" s="87"/>
      <c r="F85" s="28">
        <v>0.6</v>
      </c>
      <c r="G85" s="28">
        <v>3619.09</v>
      </c>
      <c r="H85" s="64">
        <f t="shared" si="8"/>
        <v>2.1714540000000002</v>
      </c>
      <c r="I85" s="10">
        <v>0</v>
      </c>
    </row>
    <row r="86" spans="1:9" ht="15.75" hidden="1" customHeight="1">
      <c r="A86" s="18"/>
      <c r="B86" s="128" t="s">
        <v>91</v>
      </c>
      <c r="C86" s="62"/>
      <c r="D86" s="20"/>
      <c r="E86" s="21"/>
      <c r="F86" s="59"/>
      <c r="G86" s="59"/>
      <c r="H86" s="88">
        <f>SUM(H58:H85)</f>
        <v>284.91172943999999</v>
      </c>
      <c r="I86" s="10"/>
    </row>
    <row r="87" spans="1:9" ht="16.5" hidden="1" customHeight="1">
      <c r="A87" s="18">
        <v>18</v>
      </c>
      <c r="B87" s="23" t="s">
        <v>97</v>
      </c>
      <c r="C87" s="89"/>
      <c r="D87" s="90"/>
      <c r="E87" s="91"/>
      <c r="F87" s="29">
        <v>1</v>
      </c>
      <c r="G87" s="29">
        <v>3387</v>
      </c>
      <c r="H87" s="64">
        <f>G87*F87/1000</f>
        <v>3.387</v>
      </c>
      <c r="I87" s="10">
        <f>G87*1</f>
        <v>3387</v>
      </c>
    </row>
    <row r="88" spans="1:9">
      <c r="A88" s="190" t="s">
        <v>126</v>
      </c>
      <c r="B88" s="191"/>
      <c r="C88" s="191"/>
      <c r="D88" s="191"/>
      <c r="E88" s="191"/>
      <c r="F88" s="191"/>
      <c r="G88" s="191"/>
      <c r="H88" s="191"/>
      <c r="I88" s="192"/>
    </row>
    <row r="89" spans="1:9" ht="15.75" customHeight="1">
      <c r="A89" s="18">
        <v>18</v>
      </c>
      <c r="B89" s="23" t="s">
        <v>98</v>
      </c>
      <c r="C89" s="31" t="s">
        <v>55</v>
      </c>
      <c r="D89" s="51"/>
      <c r="E89" s="27">
        <v>4394.8999999999996</v>
      </c>
      <c r="F89" s="27">
        <f>SUM(E89*12)</f>
        <v>52738.799999999996</v>
      </c>
      <c r="G89" s="27">
        <v>3.1</v>
      </c>
      <c r="H89" s="64">
        <f>SUM(F89*G89/1000)</f>
        <v>163.49028000000001</v>
      </c>
      <c r="I89" s="10">
        <f>F89/12*G89</f>
        <v>13624.189999999999</v>
      </c>
    </row>
    <row r="90" spans="1:9" ht="32.25" customHeight="1">
      <c r="A90" s="18">
        <v>19</v>
      </c>
      <c r="B90" s="30" t="s">
        <v>78</v>
      </c>
      <c r="C90" s="31"/>
      <c r="D90" s="51"/>
      <c r="E90" s="74">
        <f>E89</f>
        <v>4394.8999999999996</v>
      </c>
      <c r="F90" s="27">
        <f>E90*12</f>
        <v>52738.799999999996</v>
      </c>
      <c r="G90" s="27">
        <v>3.5</v>
      </c>
      <c r="H90" s="64">
        <f>F90*G90/1000</f>
        <v>184.58579999999998</v>
      </c>
      <c r="I90" s="10">
        <f>F90/12*G90</f>
        <v>15382.149999999998</v>
      </c>
    </row>
    <row r="91" spans="1:9">
      <c r="A91" s="18"/>
      <c r="B91" s="34" t="s">
        <v>80</v>
      </c>
      <c r="C91" s="62"/>
      <c r="D91" s="61"/>
      <c r="E91" s="59"/>
      <c r="F91" s="59"/>
      <c r="G91" s="59"/>
      <c r="H91" s="63">
        <f>SUM(H76)</f>
        <v>1.1187199999999999</v>
      </c>
      <c r="I91" s="59">
        <f>I90+I89+I83+I79+I78+I62+I32+I30+I29+I26+I25+I24+I23+I22+I20+I19+I18+I17+I16</f>
        <v>71419.728529999993</v>
      </c>
    </row>
    <row r="92" spans="1:9">
      <c r="A92" s="193" t="s">
        <v>60</v>
      </c>
      <c r="B92" s="194"/>
      <c r="C92" s="194"/>
      <c r="D92" s="194"/>
      <c r="E92" s="194"/>
      <c r="F92" s="194"/>
      <c r="G92" s="194"/>
      <c r="H92" s="194"/>
      <c r="I92" s="195"/>
    </row>
    <row r="93" spans="1:9" ht="28.5" customHeight="1">
      <c r="A93" s="18">
        <v>20</v>
      </c>
      <c r="B93" s="66" t="s">
        <v>118</v>
      </c>
      <c r="C93" s="53" t="s">
        <v>94</v>
      </c>
      <c r="D93" s="65"/>
      <c r="E93" s="27"/>
      <c r="F93" s="27">
        <v>10</v>
      </c>
      <c r="G93" s="27">
        <v>60.72</v>
      </c>
      <c r="H93" s="58">
        <f>G93*F93/1000</f>
        <v>0.60720000000000007</v>
      </c>
      <c r="I93" s="108">
        <f>G93*1</f>
        <v>60.72</v>
      </c>
    </row>
    <row r="94" spans="1:9" ht="36" customHeight="1">
      <c r="A94" s="18">
        <v>21</v>
      </c>
      <c r="B94" s="66" t="s">
        <v>167</v>
      </c>
      <c r="C94" s="53" t="s">
        <v>117</v>
      </c>
      <c r="D94" s="65" t="s">
        <v>231</v>
      </c>
      <c r="E94" s="27"/>
      <c r="F94" s="27">
        <v>4</v>
      </c>
      <c r="G94" s="27">
        <v>670.51</v>
      </c>
      <c r="H94" s="64">
        <f>G94*F94/1000</f>
        <v>2.6820399999999998</v>
      </c>
      <c r="I94" s="108">
        <f>G94*2</f>
        <v>1341.02</v>
      </c>
    </row>
    <row r="95" spans="1:9" ht="30" customHeight="1">
      <c r="A95" s="18">
        <v>22</v>
      </c>
      <c r="B95" s="66" t="s">
        <v>190</v>
      </c>
      <c r="C95" s="53" t="s">
        <v>117</v>
      </c>
      <c r="D95" s="65" t="s">
        <v>232</v>
      </c>
      <c r="E95" s="27"/>
      <c r="F95" s="27">
        <v>3</v>
      </c>
      <c r="G95" s="27">
        <v>913.43</v>
      </c>
      <c r="H95" s="58">
        <f>G95*F95/1000</f>
        <v>2.7402899999999999</v>
      </c>
      <c r="I95" s="108">
        <f>G95*3</f>
        <v>2740.29</v>
      </c>
    </row>
    <row r="96" spans="1:9" ht="33.75" customHeight="1">
      <c r="A96" s="18">
        <v>23</v>
      </c>
      <c r="B96" s="66" t="s">
        <v>226</v>
      </c>
      <c r="C96" s="53" t="s">
        <v>172</v>
      </c>
      <c r="D96" s="65" t="s">
        <v>229</v>
      </c>
      <c r="E96" s="27"/>
      <c r="F96" s="27">
        <v>6</v>
      </c>
      <c r="G96" s="27">
        <v>1446.64</v>
      </c>
      <c r="H96" s="58"/>
      <c r="I96" s="108">
        <f>G96*6</f>
        <v>8679.84</v>
      </c>
    </row>
    <row r="97" spans="1:9" ht="30">
      <c r="A97" s="18">
        <v>24</v>
      </c>
      <c r="B97" s="66" t="s">
        <v>227</v>
      </c>
      <c r="C97" s="53" t="s">
        <v>172</v>
      </c>
      <c r="D97" s="65" t="s">
        <v>230</v>
      </c>
      <c r="E97" s="27"/>
      <c r="F97" s="27">
        <v>1</v>
      </c>
      <c r="G97" s="27">
        <v>1523.6</v>
      </c>
      <c r="H97" s="58"/>
      <c r="I97" s="108">
        <f>G97*1</f>
        <v>1523.6</v>
      </c>
    </row>
    <row r="98" spans="1:9">
      <c r="A98" s="18">
        <v>25</v>
      </c>
      <c r="B98" s="173" t="s">
        <v>228</v>
      </c>
      <c r="C98" s="36" t="s">
        <v>209</v>
      </c>
      <c r="D98" s="65" t="s">
        <v>234</v>
      </c>
      <c r="E98" s="27"/>
      <c r="F98" s="27">
        <v>0.185</v>
      </c>
      <c r="G98" s="27">
        <v>433.19</v>
      </c>
      <c r="H98" s="58"/>
      <c r="I98" s="108">
        <f>G98*0.185</f>
        <v>80.140150000000006</v>
      </c>
    </row>
    <row r="99" spans="1:9" ht="30">
      <c r="A99" s="18">
        <v>26</v>
      </c>
      <c r="B99" s="66" t="s">
        <v>170</v>
      </c>
      <c r="C99" s="53" t="s">
        <v>171</v>
      </c>
      <c r="D99" s="30" t="s">
        <v>233</v>
      </c>
      <c r="E99" s="27"/>
      <c r="F99" s="27">
        <v>4</v>
      </c>
      <c r="G99" s="27">
        <v>61.58</v>
      </c>
      <c r="H99" s="58"/>
      <c r="I99" s="108">
        <f>G99*2</f>
        <v>123.16</v>
      </c>
    </row>
    <row r="100" spans="1:9" ht="14.25" customHeight="1">
      <c r="A100" s="18"/>
      <c r="B100" s="41" t="s">
        <v>52</v>
      </c>
      <c r="C100" s="120"/>
      <c r="D100" s="47"/>
      <c r="E100" s="37"/>
      <c r="F100" s="37"/>
      <c r="G100" s="37"/>
      <c r="H100" s="37"/>
      <c r="I100" s="21">
        <f>SUM(I93:I99)</f>
        <v>14548.770149999998</v>
      </c>
    </row>
    <row r="101" spans="1:9">
      <c r="A101" s="18"/>
      <c r="B101" s="45" t="s">
        <v>79</v>
      </c>
      <c r="C101" s="11"/>
      <c r="D101" s="11"/>
      <c r="E101" s="38"/>
      <c r="F101" s="38"/>
      <c r="G101" s="39"/>
      <c r="H101" s="39"/>
      <c r="I101" s="12">
        <v>0</v>
      </c>
    </row>
    <row r="102" spans="1:9">
      <c r="A102" s="48"/>
      <c r="B102" s="42" t="s">
        <v>155</v>
      </c>
      <c r="C102" s="26"/>
      <c r="D102" s="26"/>
      <c r="E102" s="26"/>
      <c r="F102" s="26"/>
      <c r="G102" s="26"/>
      <c r="H102" s="26"/>
      <c r="I102" s="40">
        <f>I100+I91</f>
        <v>85968.49867999999</v>
      </c>
    </row>
    <row r="103" spans="1:9" ht="15.75">
      <c r="A103" s="196" t="s">
        <v>235</v>
      </c>
      <c r="B103" s="196"/>
      <c r="C103" s="196"/>
      <c r="D103" s="196"/>
      <c r="E103" s="196"/>
      <c r="F103" s="196"/>
      <c r="G103" s="196"/>
      <c r="H103" s="196"/>
      <c r="I103" s="196"/>
    </row>
    <row r="104" spans="1:9" ht="15.75">
      <c r="A104" s="54"/>
      <c r="B104" s="197" t="s">
        <v>236</v>
      </c>
      <c r="C104" s="197"/>
      <c r="D104" s="197"/>
      <c r="E104" s="197"/>
      <c r="F104" s="197"/>
      <c r="G104" s="197"/>
      <c r="H104" s="57"/>
      <c r="I104" s="2"/>
    </row>
    <row r="105" spans="1:9">
      <c r="A105" s="133"/>
      <c r="B105" s="184" t="s">
        <v>6</v>
      </c>
      <c r="C105" s="184"/>
      <c r="D105" s="184"/>
      <c r="E105" s="184"/>
      <c r="F105" s="184"/>
      <c r="G105" s="184"/>
      <c r="H105" s="13"/>
      <c r="I105" s="4"/>
    </row>
    <row r="106" spans="1:9">
      <c r="A106" s="7"/>
      <c r="B106" s="7"/>
      <c r="C106" s="7"/>
      <c r="D106" s="7"/>
      <c r="E106" s="7"/>
      <c r="F106" s="7"/>
      <c r="G106" s="7"/>
      <c r="H106" s="7"/>
      <c r="I106" s="7"/>
    </row>
    <row r="107" spans="1:9" ht="15.75">
      <c r="A107" s="198" t="s">
        <v>7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98" t="s">
        <v>8</v>
      </c>
      <c r="B108" s="198"/>
      <c r="C108" s="198"/>
      <c r="D108" s="198"/>
      <c r="E108" s="198"/>
      <c r="F108" s="198"/>
      <c r="G108" s="198"/>
      <c r="H108" s="198"/>
      <c r="I108" s="198"/>
    </row>
    <row r="109" spans="1:9" ht="15.75">
      <c r="A109" s="188" t="s">
        <v>61</v>
      </c>
      <c r="B109" s="188"/>
      <c r="C109" s="188"/>
      <c r="D109" s="188"/>
      <c r="E109" s="188"/>
      <c r="F109" s="188"/>
      <c r="G109" s="188"/>
      <c r="H109" s="188"/>
      <c r="I109" s="188"/>
    </row>
    <row r="110" spans="1:9" ht="15.75">
      <c r="A110" s="8"/>
    </row>
    <row r="111" spans="1:9" ht="15.75">
      <c r="A111" s="182" t="s">
        <v>9</v>
      </c>
      <c r="B111" s="182"/>
      <c r="C111" s="182"/>
      <c r="D111" s="182"/>
      <c r="E111" s="182"/>
      <c r="F111" s="182"/>
      <c r="G111" s="182"/>
      <c r="H111" s="182"/>
      <c r="I111" s="182"/>
    </row>
    <row r="112" spans="1:9" ht="15.75">
      <c r="A112" s="3"/>
    </row>
    <row r="113" spans="1:9" ht="15.75">
      <c r="B113" s="130" t="s">
        <v>10</v>
      </c>
      <c r="C113" s="183" t="s">
        <v>123</v>
      </c>
      <c r="D113" s="183"/>
      <c r="E113" s="183"/>
      <c r="F113" s="55"/>
      <c r="I113" s="132"/>
    </row>
    <row r="114" spans="1:9">
      <c r="A114" s="133"/>
      <c r="C114" s="184" t="s">
        <v>11</v>
      </c>
      <c r="D114" s="184"/>
      <c r="E114" s="184"/>
      <c r="F114" s="13"/>
      <c r="I114" s="131" t="s">
        <v>12</v>
      </c>
    </row>
    <row r="115" spans="1:9" ht="15.75">
      <c r="A115" s="14"/>
      <c r="C115" s="9"/>
      <c r="D115" s="9"/>
      <c r="G115" s="9"/>
      <c r="H115" s="9"/>
    </row>
    <row r="116" spans="1:9" ht="15.75">
      <c r="B116" s="130" t="s">
        <v>13</v>
      </c>
      <c r="C116" s="185"/>
      <c r="D116" s="185"/>
      <c r="E116" s="185"/>
      <c r="F116" s="56"/>
      <c r="I116" s="132"/>
    </row>
    <row r="117" spans="1:9">
      <c r="A117" s="133"/>
      <c r="C117" s="186" t="s">
        <v>11</v>
      </c>
      <c r="D117" s="186"/>
      <c r="E117" s="186"/>
      <c r="F117" s="133"/>
      <c r="I117" s="131" t="s">
        <v>12</v>
      </c>
    </row>
    <row r="118" spans="1:9" ht="15.75">
      <c r="A118" s="3" t="s">
        <v>14</v>
      </c>
    </row>
    <row r="119" spans="1:9">
      <c r="A119" s="187" t="s">
        <v>15</v>
      </c>
      <c r="B119" s="187"/>
      <c r="C119" s="187"/>
      <c r="D119" s="187"/>
      <c r="E119" s="187"/>
      <c r="F119" s="187"/>
      <c r="G119" s="187"/>
      <c r="H119" s="187"/>
      <c r="I119" s="187"/>
    </row>
    <row r="120" spans="1:9" ht="50.25" customHeight="1">
      <c r="A120" s="181" t="s">
        <v>16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9" customHeight="1">
      <c r="A121" s="181" t="s">
        <v>17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35.25" customHeight="1">
      <c r="A122" s="181" t="s">
        <v>21</v>
      </c>
      <c r="B122" s="181"/>
      <c r="C122" s="181"/>
      <c r="D122" s="181"/>
      <c r="E122" s="181"/>
      <c r="F122" s="181"/>
      <c r="G122" s="181"/>
      <c r="H122" s="181"/>
      <c r="I122" s="181"/>
    </row>
    <row r="123" spans="1:9" ht="15.75">
      <c r="A123" s="181" t="s">
        <v>20</v>
      </c>
      <c r="B123" s="181"/>
      <c r="C123" s="181"/>
      <c r="D123" s="181"/>
      <c r="E123" s="181"/>
      <c r="F123" s="181"/>
      <c r="G123" s="181"/>
      <c r="H123" s="181"/>
      <c r="I123" s="181"/>
    </row>
  </sheetData>
  <mergeCells count="28">
    <mergeCell ref="A119:I119"/>
    <mergeCell ref="A120:I120"/>
    <mergeCell ref="A121:I121"/>
    <mergeCell ref="A122:I122"/>
    <mergeCell ref="A123:I123"/>
    <mergeCell ref="C117:E117"/>
    <mergeCell ref="A103:I103"/>
    <mergeCell ref="B104:G104"/>
    <mergeCell ref="B105:G105"/>
    <mergeCell ref="A107:I107"/>
    <mergeCell ref="A108:I108"/>
    <mergeCell ref="A109:I109"/>
    <mergeCell ref="A111:I111"/>
    <mergeCell ref="C113:E113"/>
    <mergeCell ref="C114:E114"/>
    <mergeCell ref="C116:E116"/>
    <mergeCell ref="A92:I9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8:I88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  <rowBreaks count="1" manualBreakCount="1">
    <brk id="10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I122"/>
  <sheetViews>
    <sheetView view="pageBreakPreview" zoomScale="60" workbookViewId="0">
      <selection activeCell="K106" sqref="K106"/>
    </sheetView>
  </sheetViews>
  <sheetFormatPr defaultRowHeight="15"/>
  <cols>
    <col min="1" max="1" width="11.5703125" customWidth="1"/>
    <col min="2" max="2" width="46.5703125" customWidth="1"/>
    <col min="3" max="3" width="18.7109375" customWidth="1"/>
    <col min="4" max="4" width="18.28515625" customWidth="1"/>
    <col min="5" max="6" width="0" hidden="1" customWidth="1"/>
    <col min="7" max="7" width="17.7109375" customWidth="1"/>
    <col min="8" max="8" width="0" hidden="1" customWidth="1"/>
    <col min="9" max="9" width="16.1406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164</v>
      </c>
      <c r="B3" s="200"/>
      <c r="C3" s="200"/>
      <c r="D3" s="200"/>
      <c r="E3" s="200"/>
      <c r="F3" s="200"/>
      <c r="G3" s="200"/>
      <c r="H3" s="200"/>
      <c r="I3" s="200"/>
    </row>
    <row r="4" spans="1:9" ht="32.2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238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39"/>
      <c r="C6" s="139"/>
      <c r="D6" s="139"/>
      <c r="E6" s="139"/>
      <c r="F6" s="139"/>
      <c r="G6" s="139"/>
      <c r="H6" s="139"/>
      <c r="I6" s="19">
        <v>44043</v>
      </c>
    </row>
    <row r="7" spans="1:9" ht="15.75">
      <c r="B7" s="137"/>
      <c r="C7" s="137"/>
      <c r="D7" s="137"/>
      <c r="E7" s="2"/>
      <c r="F7" s="2"/>
      <c r="G7" s="2"/>
      <c r="H7" s="2"/>
    </row>
    <row r="8" spans="1:9" ht="102.75" customHeight="1">
      <c r="A8" s="203" t="s">
        <v>165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74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61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8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230</v>
      </c>
      <c r="H16" s="75">
        <f t="shared" ref="H16:H25" si="0">SUM(F16*G16/1000)</f>
        <v>43.465032000000001</v>
      </c>
      <c r="I16" s="10">
        <f>F16/12*G16</f>
        <v>3622.0859999999998</v>
      </c>
    </row>
    <row r="17" spans="1:9" ht="18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230</v>
      </c>
      <c r="H17" s="75">
        <f t="shared" si="0"/>
        <v>115.906752</v>
      </c>
      <c r="I17" s="10">
        <f>F17/12*G17</f>
        <v>9658.8959999999988</v>
      </c>
    </row>
    <row r="18" spans="1:9" ht="13.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SUM(E18*24/100)</f>
        <v>145.36800000000002</v>
      </c>
      <c r="G18" s="22">
        <v>661.67</v>
      </c>
      <c r="H18" s="75">
        <f t="shared" si="0"/>
        <v>96.185644560000014</v>
      </c>
      <c r="I18" s="10">
        <f>F18/12*G18</f>
        <v>8015.4703800000016</v>
      </c>
    </row>
    <row r="19" spans="1:9" hidden="1">
      <c r="A19" s="18">
        <v>4</v>
      </c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223.17</v>
      </c>
      <c r="H19" s="75">
        <f t="shared" si="0"/>
        <v>0.85697279999999987</v>
      </c>
      <c r="I19" s="10">
        <f>F19/2*G19</f>
        <v>428.48639999999995</v>
      </c>
    </row>
    <row r="20" spans="1:9" hidden="1">
      <c r="A20" s="18">
        <v>5</v>
      </c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285.76</v>
      </c>
      <c r="H20" s="75">
        <f t="shared" si="0"/>
        <v>0.33376768000000001</v>
      </c>
      <c r="I20" s="10">
        <f>F20/2*G20</f>
        <v>166.88383999999999</v>
      </c>
    </row>
    <row r="21" spans="1:9" ht="18.75" customHeight="1">
      <c r="A21" s="18">
        <v>4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283.44</v>
      </c>
      <c r="H21" s="75">
        <f t="shared" si="0"/>
        <v>0.154418112</v>
      </c>
      <c r="I21" s="10">
        <f>F21/6*G21</f>
        <v>25.736352</v>
      </c>
    </row>
    <row r="22" spans="1:9" hidden="1">
      <c r="A22" s="18">
        <v>7</v>
      </c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353.14</v>
      </c>
      <c r="H22" s="75">
        <f t="shared" si="0"/>
        <v>2.5214195999999998</v>
      </c>
      <c r="I22" s="10">
        <f t="shared" ref="I22:I24" si="1">F22/12*G22</f>
        <v>210.11829999999998</v>
      </c>
    </row>
    <row r="23" spans="1:9" hidden="1">
      <c r="A23" s="18">
        <v>8</v>
      </c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58.08</v>
      </c>
      <c r="H23" s="75">
        <f t="shared" si="0"/>
        <v>5.6105279999999993E-2</v>
      </c>
      <c r="I23" s="10">
        <f t="shared" si="1"/>
        <v>4.67544</v>
      </c>
    </row>
    <row r="24" spans="1:9" hidden="1">
      <c r="A24" s="18">
        <v>9</v>
      </c>
      <c r="B24" s="23" t="s">
        <v>111</v>
      </c>
      <c r="C24" s="35" t="s">
        <v>53</v>
      </c>
      <c r="D24" s="23" t="s">
        <v>112</v>
      </c>
      <c r="E24" s="74">
        <v>32</v>
      </c>
      <c r="F24" s="22">
        <f>E24*12/100</f>
        <v>3.84</v>
      </c>
      <c r="G24" s="22">
        <v>511.12</v>
      </c>
      <c r="H24" s="75">
        <f t="shared" si="0"/>
        <v>1.9627007999999999</v>
      </c>
      <c r="I24" s="10">
        <f t="shared" si="1"/>
        <v>163.55840000000001</v>
      </c>
    </row>
    <row r="25" spans="1:9" ht="18.75" customHeight="1">
      <c r="A25" s="18">
        <v>5</v>
      </c>
      <c r="B25" s="23" t="s">
        <v>113</v>
      </c>
      <c r="C25" s="35" t="s">
        <v>53</v>
      </c>
      <c r="D25" s="23" t="s">
        <v>180</v>
      </c>
      <c r="E25" s="74">
        <v>17</v>
      </c>
      <c r="F25" s="22">
        <f>SUM(E25*12/100)</f>
        <v>2.04</v>
      </c>
      <c r="G25" s="22">
        <v>683.05</v>
      </c>
      <c r="H25" s="75">
        <f t="shared" si="0"/>
        <v>1.3934219999999999</v>
      </c>
      <c r="I25" s="10">
        <f>F25/12*G25</f>
        <v>116.1185</v>
      </c>
    </row>
    <row r="26" spans="1:9" ht="15.75" customHeight="1">
      <c r="A26" s="18">
        <v>6</v>
      </c>
      <c r="B26" s="23" t="s">
        <v>176</v>
      </c>
      <c r="C26" s="35" t="s">
        <v>25</v>
      </c>
      <c r="D26" s="23" t="s">
        <v>181</v>
      </c>
      <c r="E26" s="77">
        <v>5.33</v>
      </c>
      <c r="F26" s="22">
        <f>E26*258</f>
        <v>1375.14</v>
      </c>
      <c r="G26" s="22">
        <v>10.39</v>
      </c>
      <c r="H26" s="75">
        <f>SUM(F26*G26/1000)</f>
        <v>14.287704600000001</v>
      </c>
      <c r="I26" s="10">
        <f>F26/12*G26</f>
        <v>1190.6420500000002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18.75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6.5" customHeight="1">
      <c r="A29" s="18">
        <v>7</v>
      </c>
      <c r="B29" s="23" t="s">
        <v>93</v>
      </c>
      <c r="C29" s="35" t="s">
        <v>87</v>
      </c>
      <c r="D29" s="23" t="s">
        <v>178</v>
      </c>
      <c r="E29" s="22">
        <v>637</v>
      </c>
      <c r="F29" s="22">
        <f>SUM(E29*48/1000)</f>
        <v>30.576000000000001</v>
      </c>
      <c r="G29" s="22">
        <v>204.44</v>
      </c>
      <c r="H29" s="75">
        <f t="shared" ref="H29:H32" si="2">SUM(F29*G29/1000)</f>
        <v>6.2509574400000005</v>
      </c>
      <c r="I29" s="10">
        <f t="shared" ref="I29:I32" si="3">F29/6*G29</f>
        <v>1041.8262400000001</v>
      </c>
    </row>
    <row r="30" spans="1:9" ht="46.5" customHeight="1">
      <c r="A30" s="18">
        <v>8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339.21</v>
      </c>
      <c r="H30" s="75">
        <f t="shared" si="2"/>
        <v>3.0610310399999996</v>
      </c>
      <c r="I30" s="10">
        <f t="shared" si="3"/>
        <v>510.17183999999992</v>
      </c>
    </row>
    <row r="31" spans="1:9" hidden="1">
      <c r="A31" s="18">
        <v>15</v>
      </c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3961.23</v>
      </c>
      <c r="H31" s="75">
        <f t="shared" si="2"/>
        <v>2.5233035100000003</v>
      </c>
      <c r="I31" s="10">
        <f>F31*G31</f>
        <v>2523.3035100000002</v>
      </c>
    </row>
    <row r="32" spans="1:9" ht="18.75" customHeight="1">
      <c r="A32" s="18">
        <v>9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1707.63</v>
      </c>
      <c r="H32" s="75">
        <f t="shared" si="2"/>
        <v>6.5572992000000001</v>
      </c>
      <c r="I32" s="10">
        <f t="shared" si="3"/>
        <v>1092.8832</v>
      </c>
    </row>
    <row r="33" spans="1:9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ref="H33:H34" si="4">SUM(F33*G33/1000)</f>
        <v>0.50183999999999995</v>
      </c>
      <c r="I33" s="10">
        <v>0</v>
      </c>
    </row>
    <row r="34" spans="1:9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4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5">SUM(F36*G36/1000)</f>
        <v>16.024000000000001</v>
      </c>
      <c r="I36" s="10">
        <f t="shared" ref="I36:I44" si="6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5"/>
        <v>13.48002864</v>
      </c>
      <c r="I37" s="10">
        <f t="shared" si="6"/>
        <v>2246.6714400000001</v>
      </c>
    </row>
    <row r="38" spans="1:9" ht="30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5"/>
        <v>13.404982799999999</v>
      </c>
      <c r="I38" s="10">
        <f t="shared" si="6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5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60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5"/>
        <v>37.20335008</v>
      </c>
      <c r="I41" s="10">
        <f t="shared" si="6"/>
        <v>6200.5583466666667</v>
      </c>
    </row>
    <row r="42" spans="1:9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5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5"/>
        <v>0.8773470000000001</v>
      </c>
      <c r="I43" s="10">
        <f>(F43/7.5*1.5)*G43</f>
        <v>175.46940000000004</v>
      </c>
    </row>
    <row r="44" spans="1:9" ht="30" hidden="1">
      <c r="A44" s="18">
        <v>14</v>
      </c>
      <c r="B44" s="66" t="s">
        <v>143</v>
      </c>
      <c r="C44" s="53" t="s">
        <v>29</v>
      </c>
      <c r="D44" s="24" t="s">
        <v>144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5"/>
        <v>7.4937599999999986E-3</v>
      </c>
      <c r="I44" s="10">
        <f t="shared" si="6"/>
        <v>1.2489599999999998</v>
      </c>
    </row>
    <row r="45" spans="1:9" hidden="1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idden="1">
      <c r="A46" s="18">
        <v>18</v>
      </c>
      <c r="B46" s="23" t="s">
        <v>129</v>
      </c>
      <c r="C46" s="35" t="s">
        <v>87</v>
      </c>
      <c r="D46" s="23" t="s">
        <v>42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7">SUM(F46*G46/1000)</f>
        <v>3.842075006</v>
      </c>
      <c r="I46" s="10">
        <f t="shared" ref="I46:I54" si="8">F46/2*G46</f>
        <v>1921.037503</v>
      </c>
    </row>
    <row r="47" spans="1:9" hidden="1">
      <c r="A47" s="18">
        <v>19</v>
      </c>
      <c r="B47" s="23" t="s">
        <v>35</v>
      </c>
      <c r="C47" s="35" t="s">
        <v>87</v>
      </c>
      <c r="D47" s="23" t="s">
        <v>42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7"/>
        <v>0.91916240000000005</v>
      </c>
      <c r="I47" s="10">
        <f t="shared" si="8"/>
        <v>459.58120000000002</v>
      </c>
    </row>
    <row r="48" spans="1:9" hidden="1">
      <c r="A48" s="18">
        <v>20</v>
      </c>
      <c r="B48" s="23" t="s">
        <v>36</v>
      </c>
      <c r="C48" s="35" t="s">
        <v>87</v>
      </c>
      <c r="D48" s="23" t="s">
        <v>42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7"/>
        <v>7.2034689005999999</v>
      </c>
      <c r="I48" s="10">
        <f t="shared" si="8"/>
        <v>3601.7344502999999</v>
      </c>
    </row>
    <row r="49" spans="1:9" hidden="1">
      <c r="A49" s="18">
        <v>21</v>
      </c>
      <c r="B49" s="23" t="s">
        <v>37</v>
      </c>
      <c r="C49" s="35" t="s">
        <v>87</v>
      </c>
      <c r="D49" s="23" t="s">
        <v>42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7"/>
        <v>6.6006486806</v>
      </c>
      <c r="I49" s="10">
        <f t="shared" si="8"/>
        <v>3300.3243403000001</v>
      </c>
    </row>
    <row r="50" spans="1:9" hidden="1">
      <c r="A50" s="18">
        <v>22</v>
      </c>
      <c r="B50" s="23" t="s">
        <v>33</v>
      </c>
      <c r="C50" s="35" t="s">
        <v>34</v>
      </c>
      <c r="D50" s="23" t="s">
        <v>42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7"/>
        <v>3.4774048560000002</v>
      </c>
      <c r="I50" s="10">
        <f t="shared" si="8"/>
        <v>1738.7024280000001</v>
      </c>
    </row>
    <row r="51" spans="1:9" hidden="1">
      <c r="A51" s="18">
        <v>23</v>
      </c>
      <c r="B51" s="23" t="s">
        <v>56</v>
      </c>
      <c r="C51" s="35" t="s">
        <v>87</v>
      </c>
      <c r="D51" s="23" t="s">
        <v>132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7"/>
        <v>39.635185905</v>
      </c>
      <c r="I51" s="10">
        <f>F51/5*G51</f>
        <v>7927.0371809999997</v>
      </c>
    </row>
    <row r="52" spans="1:9" ht="45" hidden="1">
      <c r="A52" s="18">
        <v>24</v>
      </c>
      <c r="B52" s="23" t="s">
        <v>89</v>
      </c>
      <c r="C52" s="35" t="s">
        <v>87</v>
      </c>
      <c r="D52" s="23" t="s">
        <v>42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7"/>
        <v>13.989845679999998</v>
      </c>
      <c r="I52" s="10">
        <f t="shared" si="8"/>
        <v>6994.9228399999993</v>
      </c>
    </row>
    <row r="53" spans="1:9" ht="30" hidden="1">
      <c r="A53" s="18">
        <v>25</v>
      </c>
      <c r="B53" s="23" t="s">
        <v>90</v>
      </c>
      <c r="C53" s="35" t="s">
        <v>38</v>
      </c>
      <c r="D53" s="23" t="s">
        <v>42</v>
      </c>
      <c r="E53" s="74">
        <v>40</v>
      </c>
      <c r="F53" s="22">
        <f>SUM(E53*2/100)</f>
        <v>0.8</v>
      </c>
      <c r="G53" s="27">
        <v>4058.32</v>
      </c>
      <c r="H53" s="75">
        <f t="shared" si="7"/>
        <v>3.2466560000000002</v>
      </c>
      <c r="I53" s="10">
        <f t="shared" si="8"/>
        <v>1623.3280000000002</v>
      </c>
    </row>
    <row r="54" spans="1:9" hidden="1">
      <c r="A54" s="18">
        <v>26</v>
      </c>
      <c r="B54" s="23" t="s">
        <v>39</v>
      </c>
      <c r="C54" s="35" t="s">
        <v>40</v>
      </c>
      <c r="D54" s="23" t="s">
        <v>42</v>
      </c>
      <c r="E54" s="74">
        <v>1</v>
      </c>
      <c r="F54" s="22">
        <v>0.02</v>
      </c>
      <c r="G54" s="27">
        <v>7412.92</v>
      </c>
      <c r="H54" s="75">
        <f t="shared" si="7"/>
        <v>0.14825839999999998</v>
      </c>
      <c r="I54" s="10">
        <f t="shared" si="8"/>
        <v>74.129199999999997</v>
      </c>
    </row>
    <row r="55" spans="1:9" hidden="1">
      <c r="A55" s="18">
        <v>27</v>
      </c>
      <c r="B55" s="23" t="s">
        <v>41</v>
      </c>
      <c r="C55" s="35" t="s">
        <v>94</v>
      </c>
      <c r="D55" s="23" t="s">
        <v>70</v>
      </c>
      <c r="E55" s="74">
        <v>160</v>
      </c>
      <c r="F55" s="22">
        <f>SUM(E55)*3</f>
        <v>480</v>
      </c>
      <c r="G55" s="28">
        <v>86.15</v>
      </c>
      <c r="H55" s="75">
        <f t="shared" si="7"/>
        <v>41.351999999999997</v>
      </c>
      <c r="I55" s="10">
        <f>F55/3*G55</f>
        <v>13784</v>
      </c>
    </row>
    <row r="56" spans="1:9">
      <c r="A56" s="190" t="s">
        <v>125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45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9">F58/6*G58</f>
        <v>3246.8799999999997</v>
      </c>
    </row>
    <row r="59" spans="1:9" hidden="1">
      <c r="A59" s="18">
        <v>18</v>
      </c>
      <c r="B59" s="23" t="s">
        <v>145</v>
      </c>
      <c r="C59" s="35" t="s">
        <v>146</v>
      </c>
      <c r="D59" s="23" t="s">
        <v>66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G59*(1.5+1+1.5)</f>
        <v>6328.2</v>
      </c>
    </row>
    <row r="60" spans="1:9" ht="16.5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8" customHeight="1">
      <c r="A62" s="18">
        <v>10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>
      <c r="A64" s="18">
        <v>11</v>
      </c>
      <c r="B64" s="50" t="s">
        <v>47</v>
      </c>
      <c r="C64" s="31" t="s">
        <v>94</v>
      </c>
      <c r="D64" s="23" t="s">
        <v>185</v>
      </c>
      <c r="E64" s="12">
        <v>10</v>
      </c>
      <c r="F64" s="22">
        <f>SUM(E64)</f>
        <v>10</v>
      </c>
      <c r="G64" s="27">
        <v>291.68</v>
      </c>
      <c r="H64" s="64">
        <f t="shared" ref="H64:H85" si="10">SUM(F64*G64/1000)</f>
        <v>2.9168000000000003</v>
      </c>
      <c r="I64" s="10">
        <f>G64*1</f>
        <v>291.68</v>
      </c>
    </row>
    <row r="65" spans="1:9" hidden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10"/>
        <v>0.50004999999999999</v>
      </c>
      <c r="I65" s="10">
        <v>0</v>
      </c>
    </row>
    <row r="66" spans="1:9">
      <c r="A66" s="18">
        <v>12</v>
      </c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278.24</v>
      </c>
      <c r="H66" s="64">
        <f t="shared" si="10"/>
        <v>66.952891199999996</v>
      </c>
      <c r="I66" s="10">
        <f>F66*G66</f>
        <v>66952.891199999998</v>
      </c>
    </row>
    <row r="67" spans="1:9">
      <c r="A67" s="18">
        <v>13</v>
      </c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216.68</v>
      </c>
      <c r="H67" s="64">
        <f t="shared" si="10"/>
        <v>5.21397084</v>
      </c>
      <c r="I67" s="10">
        <f t="shared" ref="I67:I71" si="11">F67*G67</f>
        <v>5213.97084</v>
      </c>
    </row>
    <row r="68" spans="1:9">
      <c r="A68" s="18">
        <v>14</v>
      </c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2720.94</v>
      </c>
      <c r="H68" s="64">
        <f t="shared" si="10"/>
        <v>35.372219999999999</v>
      </c>
      <c r="I68" s="10">
        <f t="shared" si="11"/>
        <v>35372.22</v>
      </c>
    </row>
    <row r="69" spans="1:9">
      <c r="A69" s="18">
        <v>15</v>
      </c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10"/>
        <v>0.44314399999999998</v>
      </c>
      <c r="I69" s="10">
        <f t="shared" si="11"/>
        <v>443.14400000000001</v>
      </c>
    </row>
    <row r="70" spans="1:9" ht="30">
      <c r="A70" s="18">
        <v>16</v>
      </c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10"/>
        <v>0.47881600000000002</v>
      </c>
      <c r="I70" s="10">
        <f t="shared" si="11"/>
        <v>478.81600000000003</v>
      </c>
    </row>
    <row r="71" spans="1:9" hidden="1">
      <c r="A71" s="18"/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10"/>
        <v>0.3271</v>
      </c>
      <c r="I71" s="10">
        <f t="shared" si="11"/>
        <v>327.10000000000002</v>
      </c>
    </row>
    <row r="72" spans="1:9" ht="15.75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2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2"/>
        <v>0.73499999999999999</v>
      </c>
      <c r="I74" s="10">
        <v>0</v>
      </c>
    </row>
    <row r="75" spans="1:9">
      <c r="A75" s="18">
        <v>17</v>
      </c>
      <c r="B75" s="30" t="s">
        <v>74</v>
      </c>
      <c r="C75" s="31" t="s">
        <v>75</v>
      </c>
      <c r="D75" s="23" t="s">
        <v>242</v>
      </c>
      <c r="E75" s="12">
        <v>7</v>
      </c>
      <c r="F75" s="27">
        <f>E75/10</f>
        <v>0.7</v>
      </c>
      <c r="G75" s="27">
        <v>657.87</v>
      </c>
      <c r="H75" s="64">
        <f t="shared" si="12"/>
        <v>0.46050899999999995</v>
      </c>
      <c r="I75" s="10">
        <f>G75*0.2</f>
        <v>131.57400000000001</v>
      </c>
    </row>
    <row r="76" spans="1:9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2"/>
        <v>1.1187199999999999</v>
      </c>
      <c r="I76" s="10">
        <v>0</v>
      </c>
    </row>
    <row r="77" spans="1:9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29.25" customHeight="1">
      <c r="A78" s="18">
        <v>18</v>
      </c>
      <c r="B78" s="66" t="s">
        <v>151</v>
      </c>
      <c r="C78" s="53" t="s">
        <v>94</v>
      </c>
      <c r="D78" s="30" t="s">
        <v>180</v>
      </c>
      <c r="E78" s="85">
        <v>2</v>
      </c>
      <c r="F78" s="83">
        <f>E78*12</f>
        <v>24</v>
      </c>
      <c r="G78" s="86">
        <v>53.42</v>
      </c>
      <c r="H78" s="64">
        <f t="shared" ref="H78:H79" si="13">SUM(F78*G78/1000)</f>
        <v>1.2820799999999999</v>
      </c>
      <c r="I78" s="10">
        <f>F78/12*G78</f>
        <v>106.84</v>
      </c>
    </row>
    <row r="79" spans="1:9" ht="18" customHeight="1">
      <c r="A79" s="18">
        <v>19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27">
        <v>1194</v>
      </c>
      <c r="H79" s="64">
        <f t="shared" si="13"/>
        <v>14.327999999999999</v>
      </c>
      <c r="I79" s="10">
        <f>F79/12*G79</f>
        <v>1194</v>
      </c>
    </row>
    <row r="80" spans="1:9" hidden="1">
      <c r="A80" s="18"/>
      <c r="B80" s="119" t="s">
        <v>46</v>
      </c>
      <c r="C80" s="116"/>
      <c r="D80" s="117"/>
      <c r="E80" s="12"/>
      <c r="F80" s="27"/>
      <c r="G80" s="27"/>
      <c r="H80" s="64"/>
      <c r="I80" s="10"/>
    </row>
    <row r="81" spans="1:9" hidden="1">
      <c r="A81" s="18"/>
      <c r="B81" s="50" t="s">
        <v>47</v>
      </c>
      <c r="C81" s="31" t="s">
        <v>94</v>
      </c>
      <c r="D81" s="30" t="s">
        <v>66</v>
      </c>
      <c r="E81" s="12"/>
      <c r="F81" s="27"/>
      <c r="G81" s="27">
        <v>291.68</v>
      </c>
      <c r="H81" s="64"/>
      <c r="I81" s="10">
        <f>G81*1</f>
        <v>291.68</v>
      </c>
    </row>
    <row r="82" spans="1:9" ht="17.25" customHeight="1">
      <c r="A82" s="18"/>
      <c r="B82" s="95" t="s">
        <v>152</v>
      </c>
      <c r="C82" s="53"/>
      <c r="D82" s="30"/>
      <c r="E82" s="12"/>
      <c r="F82" s="27"/>
      <c r="G82" s="27"/>
      <c r="H82" s="64"/>
      <c r="I82" s="10"/>
    </row>
    <row r="83" spans="1:9" ht="18" customHeight="1">
      <c r="A83" s="18">
        <v>20</v>
      </c>
      <c r="B83" s="30" t="s">
        <v>153</v>
      </c>
      <c r="C83" s="36" t="s">
        <v>154</v>
      </c>
      <c r="D83" s="23"/>
      <c r="E83" s="12">
        <v>4394.8999999999996</v>
      </c>
      <c r="F83" s="27">
        <f>SUM(E83*12)</f>
        <v>52738.799999999996</v>
      </c>
      <c r="G83" s="27">
        <v>2.2799999999999998</v>
      </c>
      <c r="H83" s="64">
        <f t="shared" ref="H83" si="14">SUM(F83*G83/1000)</f>
        <v>120.24446399999998</v>
      </c>
      <c r="I83" s="10">
        <f>F83/12*G83</f>
        <v>10020.371999999998</v>
      </c>
    </row>
    <row r="84" spans="1:9" hidden="1">
      <c r="A84" s="18"/>
      <c r="B84" s="44" t="s">
        <v>76</v>
      </c>
      <c r="C84" s="31"/>
      <c r="D84" s="30"/>
      <c r="E84" s="12"/>
      <c r="F84" s="27"/>
      <c r="G84" s="27" t="s">
        <v>128</v>
      </c>
      <c r="H84" s="64" t="s">
        <v>128</v>
      </c>
      <c r="I84" s="10"/>
    </row>
    <row r="85" spans="1:9" hidden="1">
      <c r="A85" s="18">
        <v>16</v>
      </c>
      <c r="B85" s="32" t="s">
        <v>99</v>
      </c>
      <c r="C85" s="33" t="s">
        <v>77</v>
      </c>
      <c r="D85" s="50"/>
      <c r="E85" s="87"/>
      <c r="F85" s="28">
        <v>0.6</v>
      </c>
      <c r="G85" s="28">
        <v>3619.09</v>
      </c>
      <c r="H85" s="64">
        <f t="shared" si="10"/>
        <v>2.1714540000000002</v>
      </c>
      <c r="I85" s="10">
        <f>G85*0.03</f>
        <v>108.5727</v>
      </c>
    </row>
    <row r="86" spans="1:9" ht="28.5" hidden="1">
      <c r="A86" s="18"/>
      <c r="B86" s="138" t="s">
        <v>91</v>
      </c>
      <c r="C86" s="62"/>
      <c r="D86" s="20"/>
      <c r="E86" s="21"/>
      <c r="F86" s="59"/>
      <c r="G86" s="59"/>
      <c r="H86" s="88">
        <f>SUM(H58:H85)</f>
        <v>284.91172943999999</v>
      </c>
      <c r="I86" s="10"/>
    </row>
    <row r="87" spans="1:9" hidden="1">
      <c r="A87" s="18"/>
      <c r="B87" s="23" t="s">
        <v>97</v>
      </c>
      <c r="C87" s="89"/>
      <c r="D87" s="90"/>
      <c r="E87" s="91"/>
      <c r="F87" s="29">
        <v>1</v>
      </c>
      <c r="G87" s="29">
        <v>18792</v>
      </c>
      <c r="H87" s="64">
        <f>G87*F87/1000</f>
        <v>18.792000000000002</v>
      </c>
      <c r="I87" s="10">
        <v>0</v>
      </c>
    </row>
    <row r="88" spans="1:9">
      <c r="A88" s="190" t="s">
        <v>126</v>
      </c>
      <c r="B88" s="191"/>
      <c r="C88" s="191"/>
      <c r="D88" s="191"/>
      <c r="E88" s="191"/>
      <c r="F88" s="191"/>
      <c r="G88" s="191"/>
      <c r="H88" s="191"/>
      <c r="I88" s="192"/>
    </row>
    <row r="89" spans="1:9" ht="22.5" customHeight="1">
      <c r="A89" s="18">
        <v>21</v>
      </c>
      <c r="B89" s="23" t="s">
        <v>98</v>
      </c>
      <c r="C89" s="31" t="s">
        <v>55</v>
      </c>
      <c r="D89" s="51"/>
      <c r="E89" s="27">
        <v>4394.8999999999996</v>
      </c>
      <c r="F89" s="27">
        <f>SUM(E89*12)</f>
        <v>52738.799999999996</v>
      </c>
      <c r="G89" s="27">
        <v>3.1</v>
      </c>
      <c r="H89" s="64">
        <f>SUM(F89*G89/1000)</f>
        <v>163.49028000000001</v>
      </c>
      <c r="I89" s="10">
        <f>F89/12*G89</f>
        <v>13624.189999999999</v>
      </c>
    </row>
    <row r="90" spans="1:9" ht="27.75" customHeight="1">
      <c r="A90" s="18">
        <v>22</v>
      </c>
      <c r="B90" s="30" t="s">
        <v>78</v>
      </c>
      <c r="C90" s="31"/>
      <c r="D90" s="51"/>
      <c r="E90" s="74">
        <f>E89</f>
        <v>4394.8999999999996</v>
      </c>
      <c r="F90" s="27">
        <f>E90*12</f>
        <v>52738.799999999996</v>
      </c>
      <c r="G90" s="27">
        <v>3.5</v>
      </c>
      <c r="H90" s="64">
        <f>F90*G90/1000</f>
        <v>184.58579999999998</v>
      </c>
      <c r="I90" s="10">
        <f>F90/12*G90</f>
        <v>15382.149999999998</v>
      </c>
    </row>
    <row r="91" spans="1:9">
      <c r="A91" s="18"/>
      <c r="B91" s="34" t="s">
        <v>80</v>
      </c>
      <c r="C91" s="62"/>
      <c r="D91" s="61"/>
      <c r="E91" s="59"/>
      <c r="F91" s="59"/>
      <c r="G91" s="59"/>
      <c r="H91" s="63">
        <f>SUM(H76)</f>
        <v>1.1187199999999999</v>
      </c>
      <c r="I91" s="59">
        <f>I90+I89+I83+I79+I78+I75+I70+I69+I68+I67+I66+I64+I62+I32+I30+I29+I26+I25+I21+I18+I17+I16</f>
        <v>174765.678602</v>
      </c>
    </row>
    <row r="92" spans="1:9">
      <c r="A92" s="193" t="s">
        <v>60</v>
      </c>
      <c r="B92" s="194"/>
      <c r="C92" s="194"/>
      <c r="D92" s="194"/>
      <c r="E92" s="194"/>
      <c r="F92" s="194"/>
      <c r="G92" s="194"/>
      <c r="H92" s="194"/>
      <c r="I92" s="195"/>
    </row>
    <row r="93" spans="1:9" ht="15.75" customHeight="1">
      <c r="A93" s="18">
        <v>23</v>
      </c>
      <c r="B93" s="67" t="s">
        <v>239</v>
      </c>
      <c r="C93" s="53" t="s">
        <v>53</v>
      </c>
      <c r="D93" s="65" t="s">
        <v>240</v>
      </c>
      <c r="E93" s="27"/>
      <c r="F93" s="27">
        <v>5.7</v>
      </c>
      <c r="G93" s="27">
        <v>509</v>
      </c>
      <c r="H93" s="58">
        <f>G93*F93/1000</f>
        <v>2.9013</v>
      </c>
      <c r="I93" s="108">
        <f>G93*5.7</f>
        <v>2901.3</v>
      </c>
    </row>
    <row r="94" spans="1:9" ht="15.75" customHeight="1">
      <c r="A94" s="18">
        <v>24</v>
      </c>
      <c r="B94" s="66" t="s">
        <v>118</v>
      </c>
      <c r="C94" s="53" t="s">
        <v>94</v>
      </c>
      <c r="D94" s="65"/>
      <c r="E94" s="27"/>
      <c r="F94" s="27">
        <v>10</v>
      </c>
      <c r="G94" s="27">
        <v>60.72</v>
      </c>
      <c r="H94" s="58"/>
      <c r="I94" s="108">
        <f>G94*1</f>
        <v>60.72</v>
      </c>
    </row>
    <row r="95" spans="1:9" ht="29.25" customHeight="1">
      <c r="A95" s="18">
        <v>25</v>
      </c>
      <c r="B95" s="66" t="s">
        <v>227</v>
      </c>
      <c r="C95" s="53" t="s">
        <v>172</v>
      </c>
      <c r="D95" s="65" t="s">
        <v>241</v>
      </c>
      <c r="E95" s="27"/>
      <c r="F95" s="27">
        <v>2</v>
      </c>
      <c r="G95" s="27">
        <v>1523.6</v>
      </c>
      <c r="H95" s="58"/>
      <c r="I95" s="108">
        <f>G95*1</f>
        <v>1523.6</v>
      </c>
    </row>
    <row r="96" spans="1:9" ht="15.75" customHeight="1">
      <c r="A96" s="18">
        <v>26</v>
      </c>
      <c r="B96" s="66" t="s">
        <v>173</v>
      </c>
      <c r="C96" s="53" t="s">
        <v>134</v>
      </c>
      <c r="D96" s="65" t="s">
        <v>243</v>
      </c>
      <c r="E96" s="27"/>
      <c r="F96" s="27">
        <v>4</v>
      </c>
      <c r="G96" s="27">
        <v>222.63</v>
      </c>
      <c r="H96" s="58"/>
      <c r="I96" s="108">
        <f>G96*1</f>
        <v>222.63</v>
      </c>
    </row>
    <row r="97" spans="1:9" ht="15.75" customHeight="1">
      <c r="A97" s="18">
        <v>27</v>
      </c>
      <c r="B97" s="66" t="s">
        <v>157</v>
      </c>
      <c r="C97" s="53" t="s">
        <v>172</v>
      </c>
      <c r="D97" s="65" t="s">
        <v>296</v>
      </c>
      <c r="E97" s="27"/>
      <c r="F97" s="27">
        <v>54</v>
      </c>
      <c r="G97" s="27">
        <v>284</v>
      </c>
      <c r="H97" s="58"/>
      <c r="I97" s="108">
        <v>0</v>
      </c>
    </row>
    <row r="98" spans="1:9" ht="15.75" customHeight="1">
      <c r="A98" s="18">
        <v>28</v>
      </c>
      <c r="B98" s="66" t="s">
        <v>175</v>
      </c>
      <c r="C98" s="53" t="s">
        <v>40</v>
      </c>
      <c r="D98" s="65" t="s">
        <v>185</v>
      </c>
      <c r="E98" s="27"/>
      <c r="F98" s="27">
        <v>7.0000000000000007E-2</v>
      </c>
      <c r="G98" s="27">
        <v>27139.18</v>
      </c>
      <c r="H98" s="58"/>
      <c r="I98" s="108">
        <v>0</v>
      </c>
    </row>
    <row r="99" spans="1:9" ht="15" customHeight="1">
      <c r="A99" s="18"/>
      <c r="B99" s="41" t="s">
        <v>52</v>
      </c>
      <c r="C99" s="120"/>
      <c r="D99" s="47"/>
      <c r="E99" s="37"/>
      <c r="F99" s="37"/>
      <c r="G99" s="37"/>
      <c r="H99" s="37"/>
      <c r="I99" s="21">
        <f>SUM(I93:I98)</f>
        <v>4708.25</v>
      </c>
    </row>
    <row r="100" spans="1:9">
      <c r="A100" s="18"/>
      <c r="B100" s="45" t="s">
        <v>79</v>
      </c>
      <c r="C100" s="11"/>
      <c r="D100" s="11"/>
      <c r="E100" s="38"/>
      <c r="F100" s="38"/>
      <c r="G100" s="39"/>
      <c r="H100" s="39"/>
      <c r="I100" s="12">
        <v>0</v>
      </c>
    </row>
    <row r="101" spans="1:9">
      <c r="A101" s="48"/>
      <c r="B101" s="42" t="s">
        <v>155</v>
      </c>
      <c r="C101" s="26"/>
      <c r="D101" s="26"/>
      <c r="E101" s="26"/>
      <c r="F101" s="26"/>
      <c r="G101" s="26"/>
      <c r="H101" s="26"/>
      <c r="I101" s="40">
        <f>I99+I91</f>
        <v>179473.928602</v>
      </c>
    </row>
    <row r="102" spans="1:9" ht="15.75">
      <c r="A102" s="196" t="s">
        <v>297</v>
      </c>
      <c r="B102" s="196"/>
      <c r="C102" s="196"/>
      <c r="D102" s="196"/>
      <c r="E102" s="196"/>
      <c r="F102" s="196"/>
      <c r="G102" s="196"/>
      <c r="H102" s="196"/>
      <c r="I102" s="196"/>
    </row>
    <row r="103" spans="1:9" ht="15.75">
      <c r="A103" s="54"/>
      <c r="B103" s="197" t="s">
        <v>298</v>
      </c>
      <c r="C103" s="197"/>
      <c r="D103" s="197"/>
      <c r="E103" s="197"/>
      <c r="F103" s="197"/>
      <c r="G103" s="197"/>
      <c r="H103" s="57"/>
      <c r="I103" s="2"/>
    </row>
    <row r="104" spans="1:9">
      <c r="A104" s="136"/>
      <c r="B104" s="184" t="s">
        <v>6</v>
      </c>
      <c r="C104" s="184"/>
      <c r="D104" s="184"/>
      <c r="E104" s="184"/>
      <c r="F104" s="184"/>
      <c r="G104" s="184"/>
      <c r="H104" s="13"/>
      <c r="I104" s="4"/>
    </row>
    <row r="105" spans="1:9">
      <c r="A105" s="7"/>
      <c r="B105" s="7"/>
      <c r="C105" s="7"/>
      <c r="D105" s="7"/>
      <c r="E105" s="7"/>
      <c r="F105" s="7"/>
      <c r="G105" s="7"/>
      <c r="H105" s="7"/>
      <c r="I105" s="7"/>
    </row>
    <row r="106" spans="1:9" ht="15.75">
      <c r="A106" s="198" t="s">
        <v>7</v>
      </c>
      <c r="B106" s="198"/>
      <c r="C106" s="198"/>
      <c r="D106" s="198"/>
      <c r="E106" s="198"/>
      <c r="F106" s="198"/>
      <c r="G106" s="198"/>
      <c r="H106" s="198"/>
      <c r="I106" s="198"/>
    </row>
    <row r="107" spans="1:9" ht="15.75">
      <c r="A107" s="198" t="s">
        <v>8</v>
      </c>
      <c r="B107" s="198"/>
      <c r="C107" s="198"/>
      <c r="D107" s="198"/>
      <c r="E107" s="198"/>
      <c r="F107" s="198"/>
      <c r="G107" s="198"/>
      <c r="H107" s="198"/>
      <c r="I107" s="198"/>
    </row>
    <row r="108" spans="1:9" ht="15.75">
      <c r="A108" s="188" t="s">
        <v>61</v>
      </c>
      <c r="B108" s="188"/>
      <c r="C108" s="188"/>
      <c r="D108" s="188"/>
      <c r="E108" s="188"/>
      <c r="F108" s="188"/>
      <c r="G108" s="188"/>
      <c r="H108" s="188"/>
      <c r="I108" s="188"/>
    </row>
    <row r="109" spans="1:9" ht="15.75">
      <c r="A109" s="8"/>
    </row>
    <row r="110" spans="1:9" ht="15.75">
      <c r="A110" s="182" t="s">
        <v>9</v>
      </c>
      <c r="B110" s="182"/>
      <c r="C110" s="182"/>
      <c r="D110" s="182"/>
      <c r="E110" s="182"/>
      <c r="F110" s="182"/>
      <c r="G110" s="182"/>
      <c r="H110" s="182"/>
      <c r="I110" s="182"/>
    </row>
    <row r="111" spans="1:9" ht="15.75">
      <c r="A111" s="3"/>
    </row>
    <row r="112" spans="1:9" ht="15.75">
      <c r="B112" s="137" t="s">
        <v>10</v>
      </c>
      <c r="C112" s="183" t="s">
        <v>123</v>
      </c>
      <c r="D112" s="183"/>
      <c r="E112" s="183"/>
      <c r="F112" s="55"/>
      <c r="I112" s="135"/>
    </row>
    <row r="113" spans="1:9">
      <c r="A113" s="136"/>
      <c r="C113" s="184" t="s">
        <v>11</v>
      </c>
      <c r="D113" s="184"/>
      <c r="E113" s="184"/>
      <c r="F113" s="13"/>
      <c r="I113" s="134" t="s">
        <v>12</v>
      </c>
    </row>
    <row r="114" spans="1:9" ht="15.75">
      <c r="A114" s="14"/>
      <c r="C114" s="9"/>
      <c r="D114" s="9"/>
      <c r="G114" s="9"/>
      <c r="H114" s="9"/>
    </row>
    <row r="115" spans="1:9" ht="15.75">
      <c r="B115" s="137" t="s">
        <v>13</v>
      </c>
      <c r="C115" s="185"/>
      <c r="D115" s="185"/>
      <c r="E115" s="185"/>
      <c r="F115" s="56"/>
      <c r="I115" s="135"/>
    </row>
    <row r="116" spans="1:9">
      <c r="A116" s="136"/>
      <c r="C116" s="186" t="s">
        <v>11</v>
      </c>
      <c r="D116" s="186"/>
      <c r="E116" s="186"/>
      <c r="F116" s="136"/>
      <c r="I116" s="134" t="s">
        <v>12</v>
      </c>
    </row>
    <row r="117" spans="1:9" ht="15.75">
      <c r="A117" s="3" t="s">
        <v>14</v>
      </c>
    </row>
    <row r="118" spans="1:9">
      <c r="A118" s="187" t="s">
        <v>15</v>
      </c>
      <c r="B118" s="187"/>
      <c r="C118" s="187"/>
      <c r="D118" s="187"/>
      <c r="E118" s="187"/>
      <c r="F118" s="187"/>
      <c r="G118" s="187"/>
      <c r="H118" s="187"/>
      <c r="I118" s="187"/>
    </row>
    <row r="119" spans="1:9" ht="44.25" customHeight="1">
      <c r="A119" s="181" t="s">
        <v>16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31.5" customHeight="1">
      <c r="A120" s="181" t="s">
        <v>17</v>
      </c>
      <c r="B120" s="181"/>
      <c r="C120" s="181"/>
      <c r="D120" s="181"/>
      <c r="E120" s="181"/>
      <c r="F120" s="181"/>
      <c r="G120" s="181"/>
      <c r="H120" s="181"/>
      <c r="I120" s="181"/>
    </row>
    <row r="121" spans="1:9" ht="30" customHeight="1">
      <c r="A121" s="181" t="s">
        <v>21</v>
      </c>
      <c r="B121" s="181"/>
      <c r="C121" s="181"/>
      <c r="D121" s="181"/>
      <c r="E121" s="181"/>
      <c r="F121" s="181"/>
      <c r="G121" s="181"/>
      <c r="H121" s="181"/>
      <c r="I121" s="181"/>
    </row>
    <row r="122" spans="1:9" ht="15.75">
      <c r="A122" s="181" t="s">
        <v>20</v>
      </c>
      <c r="B122" s="181"/>
      <c r="C122" s="181"/>
      <c r="D122" s="181"/>
      <c r="E122" s="181"/>
      <c r="F122" s="181"/>
      <c r="G122" s="181"/>
      <c r="H122" s="181"/>
      <c r="I122" s="181"/>
    </row>
  </sheetData>
  <mergeCells count="28">
    <mergeCell ref="A92:I92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8:I88"/>
    <mergeCell ref="C116:E116"/>
    <mergeCell ref="A102:I102"/>
    <mergeCell ref="B103:G103"/>
    <mergeCell ref="B104:G104"/>
    <mergeCell ref="A106:I106"/>
    <mergeCell ref="A107:I107"/>
    <mergeCell ref="A108:I108"/>
    <mergeCell ref="A110:I110"/>
    <mergeCell ref="C112:E112"/>
    <mergeCell ref="C113:E113"/>
    <mergeCell ref="C115:E115"/>
    <mergeCell ref="A118:I118"/>
    <mergeCell ref="A119:I119"/>
    <mergeCell ref="A120:I120"/>
    <mergeCell ref="A121:I121"/>
    <mergeCell ref="A122:I122"/>
  </mergeCells>
  <pageMargins left="0.7" right="0.7" top="0.75" bottom="0.75" header="0.3" footer="0.3"/>
  <pageSetup paperSize="9" scale="67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20"/>
  <sheetViews>
    <sheetView view="pageBreakPreview" topLeftCell="A91" zoomScale="60" workbookViewId="0">
      <selection activeCell="I103" sqref="I103"/>
    </sheetView>
  </sheetViews>
  <sheetFormatPr defaultRowHeight="15"/>
  <cols>
    <col min="1" max="1" width="11.42578125" customWidth="1"/>
    <col min="2" max="2" width="52.140625" customWidth="1"/>
    <col min="3" max="3" width="15.85546875" customWidth="1"/>
    <col min="4" max="4" width="14.5703125" customWidth="1"/>
    <col min="5" max="5" width="0" hidden="1" customWidth="1"/>
    <col min="6" max="6" width="8" hidden="1" customWidth="1"/>
    <col min="7" max="7" width="15.140625" customWidth="1"/>
    <col min="8" max="8" width="0" hidden="1" customWidth="1"/>
    <col min="9" max="9" width="16.2851562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166</v>
      </c>
      <c r="B3" s="200"/>
      <c r="C3" s="200"/>
      <c r="D3" s="200"/>
      <c r="E3" s="200"/>
      <c r="F3" s="200"/>
      <c r="G3" s="200"/>
      <c r="H3" s="200"/>
      <c r="I3" s="200"/>
    </row>
    <row r="4" spans="1:9" ht="30.7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244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40"/>
      <c r="C6" s="140"/>
      <c r="D6" s="140"/>
      <c r="E6" s="140"/>
      <c r="F6" s="140"/>
      <c r="G6" s="140"/>
      <c r="H6" s="140"/>
      <c r="I6" s="19">
        <v>44074</v>
      </c>
    </row>
    <row r="7" spans="1:9" ht="15.75">
      <c r="B7" s="141"/>
      <c r="C7" s="141"/>
      <c r="D7" s="141"/>
      <c r="E7" s="2"/>
      <c r="F7" s="2"/>
      <c r="G7" s="2"/>
      <c r="H7" s="2"/>
    </row>
    <row r="8" spans="1:9" ht="104.25" customHeight="1">
      <c r="A8" s="203" t="s">
        <v>245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62.2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81.7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261.45</v>
      </c>
      <c r="H16" s="75">
        <f t="shared" ref="H16:H25" si="0">SUM(F16*G16/1000)</f>
        <v>49.408402680000002</v>
      </c>
      <c r="I16" s="10">
        <f>F16/12*G16</f>
        <v>4117.3668899999993</v>
      </c>
    </row>
    <row r="17" spans="1:9" ht="1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261.45</v>
      </c>
      <c r="H17" s="75">
        <f t="shared" si="0"/>
        <v>131.75574047999999</v>
      </c>
      <c r="I17" s="10">
        <f>F17/12*G17</f>
        <v>10979.645039999999</v>
      </c>
    </row>
    <row r="18" spans="1:9" ht="14.2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SUM(E18*18/100)</f>
        <v>109.02600000000001</v>
      </c>
      <c r="G18" s="22">
        <v>752.16</v>
      </c>
      <c r="H18" s="75">
        <f t="shared" si="0"/>
        <v>82.004996160000005</v>
      </c>
      <c r="I18" s="10">
        <f>F18/18*2*G18</f>
        <v>9111.6662400000005</v>
      </c>
    </row>
    <row r="19" spans="1:9" hidden="1">
      <c r="A19" s="18">
        <v>4</v>
      </c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253.7</v>
      </c>
      <c r="H19" s="75">
        <f t="shared" si="0"/>
        <v>0.97420799999999996</v>
      </c>
      <c r="I19" s="10">
        <f>F19/2*G19</f>
        <v>487.10399999999998</v>
      </c>
    </row>
    <row r="20" spans="1:9" hidden="1">
      <c r="A20" s="18">
        <v>5</v>
      </c>
      <c r="B20" s="23" t="s">
        <v>107</v>
      </c>
      <c r="C20" s="35" t="s">
        <v>85</v>
      </c>
      <c r="D20" s="23" t="s">
        <v>42</v>
      </c>
      <c r="E20" s="74">
        <v>58.4</v>
      </c>
      <c r="F20" s="22">
        <f>SUM(E20*2/100)</f>
        <v>1.1679999999999999</v>
      </c>
      <c r="G20" s="22">
        <v>324.83999999999997</v>
      </c>
      <c r="H20" s="75">
        <f t="shared" si="0"/>
        <v>0.37941311999999994</v>
      </c>
      <c r="I20" s="10">
        <f>F20/2*G20</f>
        <v>189.70655999999997</v>
      </c>
    </row>
    <row r="21" spans="1:9" ht="30" hidden="1">
      <c r="A21" s="18">
        <v>4</v>
      </c>
      <c r="B21" s="23" t="s">
        <v>108</v>
      </c>
      <c r="C21" s="35" t="s">
        <v>85</v>
      </c>
      <c r="D21" s="23" t="s">
        <v>246</v>
      </c>
      <c r="E21" s="74">
        <v>9.08</v>
      </c>
      <c r="F21" s="22">
        <f>SUM(E21*6/100)</f>
        <v>0.54480000000000006</v>
      </c>
      <c r="G21" s="22">
        <v>322.20999999999998</v>
      </c>
      <c r="H21" s="75">
        <f t="shared" si="0"/>
        <v>0.175540008</v>
      </c>
      <c r="I21" s="10">
        <f>F21/6*G21</f>
        <v>29.256668000000001</v>
      </c>
    </row>
    <row r="22" spans="1:9" hidden="1">
      <c r="A22" s="18">
        <v>7</v>
      </c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401.44</v>
      </c>
      <c r="H22" s="75">
        <f t="shared" si="0"/>
        <v>2.8662815999999998</v>
      </c>
      <c r="I22" s="10">
        <f t="shared" ref="I22:I24" si="1">F22/12*G22</f>
        <v>238.85679999999999</v>
      </c>
    </row>
    <row r="23" spans="1:9" hidden="1">
      <c r="A23" s="18">
        <v>8</v>
      </c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66.03</v>
      </c>
      <c r="H23" s="75">
        <f t="shared" si="0"/>
        <v>6.3784979999999991E-2</v>
      </c>
      <c r="I23" s="10">
        <f t="shared" si="1"/>
        <v>5.3154150000000007</v>
      </c>
    </row>
    <row r="24" spans="1:9" hidden="1">
      <c r="A24" s="18">
        <v>9</v>
      </c>
      <c r="B24" s="23" t="s">
        <v>111</v>
      </c>
      <c r="C24" s="35" t="s">
        <v>53</v>
      </c>
      <c r="D24" s="23" t="s">
        <v>112</v>
      </c>
      <c r="E24" s="74">
        <v>32</v>
      </c>
      <c r="F24" s="22">
        <f>E24*1/100</f>
        <v>0.32</v>
      </c>
      <c r="G24" s="22">
        <v>581.02</v>
      </c>
      <c r="H24" s="75">
        <f t="shared" si="0"/>
        <v>0.18592639999999999</v>
      </c>
      <c r="I24" s="10">
        <f t="shared" si="1"/>
        <v>15.493866666666667</v>
      </c>
    </row>
    <row r="25" spans="1:9" ht="15.75" hidden="1" customHeight="1">
      <c r="A25" s="18">
        <v>4</v>
      </c>
      <c r="B25" s="23" t="s">
        <v>113</v>
      </c>
      <c r="C25" s="35" t="s">
        <v>53</v>
      </c>
      <c r="D25" s="23" t="s">
        <v>54</v>
      </c>
      <c r="E25" s="74">
        <v>17</v>
      </c>
      <c r="F25" s="22">
        <f>SUM(E25*1/100)</f>
        <v>0.17</v>
      </c>
      <c r="G25" s="22">
        <v>776.46</v>
      </c>
      <c r="H25" s="75">
        <f t="shared" si="0"/>
        <v>0.13199820000000004</v>
      </c>
      <c r="I25" s="10">
        <f>F25/12*G25</f>
        <v>10.999850000000002</v>
      </c>
    </row>
    <row r="26" spans="1:9" ht="15" customHeight="1">
      <c r="A26" s="18">
        <v>4</v>
      </c>
      <c r="B26" s="23" t="s">
        <v>176</v>
      </c>
      <c r="C26" s="35" t="s">
        <v>25</v>
      </c>
      <c r="D26" s="23" t="s">
        <v>181</v>
      </c>
      <c r="E26" s="77">
        <v>6.8</v>
      </c>
      <c r="F26" s="22">
        <v>1754.4</v>
      </c>
      <c r="G26" s="22">
        <v>10.81</v>
      </c>
      <c r="H26" s="75">
        <f>SUM(F26*G26/1000)</f>
        <v>18.965064000000002</v>
      </c>
      <c r="I26" s="10">
        <f>F26/12*G26</f>
        <v>1580.4220000000003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20.25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7.25" customHeight="1">
      <c r="A29" s="18">
        <v>5</v>
      </c>
      <c r="B29" s="23" t="s">
        <v>93</v>
      </c>
      <c r="C29" s="35" t="s">
        <v>87</v>
      </c>
      <c r="D29" s="23" t="s">
        <v>182</v>
      </c>
      <c r="E29" s="22">
        <v>637</v>
      </c>
      <c r="F29" s="22">
        <f>SUM(E29*24/1000)</f>
        <v>15.288</v>
      </c>
      <c r="G29" s="22">
        <v>232.4</v>
      </c>
      <c r="H29" s="75">
        <f t="shared" ref="H29:H32" si="2">SUM(F29*G29/1000)</f>
        <v>3.5529312000000002</v>
      </c>
      <c r="I29" s="10">
        <f t="shared" ref="I29:I32" si="3">F29/6*G29</f>
        <v>592.15520000000004</v>
      </c>
    </row>
    <row r="30" spans="1:9" ht="36" customHeight="1">
      <c r="A30" s="18">
        <v>6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385.6</v>
      </c>
      <c r="H30" s="75">
        <f t="shared" si="2"/>
        <v>3.4796543999999998</v>
      </c>
      <c r="I30" s="10">
        <f t="shared" si="3"/>
        <v>579.94239999999991</v>
      </c>
    </row>
    <row r="31" spans="1:9" hidden="1">
      <c r="A31" s="18">
        <v>15</v>
      </c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4502.97</v>
      </c>
      <c r="H31" s="75">
        <f t="shared" si="2"/>
        <v>2.8683918900000003</v>
      </c>
      <c r="I31" s="10">
        <f>F31*G31</f>
        <v>2868.3918900000003</v>
      </c>
    </row>
    <row r="32" spans="1:9" ht="15" customHeight="1">
      <c r="A32" s="18">
        <v>7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1941.17</v>
      </c>
      <c r="H32" s="75">
        <f t="shared" si="2"/>
        <v>7.4540928000000006</v>
      </c>
      <c r="I32" s="10">
        <f t="shared" si="3"/>
        <v>1242.3488</v>
      </c>
    </row>
    <row r="33" spans="1:9" ht="45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ref="H33:H34" si="4">SUM(F33*G33/1000)</f>
        <v>0.50183999999999995</v>
      </c>
      <c r="I33" s="10">
        <v>0</v>
      </c>
    </row>
    <row r="34" spans="1:9" ht="45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4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5">SUM(F36*G36/1000)</f>
        <v>16.024000000000001</v>
      </c>
      <c r="I36" s="10">
        <f t="shared" ref="I36:I44" si="6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5"/>
        <v>13.48002864</v>
      </c>
      <c r="I37" s="10">
        <f t="shared" si="6"/>
        <v>2246.6714400000001</v>
      </c>
    </row>
    <row r="38" spans="1:9" ht="30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5"/>
        <v>13.404982799999999</v>
      </c>
      <c r="I38" s="10">
        <f t="shared" si="6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5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45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5"/>
        <v>37.20335008</v>
      </c>
      <c r="I41" s="10">
        <f t="shared" si="6"/>
        <v>6200.5583466666667</v>
      </c>
    </row>
    <row r="42" spans="1:9" ht="30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5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5"/>
        <v>0.8773470000000001</v>
      </c>
      <c r="I43" s="10">
        <f>(F43/7.5*1.5)*G43</f>
        <v>175.46940000000004</v>
      </c>
    </row>
    <row r="44" spans="1:9" ht="30" hidden="1">
      <c r="A44" s="18">
        <v>14</v>
      </c>
      <c r="B44" s="66" t="s">
        <v>143</v>
      </c>
      <c r="C44" s="53" t="s">
        <v>29</v>
      </c>
      <c r="D44" s="24" t="s">
        <v>144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5"/>
        <v>7.4937599999999986E-3</v>
      </c>
      <c r="I44" s="10">
        <f t="shared" si="6"/>
        <v>1.2489599999999998</v>
      </c>
    </row>
    <row r="45" spans="1:9" hidden="1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idden="1">
      <c r="A46" s="18">
        <v>18</v>
      </c>
      <c r="B46" s="23" t="s">
        <v>129</v>
      </c>
      <c r="C46" s="35" t="s">
        <v>87</v>
      </c>
      <c r="D46" s="23" t="s">
        <v>42</v>
      </c>
      <c r="E46" s="74">
        <v>1609.3</v>
      </c>
      <c r="F46" s="22">
        <f>SUM(E46*2/1000)</f>
        <v>3.2185999999999999</v>
      </c>
      <c r="G46" s="27">
        <v>1193.71</v>
      </c>
      <c r="H46" s="75">
        <f t="shared" ref="H46:H55" si="7">SUM(F46*G46/1000)</f>
        <v>3.842075006</v>
      </c>
      <c r="I46" s="10">
        <f t="shared" ref="I46:I54" si="8">F46/2*G46</f>
        <v>1921.037503</v>
      </c>
    </row>
    <row r="47" spans="1:9" hidden="1">
      <c r="A47" s="18">
        <v>19</v>
      </c>
      <c r="B47" s="23" t="s">
        <v>35</v>
      </c>
      <c r="C47" s="35" t="s">
        <v>87</v>
      </c>
      <c r="D47" s="23" t="s">
        <v>42</v>
      </c>
      <c r="E47" s="74">
        <v>104</v>
      </c>
      <c r="F47" s="22">
        <f>SUM(E47*2/1000)</f>
        <v>0.20799999999999999</v>
      </c>
      <c r="G47" s="27">
        <v>4419.05</v>
      </c>
      <c r="H47" s="75">
        <f t="shared" si="7"/>
        <v>0.91916240000000005</v>
      </c>
      <c r="I47" s="10">
        <f t="shared" si="8"/>
        <v>459.58120000000002</v>
      </c>
    </row>
    <row r="48" spans="1:9" hidden="1">
      <c r="A48" s="18">
        <v>20</v>
      </c>
      <c r="B48" s="23" t="s">
        <v>36</v>
      </c>
      <c r="C48" s="35" t="s">
        <v>87</v>
      </c>
      <c r="D48" s="23" t="s">
        <v>42</v>
      </c>
      <c r="E48" s="74">
        <v>1996.87</v>
      </c>
      <c r="F48" s="22">
        <f>SUM(E48*2/1000)</f>
        <v>3.9937399999999998</v>
      </c>
      <c r="G48" s="27">
        <v>1803.69</v>
      </c>
      <c r="H48" s="75">
        <f t="shared" si="7"/>
        <v>7.2034689005999999</v>
      </c>
      <c r="I48" s="10">
        <f t="shared" si="8"/>
        <v>3601.7344502999999</v>
      </c>
    </row>
    <row r="49" spans="1:9" hidden="1">
      <c r="A49" s="18">
        <v>21</v>
      </c>
      <c r="B49" s="23" t="s">
        <v>37</v>
      </c>
      <c r="C49" s="35" t="s">
        <v>87</v>
      </c>
      <c r="D49" s="23" t="s">
        <v>42</v>
      </c>
      <c r="E49" s="74">
        <v>2654.21</v>
      </c>
      <c r="F49" s="22">
        <f>SUM(E49*2/1000)</f>
        <v>5.3084199999999999</v>
      </c>
      <c r="G49" s="27">
        <v>1243.43</v>
      </c>
      <c r="H49" s="75">
        <f t="shared" si="7"/>
        <v>6.6006486806</v>
      </c>
      <c r="I49" s="10">
        <f t="shared" si="8"/>
        <v>3300.3243403000001</v>
      </c>
    </row>
    <row r="50" spans="1:9" hidden="1">
      <c r="A50" s="18">
        <v>22</v>
      </c>
      <c r="B50" s="23" t="s">
        <v>33</v>
      </c>
      <c r="C50" s="35" t="s">
        <v>34</v>
      </c>
      <c r="D50" s="23" t="s">
        <v>42</v>
      </c>
      <c r="E50" s="74">
        <v>128.53</v>
      </c>
      <c r="F50" s="22">
        <f>SUM(E50*2/100)</f>
        <v>2.5706000000000002</v>
      </c>
      <c r="G50" s="27">
        <v>1352.76</v>
      </c>
      <c r="H50" s="75">
        <f t="shared" si="7"/>
        <v>3.4774048560000002</v>
      </c>
      <c r="I50" s="10">
        <f t="shared" si="8"/>
        <v>1738.7024280000001</v>
      </c>
    </row>
    <row r="51" spans="1:9" hidden="1">
      <c r="A51" s="18">
        <v>23</v>
      </c>
      <c r="B51" s="23" t="s">
        <v>56</v>
      </c>
      <c r="C51" s="35" t="s">
        <v>87</v>
      </c>
      <c r="D51" s="23" t="s">
        <v>132</v>
      </c>
      <c r="E51" s="74">
        <v>4394.8999999999996</v>
      </c>
      <c r="F51" s="22">
        <f>SUM(E51*5/1000)</f>
        <v>21.974499999999999</v>
      </c>
      <c r="G51" s="27">
        <v>1803.69</v>
      </c>
      <c r="H51" s="75">
        <f t="shared" si="7"/>
        <v>39.635185905</v>
      </c>
      <c r="I51" s="10">
        <f>F51/5*G51</f>
        <v>7927.0371809999997</v>
      </c>
    </row>
    <row r="52" spans="1:9" ht="45" hidden="1">
      <c r="A52" s="18">
        <v>24</v>
      </c>
      <c r="B52" s="23" t="s">
        <v>89</v>
      </c>
      <c r="C52" s="35" t="s">
        <v>87</v>
      </c>
      <c r="D52" s="23" t="s">
        <v>42</v>
      </c>
      <c r="E52" s="74">
        <v>4394.8999999999996</v>
      </c>
      <c r="F52" s="22">
        <f>SUM(E52*2/1000)</f>
        <v>8.7897999999999996</v>
      </c>
      <c r="G52" s="27">
        <v>1591.6</v>
      </c>
      <c r="H52" s="75">
        <f t="shared" si="7"/>
        <v>13.989845679999998</v>
      </c>
      <c r="I52" s="10">
        <f t="shared" si="8"/>
        <v>6994.9228399999993</v>
      </c>
    </row>
    <row r="53" spans="1:9" ht="30" hidden="1">
      <c r="A53" s="18">
        <v>25</v>
      </c>
      <c r="B53" s="23" t="s">
        <v>90</v>
      </c>
      <c r="C53" s="35" t="s">
        <v>38</v>
      </c>
      <c r="D53" s="23" t="s">
        <v>42</v>
      </c>
      <c r="E53" s="74">
        <v>40</v>
      </c>
      <c r="F53" s="22">
        <f>SUM(E53*2/100)</f>
        <v>0.8</v>
      </c>
      <c r="G53" s="27">
        <v>4058.32</v>
      </c>
      <c r="H53" s="75">
        <f t="shared" si="7"/>
        <v>3.2466560000000002</v>
      </c>
      <c r="I53" s="10">
        <f t="shared" si="8"/>
        <v>1623.3280000000002</v>
      </c>
    </row>
    <row r="54" spans="1:9" hidden="1">
      <c r="A54" s="18">
        <v>26</v>
      </c>
      <c r="B54" s="23" t="s">
        <v>39</v>
      </c>
      <c r="C54" s="35" t="s">
        <v>40</v>
      </c>
      <c r="D54" s="23" t="s">
        <v>42</v>
      </c>
      <c r="E54" s="74">
        <v>1</v>
      </c>
      <c r="F54" s="22">
        <v>0.02</v>
      </c>
      <c r="G54" s="27">
        <v>7412.92</v>
      </c>
      <c r="H54" s="75">
        <f t="shared" si="7"/>
        <v>0.14825839999999998</v>
      </c>
      <c r="I54" s="10">
        <f t="shared" si="8"/>
        <v>74.129199999999997</v>
      </c>
    </row>
    <row r="55" spans="1:9" hidden="1">
      <c r="A55" s="18">
        <v>27</v>
      </c>
      <c r="B55" s="23" t="s">
        <v>41</v>
      </c>
      <c r="C55" s="35" t="s">
        <v>94</v>
      </c>
      <c r="D55" s="23" t="s">
        <v>70</v>
      </c>
      <c r="E55" s="74">
        <v>160</v>
      </c>
      <c r="F55" s="22">
        <f>SUM(E55)*3</f>
        <v>480</v>
      </c>
      <c r="G55" s="28">
        <v>86.15</v>
      </c>
      <c r="H55" s="75">
        <f t="shared" si="7"/>
        <v>41.351999999999997</v>
      </c>
      <c r="I55" s="10">
        <f>F55/3*G55</f>
        <v>13784</v>
      </c>
    </row>
    <row r="56" spans="1:9">
      <c r="A56" s="190" t="s">
        <v>125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30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9">F58/6*G58</f>
        <v>3246.8799999999997</v>
      </c>
    </row>
    <row r="59" spans="1:9" ht="19.5" hidden="1" customHeight="1">
      <c r="A59" s="18">
        <v>9</v>
      </c>
      <c r="B59" s="23" t="s">
        <v>145</v>
      </c>
      <c r="C59" s="35" t="s">
        <v>146</v>
      </c>
      <c r="D59" s="23"/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G59*1</f>
        <v>1582.05</v>
      </c>
    </row>
    <row r="60" spans="1:9" ht="15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7.25" customHeight="1">
      <c r="A62" s="18">
        <v>8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t="19.5" customHeight="1">
      <c r="A64" s="18">
        <v>9</v>
      </c>
      <c r="B64" s="50" t="s">
        <v>47</v>
      </c>
      <c r="C64" s="31" t="s">
        <v>94</v>
      </c>
      <c r="D64" s="23" t="s">
        <v>185</v>
      </c>
      <c r="E64" s="12">
        <v>10</v>
      </c>
      <c r="F64" s="22">
        <f>SUM(E64)</f>
        <v>10</v>
      </c>
      <c r="G64" s="118">
        <v>331.57</v>
      </c>
      <c r="H64" s="64">
        <f t="shared" ref="H64:H85" si="10">SUM(F64*G64/1000)</f>
        <v>3.3156999999999996</v>
      </c>
      <c r="I64" s="10">
        <f>G64*2</f>
        <v>663.14</v>
      </c>
    </row>
    <row r="65" spans="1:9" ht="45" hidden="1">
      <c r="A65" s="18"/>
      <c r="B65" s="50" t="s">
        <v>48</v>
      </c>
      <c r="C65" s="31" t="s">
        <v>94</v>
      </c>
      <c r="D65" s="23" t="s">
        <v>66</v>
      </c>
      <c r="E65" s="12">
        <v>5</v>
      </c>
      <c r="F65" s="22">
        <f>SUM(E65)</f>
        <v>5</v>
      </c>
      <c r="G65" s="27">
        <v>100.01</v>
      </c>
      <c r="H65" s="64">
        <f t="shared" si="10"/>
        <v>0.50004999999999999</v>
      </c>
      <c r="I65" s="10">
        <v>0</v>
      </c>
    </row>
    <row r="66" spans="1:9" hidden="1">
      <c r="A66" s="18">
        <v>29</v>
      </c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278.24</v>
      </c>
      <c r="H66" s="64">
        <f t="shared" si="10"/>
        <v>66.952891199999996</v>
      </c>
      <c r="I66" s="10">
        <f>F66*G66</f>
        <v>66952.891199999998</v>
      </c>
    </row>
    <row r="67" spans="1:9" hidden="1">
      <c r="A67" s="18">
        <v>31</v>
      </c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216.68</v>
      </c>
      <c r="H67" s="64">
        <f t="shared" si="10"/>
        <v>5.21397084</v>
      </c>
      <c r="I67" s="10">
        <f t="shared" ref="I67:I71" si="11">F67*G67</f>
        <v>5213.97084</v>
      </c>
    </row>
    <row r="68" spans="1:9" hidden="1">
      <c r="A68" s="18">
        <v>32</v>
      </c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2720.94</v>
      </c>
      <c r="H68" s="64">
        <f t="shared" si="10"/>
        <v>35.372219999999999</v>
      </c>
      <c r="I68" s="10">
        <f t="shared" si="11"/>
        <v>35372.22</v>
      </c>
    </row>
    <row r="69" spans="1:9" hidden="1">
      <c r="A69" s="18">
        <v>33</v>
      </c>
      <c r="B69" s="46" t="s">
        <v>71</v>
      </c>
      <c r="C69" s="31" t="s">
        <v>32</v>
      </c>
      <c r="D69" s="30"/>
      <c r="E69" s="74">
        <v>10.4</v>
      </c>
      <c r="F69" s="27">
        <f>SUM(E69)</f>
        <v>10.4</v>
      </c>
      <c r="G69" s="27">
        <v>42.61</v>
      </c>
      <c r="H69" s="64">
        <f t="shared" si="10"/>
        <v>0.44314399999999998</v>
      </c>
      <c r="I69" s="10">
        <f t="shared" si="11"/>
        <v>443.14400000000001</v>
      </c>
    </row>
    <row r="70" spans="1:9" ht="30" hidden="1">
      <c r="A70" s="18">
        <v>34</v>
      </c>
      <c r="B70" s="46" t="s">
        <v>72</v>
      </c>
      <c r="C70" s="31" t="s">
        <v>32</v>
      </c>
      <c r="D70" s="30"/>
      <c r="E70" s="74">
        <v>10.4</v>
      </c>
      <c r="F70" s="27">
        <f>SUM(E70)</f>
        <v>10.4</v>
      </c>
      <c r="G70" s="27">
        <v>46.04</v>
      </c>
      <c r="H70" s="64">
        <f t="shared" si="10"/>
        <v>0.47881600000000002</v>
      </c>
      <c r="I70" s="10">
        <f t="shared" si="11"/>
        <v>478.81600000000003</v>
      </c>
    </row>
    <row r="71" spans="1:9" hidden="1">
      <c r="A71" s="18"/>
      <c r="B71" s="30" t="s">
        <v>57</v>
      </c>
      <c r="C71" s="31" t="s">
        <v>58</v>
      </c>
      <c r="D71" s="30" t="s">
        <v>54</v>
      </c>
      <c r="E71" s="12">
        <v>5</v>
      </c>
      <c r="F71" s="22">
        <f>SUM(E71)</f>
        <v>5</v>
      </c>
      <c r="G71" s="27">
        <v>65.42</v>
      </c>
      <c r="H71" s="64">
        <f t="shared" si="10"/>
        <v>0.3271</v>
      </c>
      <c r="I71" s="10">
        <f t="shared" si="11"/>
        <v>327.10000000000002</v>
      </c>
    </row>
    <row r="72" spans="1:9" ht="18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t="45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2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2"/>
        <v>0.73499999999999999</v>
      </c>
      <c r="I74" s="10">
        <v>0</v>
      </c>
    </row>
    <row r="75" spans="1:9" ht="15" customHeight="1">
      <c r="A75" s="18">
        <v>10</v>
      </c>
      <c r="B75" s="30" t="s">
        <v>74</v>
      </c>
      <c r="C75" s="31" t="s">
        <v>75</v>
      </c>
      <c r="D75" s="30" t="s">
        <v>254</v>
      </c>
      <c r="E75" s="12">
        <v>8</v>
      </c>
      <c r="F75" s="27">
        <f>E75/10</f>
        <v>0.8</v>
      </c>
      <c r="G75" s="27">
        <v>747.85</v>
      </c>
      <c r="H75" s="64">
        <f t="shared" si="12"/>
        <v>0.59828000000000003</v>
      </c>
      <c r="I75" s="10">
        <f>G75*1.8</f>
        <v>1346.13</v>
      </c>
    </row>
    <row r="76" spans="1:9" ht="45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2"/>
        <v>1.1187199999999999</v>
      </c>
      <c r="I76" s="10">
        <v>0</v>
      </c>
    </row>
    <row r="77" spans="1:9" ht="45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30.75" customHeight="1">
      <c r="A78" s="18">
        <v>11</v>
      </c>
      <c r="B78" s="66" t="s">
        <v>151</v>
      </c>
      <c r="C78" s="53" t="s">
        <v>94</v>
      </c>
      <c r="D78" s="30" t="s">
        <v>185</v>
      </c>
      <c r="E78" s="85">
        <v>2</v>
      </c>
      <c r="F78" s="83">
        <f>E78*12</f>
        <v>24</v>
      </c>
      <c r="G78" s="174">
        <v>420</v>
      </c>
      <c r="H78" s="64">
        <f t="shared" ref="H78:H79" si="13">SUM(F78*G78/1000)</f>
        <v>10.08</v>
      </c>
      <c r="I78" s="10">
        <f>F78/12*G78</f>
        <v>840</v>
      </c>
    </row>
    <row r="79" spans="1:9" ht="18.75" customHeight="1">
      <c r="A79" s="18">
        <v>12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118">
        <v>1829</v>
      </c>
      <c r="H79" s="64">
        <f t="shared" si="13"/>
        <v>21.948</v>
      </c>
      <c r="I79" s="10">
        <f>F79/12*G79</f>
        <v>1829</v>
      </c>
    </row>
    <row r="80" spans="1:9" ht="14.25" hidden="1" customHeight="1">
      <c r="A80" s="18"/>
      <c r="B80" s="93" t="s">
        <v>46</v>
      </c>
      <c r="C80" s="80"/>
      <c r="D80" s="81"/>
      <c r="E80" s="12"/>
      <c r="F80" s="27"/>
      <c r="G80" s="27"/>
      <c r="H80" s="64"/>
      <c r="I80" s="10"/>
    </row>
    <row r="81" spans="1:9" ht="19.5" hidden="1" customHeight="1">
      <c r="A81" s="18">
        <v>14</v>
      </c>
      <c r="B81" s="50" t="s">
        <v>47</v>
      </c>
      <c r="C81" s="31" t="s">
        <v>94</v>
      </c>
      <c r="D81" s="30"/>
      <c r="E81" s="12"/>
      <c r="F81" s="27"/>
      <c r="G81" s="27">
        <v>291.68</v>
      </c>
      <c r="H81" s="64"/>
      <c r="I81" s="10">
        <f>G81*1</f>
        <v>291.68</v>
      </c>
    </row>
    <row r="82" spans="1:9" ht="16.5" customHeight="1">
      <c r="A82" s="18"/>
      <c r="B82" s="95" t="s">
        <v>152</v>
      </c>
      <c r="C82" s="53"/>
      <c r="D82" s="30"/>
      <c r="E82" s="12"/>
      <c r="F82" s="27"/>
      <c r="G82" s="27"/>
      <c r="H82" s="64"/>
      <c r="I82" s="10"/>
    </row>
    <row r="83" spans="1:9" ht="17.25" customHeight="1">
      <c r="A83" s="18">
        <v>13</v>
      </c>
      <c r="B83" s="30" t="s">
        <v>153</v>
      </c>
      <c r="C83" s="36" t="s">
        <v>154</v>
      </c>
      <c r="D83" s="30"/>
      <c r="E83" s="12">
        <v>4497.7</v>
      </c>
      <c r="F83" s="27">
        <f>SUM(E83*12)</f>
        <v>53972.399999999994</v>
      </c>
      <c r="G83" s="27">
        <v>2.6</v>
      </c>
      <c r="H83" s="64">
        <f t="shared" ref="H83" si="14">SUM(F83*G83/1000)</f>
        <v>140.32823999999999</v>
      </c>
      <c r="I83" s="10">
        <f>F83/12*G83</f>
        <v>11694.02</v>
      </c>
    </row>
    <row r="84" spans="1:9" hidden="1">
      <c r="A84" s="18"/>
      <c r="B84" s="44" t="s">
        <v>76</v>
      </c>
      <c r="C84" s="31"/>
      <c r="D84" s="30"/>
      <c r="E84" s="12"/>
      <c r="F84" s="27"/>
      <c r="G84" s="27" t="s">
        <v>128</v>
      </c>
      <c r="H84" s="64" t="s">
        <v>128</v>
      </c>
      <c r="I84" s="10"/>
    </row>
    <row r="85" spans="1:9" hidden="1">
      <c r="A85" s="18"/>
      <c r="B85" s="32" t="s">
        <v>99</v>
      </c>
      <c r="C85" s="33" t="s">
        <v>77</v>
      </c>
      <c r="D85" s="50"/>
      <c r="E85" s="87"/>
      <c r="F85" s="28">
        <v>0.6</v>
      </c>
      <c r="G85" s="28">
        <v>3619.09</v>
      </c>
      <c r="H85" s="64">
        <f t="shared" si="10"/>
        <v>2.1714540000000002</v>
      </c>
      <c r="I85" s="10">
        <v>0</v>
      </c>
    </row>
    <row r="86" spans="1:9" ht="33" hidden="1" customHeight="1">
      <c r="A86" s="18"/>
      <c r="B86" s="157" t="s">
        <v>91</v>
      </c>
      <c r="C86" s="62"/>
      <c r="D86" s="20"/>
      <c r="E86" s="21"/>
      <c r="F86" s="59"/>
      <c r="G86" s="59"/>
      <c r="H86" s="88">
        <f>SUM(H58:H85)</f>
        <v>321.95009643999998</v>
      </c>
      <c r="I86" s="10"/>
    </row>
    <row r="87" spans="1:9" hidden="1">
      <c r="A87" s="18"/>
      <c r="B87" s="23" t="s">
        <v>97</v>
      </c>
      <c r="C87" s="89"/>
      <c r="D87" s="90"/>
      <c r="E87" s="91"/>
      <c r="F87" s="29">
        <v>1</v>
      </c>
      <c r="G87" s="29">
        <v>18792</v>
      </c>
      <c r="H87" s="64">
        <f>G87*F87/1000</f>
        <v>18.792000000000002</v>
      </c>
      <c r="I87" s="10">
        <v>0</v>
      </c>
    </row>
    <row r="88" spans="1:9">
      <c r="A88" s="190" t="s">
        <v>126</v>
      </c>
      <c r="B88" s="191"/>
      <c r="C88" s="191"/>
      <c r="D88" s="191"/>
      <c r="E88" s="191"/>
      <c r="F88" s="191"/>
      <c r="G88" s="191"/>
      <c r="H88" s="191"/>
      <c r="I88" s="192"/>
    </row>
    <row r="89" spans="1:9" ht="14.25" customHeight="1">
      <c r="A89" s="18">
        <v>14</v>
      </c>
      <c r="B89" s="175" t="s">
        <v>98</v>
      </c>
      <c r="C89" s="31" t="s">
        <v>55</v>
      </c>
      <c r="D89" s="51"/>
      <c r="E89" s="27">
        <v>4497.7</v>
      </c>
      <c r="F89" s="27">
        <f>SUM(E89*12)</f>
        <v>53972.399999999994</v>
      </c>
      <c r="G89" s="176">
        <v>3.5</v>
      </c>
      <c r="H89" s="64">
        <f>SUM(F89*G89/1000)</f>
        <v>188.90339999999998</v>
      </c>
      <c r="I89" s="10">
        <f>F89/12*G89</f>
        <v>15741.949999999999</v>
      </c>
    </row>
    <row r="90" spans="1:9" ht="30.75" customHeight="1">
      <c r="A90" s="18">
        <v>15</v>
      </c>
      <c r="B90" s="30" t="s">
        <v>247</v>
      </c>
      <c r="C90" s="31" t="s">
        <v>248</v>
      </c>
      <c r="D90" s="65"/>
      <c r="E90" s="74">
        <f>E89</f>
        <v>4497.7</v>
      </c>
      <c r="F90" s="27">
        <f>E90*12</f>
        <v>53972.399999999994</v>
      </c>
      <c r="G90" s="27">
        <v>3.2</v>
      </c>
      <c r="H90" s="64">
        <f>F90*G90/1000</f>
        <v>172.71168</v>
      </c>
      <c r="I90" s="10">
        <f>F90/12*G90</f>
        <v>14392.64</v>
      </c>
    </row>
    <row r="91" spans="1:9" ht="30.75" customHeight="1">
      <c r="A91" s="18">
        <v>16</v>
      </c>
      <c r="B91" s="30" t="s">
        <v>249</v>
      </c>
      <c r="C91" s="31"/>
      <c r="D91" s="65"/>
      <c r="E91" s="91">
        <v>4497.7</v>
      </c>
      <c r="F91" s="27">
        <f>E91*1</f>
        <v>4497.7</v>
      </c>
      <c r="G91" s="27">
        <v>3.2</v>
      </c>
      <c r="H91" s="64"/>
      <c r="I91" s="10">
        <f>G91*F91</f>
        <v>14392.64</v>
      </c>
    </row>
    <row r="92" spans="1:9">
      <c r="A92" s="18"/>
      <c r="B92" s="34" t="s">
        <v>80</v>
      </c>
      <c r="C92" s="62"/>
      <c r="D92" s="61"/>
      <c r="E92" s="59"/>
      <c r="F92" s="59"/>
      <c r="G92" s="59"/>
      <c r="H92" s="63">
        <f>SUM(H76)</f>
        <v>1.1187199999999999</v>
      </c>
      <c r="I92" s="59">
        <f>I91+I90+I89+I83+I79+I78+I75+I64+I62+I32+I30+I29+I26+I18+I17+I16</f>
        <v>89383.06657000001</v>
      </c>
    </row>
    <row r="93" spans="1:9">
      <c r="A93" s="193" t="s">
        <v>60</v>
      </c>
      <c r="B93" s="194"/>
      <c r="C93" s="194"/>
      <c r="D93" s="194"/>
      <c r="E93" s="194"/>
      <c r="F93" s="194"/>
      <c r="G93" s="194"/>
      <c r="H93" s="194"/>
      <c r="I93" s="195"/>
    </row>
    <row r="94" spans="1:9" ht="20.25" customHeight="1">
      <c r="A94" s="18">
        <v>17</v>
      </c>
      <c r="B94" s="66" t="s">
        <v>250</v>
      </c>
      <c r="C94" s="53" t="s">
        <v>53</v>
      </c>
      <c r="D94" s="65" t="s">
        <v>252</v>
      </c>
      <c r="E94" s="27"/>
      <c r="F94" s="27">
        <v>8.8000000000000007</v>
      </c>
      <c r="G94" s="27">
        <v>509</v>
      </c>
      <c r="H94" s="58">
        <f>G94*F94/1000</f>
        <v>4.4792000000000005</v>
      </c>
      <c r="I94" s="108">
        <f>G94*8.8</f>
        <v>4479.2000000000007</v>
      </c>
    </row>
    <row r="95" spans="1:9">
      <c r="A95" s="18">
        <v>18</v>
      </c>
      <c r="B95" s="67" t="s">
        <v>251</v>
      </c>
      <c r="C95" s="53" t="s">
        <v>209</v>
      </c>
      <c r="D95" s="65" t="s">
        <v>253</v>
      </c>
      <c r="E95" s="27"/>
      <c r="F95" s="27">
        <v>0.4</v>
      </c>
      <c r="G95" s="27">
        <v>6578.06</v>
      </c>
      <c r="H95" s="64">
        <f>G95*F95/1000</f>
        <v>2.631224</v>
      </c>
      <c r="I95" s="108">
        <f>G95*0.4</f>
        <v>2631.2240000000002</v>
      </c>
    </row>
    <row r="96" spans="1:9" ht="30">
      <c r="A96" s="18">
        <v>19</v>
      </c>
      <c r="B96" s="66" t="s">
        <v>203</v>
      </c>
      <c r="C96" s="53" t="s">
        <v>38</v>
      </c>
      <c r="D96" s="65" t="s">
        <v>185</v>
      </c>
      <c r="E96" s="27"/>
      <c r="F96" s="27">
        <v>0.01</v>
      </c>
      <c r="G96" s="27">
        <v>4070.89</v>
      </c>
      <c r="H96" s="64"/>
      <c r="I96" s="108">
        <v>0</v>
      </c>
    </row>
    <row r="97" spans="1:9" ht="16.5" customHeight="1">
      <c r="A97" s="18"/>
      <c r="B97" s="41" t="s">
        <v>52</v>
      </c>
      <c r="C97" s="120"/>
      <c r="D97" s="47"/>
      <c r="E97" s="37"/>
      <c r="F97" s="37"/>
      <c r="G97" s="37"/>
      <c r="H97" s="37"/>
      <c r="I97" s="21">
        <f>SUM(I94:I96)</f>
        <v>7110.4240000000009</v>
      </c>
    </row>
    <row r="98" spans="1:9">
      <c r="A98" s="18"/>
      <c r="B98" s="45" t="s">
        <v>79</v>
      </c>
      <c r="C98" s="11"/>
      <c r="D98" s="11"/>
      <c r="E98" s="38"/>
      <c r="F98" s="38"/>
      <c r="G98" s="39"/>
      <c r="H98" s="39"/>
      <c r="I98" s="12">
        <v>0</v>
      </c>
    </row>
    <row r="99" spans="1:9">
      <c r="A99" s="48"/>
      <c r="B99" s="42" t="s">
        <v>155</v>
      </c>
      <c r="C99" s="26"/>
      <c r="D99" s="26"/>
      <c r="E99" s="26"/>
      <c r="F99" s="26"/>
      <c r="G99" s="26"/>
      <c r="H99" s="26"/>
      <c r="I99" s="40">
        <f>I97+I92</f>
        <v>96493.490570000009</v>
      </c>
    </row>
    <row r="100" spans="1:9" ht="15.75">
      <c r="A100" s="196" t="s">
        <v>299</v>
      </c>
      <c r="B100" s="196"/>
      <c r="C100" s="196"/>
      <c r="D100" s="196"/>
      <c r="E100" s="196"/>
      <c r="F100" s="196"/>
      <c r="G100" s="196"/>
      <c r="H100" s="196"/>
      <c r="I100" s="196"/>
    </row>
    <row r="101" spans="1:9" ht="15.75">
      <c r="A101" s="54"/>
      <c r="B101" s="197" t="s">
        <v>300</v>
      </c>
      <c r="C101" s="197"/>
      <c r="D101" s="197"/>
      <c r="E101" s="197"/>
      <c r="F101" s="197"/>
      <c r="G101" s="197"/>
      <c r="H101" s="57"/>
      <c r="I101" s="2"/>
    </row>
    <row r="102" spans="1:9">
      <c r="A102" s="144"/>
      <c r="B102" s="184" t="s">
        <v>6</v>
      </c>
      <c r="C102" s="184"/>
      <c r="D102" s="184"/>
      <c r="E102" s="184"/>
      <c r="F102" s="184"/>
      <c r="G102" s="184"/>
      <c r="H102" s="13"/>
      <c r="I102" s="4"/>
    </row>
    <row r="103" spans="1:9">
      <c r="A103" s="7"/>
      <c r="B103" s="7"/>
      <c r="C103" s="7"/>
      <c r="D103" s="7"/>
      <c r="E103" s="7"/>
      <c r="F103" s="7"/>
      <c r="G103" s="7"/>
      <c r="H103" s="7"/>
      <c r="I103" s="7"/>
    </row>
    <row r="104" spans="1:9" ht="15.75">
      <c r="A104" s="198" t="s">
        <v>7</v>
      </c>
      <c r="B104" s="198"/>
      <c r="C104" s="198"/>
      <c r="D104" s="198"/>
      <c r="E104" s="198"/>
      <c r="F104" s="198"/>
      <c r="G104" s="198"/>
      <c r="H104" s="198"/>
      <c r="I104" s="198"/>
    </row>
    <row r="105" spans="1:9" ht="15.75">
      <c r="A105" s="198" t="s">
        <v>8</v>
      </c>
      <c r="B105" s="198"/>
      <c r="C105" s="198"/>
      <c r="D105" s="198"/>
      <c r="E105" s="198"/>
      <c r="F105" s="198"/>
      <c r="G105" s="198"/>
      <c r="H105" s="198"/>
      <c r="I105" s="198"/>
    </row>
    <row r="106" spans="1:9" ht="15.75">
      <c r="A106" s="188" t="s">
        <v>61</v>
      </c>
      <c r="B106" s="188"/>
      <c r="C106" s="188"/>
      <c r="D106" s="188"/>
      <c r="E106" s="188"/>
      <c r="F106" s="188"/>
      <c r="G106" s="188"/>
      <c r="H106" s="188"/>
      <c r="I106" s="188"/>
    </row>
    <row r="107" spans="1:9" ht="15.75">
      <c r="A107" s="8"/>
    </row>
    <row r="108" spans="1:9" ht="15.75">
      <c r="A108" s="182" t="s">
        <v>9</v>
      </c>
      <c r="B108" s="182"/>
      <c r="C108" s="182"/>
      <c r="D108" s="182"/>
      <c r="E108" s="182"/>
      <c r="F108" s="182"/>
      <c r="G108" s="182"/>
      <c r="H108" s="182"/>
      <c r="I108" s="182"/>
    </row>
    <row r="109" spans="1:9" ht="15.75">
      <c r="A109" s="3"/>
    </row>
    <row r="110" spans="1:9" ht="15.75">
      <c r="B110" s="141" t="s">
        <v>10</v>
      </c>
      <c r="C110" s="183" t="s">
        <v>123</v>
      </c>
      <c r="D110" s="183"/>
      <c r="E110" s="183"/>
      <c r="F110" s="55"/>
      <c r="I110" s="143"/>
    </row>
    <row r="111" spans="1:9">
      <c r="A111" s="144"/>
      <c r="C111" s="184" t="s">
        <v>11</v>
      </c>
      <c r="D111" s="184"/>
      <c r="E111" s="184"/>
      <c r="F111" s="13"/>
      <c r="I111" s="142" t="s">
        <v>12</v>
      </c>
    </row>
    <row r="112" spans="1:9" ht="15.75">
      <c r="A112" s="14"/>
      <c r="C112" s="9"/>
      <c r="D112" s="9"/>
      <c r="G112" s="9"/>
      <c r="H112" s="9"/>
    </row>
    <row r="113" spans="1:9" ht="15.75">
      <c r="B113" s="141" t="s">
        <v>13</v>
      </c>
      <c r="C113" s="185"/>
      <c r="D113" s="185"/>
      <c r="E113" s="185"/>
      <c r="F113" s="56"/>
      <c r="I113" s="143"/>
    </row>
    <row r="114" spans="1:9">
      <c r="A114" s="144"/>
      <c r="C114" s="186" t="s">
        <v>11</v>
      </c>
      <c r="D114" s="186"/>
      <c r="E114" s="186"/>
      <c r="F114" s="144"/>
      <c r="I114" s="142" t="s">
        <v>12</v>
      </c>
    </row>
    <row r="115" spans="1:9" ht="15.75">
      <c r="A115" s="3" t="s">
        <v>14</v>
      </c>
    </row>
    <row r="116" spans="1:9">
      <c r="A116" s="187" t="s">
        <v>15</v>
      </c>
      <c r="B116" s="187"/>
      <c r="C116" s="187"/>
      <c r="D116" s="187"/>
      <c r="E116" s="187"/>
      <c r="F116" s="187"/>
      <c r="G116" s="187"/>
      <c r="H116" s="187"/>
      <c r="I116" s="187"/>
    </row>
    <row r="117" spans="1:9" ht="40.5" customHeight="1">
      <c r="A117" s="181" t="s">
        <v>16</v>
      </c>
      <c r="B117" s="181"/>
      <c r="C117" s="181"/>
      <c r="D117" s="181"/>
      <c r="E117" s="181"/>
      <c r="F117" s="181"/>
      <c r="G117" s="181"/>
      <c r="H117" s="181"/>
      <c r="I117" s="181"/>
    </row>
    <row r="118" spans="1:9" ht="34.5" customHeight="1">
      <c r="A118" s="181" t="s">
        <v>17</v>
      </c>
      <c r="B118" s="181"/>
      <c r="C118" s="181"/>
      <c r="D118" s="181"/>
      <c r="E118" s="181"/>
      <c r="F118" s="181"/>
      <c r="G118" s="181"/>
      <c r="H118" s="181"/>
      <c r="I118" s="181"/>
    </row>
    <row r="119" spans="1:9" ht="41.25" customHeight="1">
      <c r="A119" s="181" t="s">
        <v>21</v>
      </c>
      <c r="B119" s="181"/>
      <c r="C119" s="181"/>
      <c r="D119" s="181"/>
      <c r="E119" s="181"/>
      <c r="F119" s="181"/>
      <c r="G119" s="181"/>
      <c r="H119" s="181"/>
      <c r="I119" s="181"/>
    </row>
    <row r="120" spans="1:9" ht="15.75">
      <c r="A120" s="181" t="s">
        <v>20</v>
      </c>
      <c r="B120" s="181"/>
      <c r="C120" s="181"/>
      <c r="D120" s="181"/>
      <c r="E120" s="181"/>
      <c r="F120" s="181"/>
      <c r="G120" s="181"/>
      <c r="H120" s="181"/>
      <c r="I120" s="181"/>
    </row>
  </sheetData>
  <mergeCells count="28">
    <mergeCell ref="A116:I116"/>
    <mergeCell ref="A117:I117"/>
    <mergeCell ref="A118:I118"/>
    <mergeCell ref="A119:I119"/>
    <mergeCell ref="A120:I120"/>
    <mergeCell ref="C114:E114"/>
    <mergeCell ref="A100:I100"/>
    <mergeCell ref="B101:G101"/>
    <mergeCell ref="B102:G102"/>
    <mergeCell ref="A104:I104"/>
    <mergeCell ref="A105:I105"/>
    <mergeCell ref="A106:I106"/>
    <mergeCell ref="A108:I108"/>
    <mergeCell ref="C110:E110"/>
    <mergeCell ref="C111:E111"/>
    <mergeCell ref="C113:E113"/>
    <mergeCell ref="A93:I93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8:I88"/>
  </mergeCells>
  <pageMargins left="0.7" right="0.7" top="0.75" bottom="0.75" header="0.3" footer="0.3"/>
  <pageSetup paperSize="9" scale="6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15"/>
  <sheetViews>
    <sheetView view="pageBreakPreview" topLeftCell="A3" zoomScale="60" workbookViewId="0">
      <selection activeCell="L98" sqref="L98"/>
    </sheetView>
  </sheetViews>
  <sheetFormatPr defaultRowHeight="15"/>
  <cols>
    <col min="2" max="2" width="49.28515625" customWidth="1"/>
    <col min="3" max="3" width="18.28515625" customWidth="1"/>
    <col min="4" max="4" width="17.140625" customWidth="1"/>
    <col min="5" max="5" width="0" hidden="1" customWidth="1"/>
    <col min="6" max="6" width="9.85546875" hidden="1" customWidth="1"/>
    <col min="7" max="7" width="15.85546875" customWidth="1"/>
    <col min="8" max="8" width="0" hidden="1" customWidth="1"/>
    <col min="9" max="9" width="14.7109375" customWidth="1"/>
  </cols>
  <sheetData>
    <row r="1" spans="1:9" ht="15.75">
      <c r="A1" s="16" t="s">
        <v>162</v>
      </c>
      <c r="I1" s="15"/>
    </row>
    <row r="2" spans="1:9" ht="15.75">
      <c r="A2" s="17" t="s">
        <v>62</v>
      </c>
    </row>
    <row r="3" spans="1:9" ht="15.75">
      <c r="A3" s="200" t="s">
        <v>168</v>
      </c>
      <c r="B3" s="200"/>
      <c r="C3" s="200"/>
      <c r="D3" s="200"/>
      <c r="E3" s="200"/>
      <c r="F3" s="200"/>
      <c r="G3" s="200"/>
      <c r="H3" s="200"/>
      <c r="I3" s="200"/>
    </row>
    <row r="4" spans="1:9" ht="33.75" customHeight="1">
      <c r="A4" s="201" t="s">
        <v>120</v>
      </c>
      <c r="B4" s="201"/>
      <c r="C4" s="201"/>
      <c r="D4" s="201"/>
      <c r="E4" s="201"/>
      <c r="F4" s="201"/>
      <c r="G4" s="201"/>
      <c r="H4" s="201"/>
      <c r="I4" s="201"/>
    </row>
    <row r="5" spans="1:9" ht="15.75">
      <c r="A5" s="200" t="s">
        <v>255</v>
      </c>
      <c r="B5" s="202"/>
      <c r="C5" s="202"/>
      <c r="D5" s="202"/>
      <c r="E5" s="202"/>
      <c r="F5" s="202"/>
      <c r="G5" s="202"/>
      <c r="H5" s="202"/>
      <c r="I5" s="202"/>
    </row>
    <row r="6" spans="1:9" ht="15.75">
      <c r="A6" s="1"/>
      <c r="B6" s="150"/>
      <c r="C6" s="150"/>
      <c r="D6" s="150"/>
      <c r="E6" s="150"/>
      <c r="F6" s="150"/>
      <c r="G6" s="150"/>
      <c r="H6" s="150"/>
      <c r="I6" s="19">
        <v>44104</v>
      </c>
    </row>
    <row r="7" spans="1:9" ht="15.75">
      <c r="B7" s="148"/>
      <c r="C7" s="148"/>
      <c r="D7" s="148"/>
      <c r="E7" s="2"/>
      <c r="F7" s="2"/>
      <c r="G7" s="2"/>
      <c r="H7" s="2"/>
    </row>
    <row r="8" spans="1:9" ht="105" customHeight="1">
      <c r="A8" s="203" t="s">
        <v>245</v>
      </c>
      <c r="B8" s="203"/>
      <c r="C8" s="203"/>
      <c r="D8" s="203"/>
      <c r="E8" s="203"/>
      <c r="F8" s="203"/>
      <c r="G8" s="203"/>
      <c r="H8" s="203"/>
      <c r="I8" s="203"/>
    </row>
    <row r="9" spans="1:9" ht="15.75">
      <c r="A9" s="3"/>
    </row>
    <row r="10" spans="1:9" ht="67.5" customHeight="1">
      <c r="A10" s="204" t="s">
        <v>156</v>
      </c>
      <c r="B10" s="204"/>
      <c r="C10" s="204"/>
      <c r="D10" s="204"/>
      <c r="E10" s="204"/>
      <c r="F10" s="204"/>
      <c r="G10" s="204"/>
      <c r="H10" s="204"/>
      <c r="I10" s="204"/>
    </row>
    <row r="11" spans="1:9" ht="15.75">
      <c r="A11" s="3"/>
    </row>
    <row r="12" spans="1:9" ht="82.5" customHeight="1">
      <c r="A12" s="5" t="s">
        <v>0</v>
      </c>
      <c r="B12" s="5" t="s">
        <v>1</v>
      </c>
      <c r="C12" s="5" t="s">
        <v>2</v>
      </c>
      <c r="D12" s="5" t="s">
        <v>18</v>
      </c>
      <c r="E12" s="5" t="s">
        <v>19</v>
      </c>
      <c r="F12" s="5"/>
      <c r="G12" s="5" t="s">
        <v>22</v>
      </c>
      <c r="H12" s="5"/>
      <c r="I12" s="5" t="s">
        <v>3</v>
      </c>
    </row>
    <row r="13" spans="1:9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/>
      <c r="G13" s="6">
        <v>5</v>
      </c>
      <c r="H13" s="6"/>
      <c r="I13" s="6">
        <v>6</v>
      </c>
    </row>
    <row r="14" spans="1:9">
      <c r="A14" s="199" t="s">
        <v>59</v>
      </c>
      <c r="B14" s="199"/>
      <c r="C14" s="199"/>
      <c r="D14" s="199"/>
      <c r="E14" s="199"/>
      <c r="F14" s="199"/>
      <c r="G14" s="199"/>
      <c r="H14" s="199"/>
      <c r="I14" s="199"/>
    </row>
    <row r="15" spans="1:9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</row>
    <row r="16" spans="1:9" ht="17.25" customHeight="1">
      <c r="A16" s="18">
        <v>1</v>
      </c>
      <c r="B16" s="23" t="s">
        <v>101</v>
      </c>
      <c r="C16" s="35" t="s">
        <v>85</v>
      </c>
      <c r="D16" s="23" t="s">
        <v>177</v>
      </c>
      <c r="E16" s="74">
        <v>121.14</v>
      </c>
      <c r="F16" s="22">
        <f>SUM(E16*156/100)</f>
        <v>188.97839999999999</v>
      </c>
      <c r="G16" s="22">
        <v>261.45</v>
      </c>
      <c r="H16" s="75">
        <f t="shared" ref="H16:H25" si="0">SUM(F16*G16/1000)</f>
        <v>49.408402680000002</v>
      </c>
      <c r="I16" s="10">
        <f>F16/12*G16</f>
        <v>4117.3668899999993</v>
      </c>
    </row>
    <row r="17" spans="1:9" ht="17.25" customHeight="1">
      <c r="A17" s="18">
        <v>2</v>
      </c>
      <c r="B17" s="23" t="s">
        <v>102</v>
      </c>
      <c r="C17" s="35" t="s">
        <v>85</v>
      </c>
      <c r="D17" s="23" t="s">
        <v>178</v>
      </c>
      <c r="E17" s="74">
        <v>484.56</v>
      </c>
      <c r="F17" s="22">
        <f>SUM(E17*104/100)</f>
        <v>503.94239999999996</v>
      </c>
      <c r="G17" s="22">
        <v>261.45</v>
      </c>
      <c r="H17" s="75">
        <f t="shared" si="0"/>
        <v>131.75574047999999</v>
      </c>
      <c r="I17" s="10">
        <f>F17/12*G17</f>
        <v>10979.645039999999</v>
      </c>
    </row>
    <row r="18" spans="1:9" ht="16.5" customHeight="1">
      <c r="A18" s="18">
        <v>3</v>
      </c>
      <c r="B18" s="23" t="s">
        <v>103</v>
      </c>
      <c r="C18" s="35" t="s">
        <v>85</v>
      </c>
      <c r="D18" s="23" t="s">
        <v>179</v>
      </c>
      <c r="E18" s="74">
        <f>SUM(E16+E17)</f>
        <v>605.70000000000005</v>
      </c>
      <c r="F18" s="22">
        <f>SUM(E18*18/100)</f>
        <v>109.02600000000001</v>
      </c>
      <c r="G18" s="22">
        <v>752.16</v>
      </c>
      <c r="H18" s="75">
        <f t="shared" si="0"/>
        <v>82.004996160000005</v>
      </c>
      <c r="I18" s="10">
        <f>F18/18*2*G18</f>
        <v>9111.6662400000005</v>
      </c>
    </row>
    <row r="19" spans="1:9" hidden="1">
      <c r="A19" s="18">
        <v>4</v>
      </c>
      <c r="B19" s="23" t="s">
        <v>104</v>
      </c>
      <c r="C19" s="35" t="s">
        <v>105</v>
      </c>
      <c r="D19" s="23" t="s">
        <v>106</v>
      </c>
      <c r="E19" s="74">
        <v>38.4</v>
      </c>
      <c r="F19" s="22">
        <f>SUM(E19/10)</f>
        <v>3.84</v>
      </c>
      <c r="G19" s="22">
        <v>253.7</v>
      </c>
      <c r="H19" s="75">
        <f t="shared" si="0"/>
        <v>0.97420799999999996</v>
      </c>
      <c r="I19" s="10">
        <f>F19/2*G19</f>
        <v>487.10399999999998</v>
      </c>
    </row>
    <row r="20" spans="1:9" ht="16.5" customHeight="1">
      <c r="A20" s="18">
        <v>4</v>
      </c>
      <c r="B20" s="23" t="s">
        <v>107</v>
      </c>
      <c r="C20" s="35" t="s">
        <v>85</v>
      </c>
      <c r="D20" s="23" t="s">
        <v>185</v>
      </c>
      <c r="E20" s="74">
        <v>58.4</v>
      </c>
      <c r="F20" s="22">
        <f>SUM(E20*2/100)</f>
        <v>1.1679999999999999</v>
      </c>
      <c r="G20" s="22">
        <v>324.83999999999997</v>
      </c>
      <c r="H20" s="75">
        <f t="shared" si="0"/>
        <v>0.37941311999999994</v>
      </c>
      <c r="I20" s="10">
        <f>F20/2*G20</f>
        <v>189.70655999999997</v>
      </c>
    </row>
    <row r="21" spans="1:9" ht="18" customHeight="1">
      <c r="A21" s="18">
        <v>5</v>
      </c>
      <c r="B21" s="23" t="s">
        <v>108</v>
      </c>
      <c r="C21" s="35" t="s">
        <v>85</v>
      </c>
      <c r="D21" s="23" t="s">
        <v>185</v>
      </c>
      <c r="E21" s="74">
        <v>9.08</v>
      </c>
      <c r="F21" s="22">
        <f>SUM(E21*6/100)</f>
        <v>0.54480000000000006</v>
      </c>
      <c r="G21" s="22">
        <v>322.20999999999998</v>
      </c>
      <c r="H21" s="75">
        <f t="shared" si="0"/>
        <v>0.175540008</v>
      </c>
      <c r="I21" s="10">
        <f>F21/6*G21</f>
        <v>29.256668000000001</v>
      </c>
    </row>
    <row r="22" spans="1:9" hidden="1">
      <c r="A22" s="18">
        <v>7</v>
      </c>
      <c r="B22" s="23" t="s">
        <v>109</v>
      </c>
      <c r="C22" s="35" t="s">
        <v>53</v>
      </c>
      <c r="D22" s="23" t="s">
        <v>106</v>
      </c>
      <c r="E22" s="74">
        <v>714</v>
      </c>
      <c r="F22" s="22">
        <f>SUM(E22/100)</f>
        <v>7.14</v>
      </c>
      <c r="G22" s="22">
        <v>401.44</v>
      </c>
      <c r="H22" s="75">
        <f t="shared" si="0"/>
        <v>2.8662815999999998</v>
      </c>
      <c r="I22" s="10">
        <f t="shared" ref="I22:I24" si="1">F22/12*G22</f>
        <v>238.85679999999999</v>
      </c>
    </row>
    <row r="23" spans="1:9" hidden="1">
      <c r="A23" s="18">
        <v>8</v>
      </c>
      <c r="B23" s="23" t="s">
        <v>110</v>
      </c>
      <c r="C23" s="35" t="s">
        <v>53</v>
      </c>
      <c r="D23" s="23" t="s">
        <v>106</v>
      </c>
      <c r="E23" s="76">
        <v>96.6</v>
      </c>
      <c r="F23" s="22">
        <f>SUM(E23/100)</f>
        <v>0.96599999999999997</v>
      </c>
      <c r="G23" s="22">
        <v>66.03</v>
      </c>
      <c r="H23" s="75">
        <f t="shared" si="0"/>
        <v>6.3784979999999991E-2</v>
      </c>
      <c r="I23" s="10">
        <f t="shared" si="1"/>
        <v>5.3154150000000007</v>
      </c>
    </row>
    <row r="24" spans="1:9" hidden="1">
      <c r="A24" s="18">
        <v>9</v>
      </c>
      <c r="B24" s="23" t="s">
        <v>111</v>
      </c>
      <c r="C24" s="35" t="s">
        <v>53</v>
      </c>
      <c r="D24" s="23" t="s">
        <v>112</v>
      </c>
      <c r="E24" s="74">
        <v>32</v>
      </c>
      <c r="F24" s="22">
        <f>E24*1/100</f>
        <v>0.32</v>
      </c>
      <c r="G24" s="22">
        <v>581.02</v>
      </c>
      <c r="H24" s="75">
        <f t="shared" si="0"/>
        <v>0.18592639999999999</v>
      </c>
      <c r="I24" s="10">
        <f t="shared" si="1"/>
        <v>15.493866666666667</v>
      </c>
    </row>
    <row r="25" spans="1:9" ht="21" hidden="1" customHeight="1">
      <c r="A25" s="18">
        <v>6</v>
      </c>
      <c r="B25" s="23" t="s">
        <v>113</v>
      </c>
      <c r="C25" s="35" t="s">
        <v>53</v>
      </c>
      <c r="D25" s="23" t="s">
        <v>54</v>
      </c>
      <c r="E25" s="74">
        <v>17</v>
      </c>
      <c r="F25" s="22">
        <f>SUM(E25*1/100)</f>
        <v>0.17</v>
      </c>
      <c r="G25" s="22">
        <v>776.46</v>
      </c>
      <c r="H25" s="75">
        <f t="shared" si="0"/>
        <v>0.13199820000000004</v>
      </c>
      <c r="I25" s="10">
        <f>F25/12*G25</f>
        <v>10.999850000000002</v>
      </c>
    </row>
    <row r="26" spans="1:9" ht="19.5" customHeight="1">
      <c r="A26" s="18">
        <v>6</v>
      </c>
      <c r="B26" s="23" t="s">
        <v>176</v>
      </c>
      <c r="C26" s="35" t="s">
        <v>25</v>
      </c>
      <c r="D26" s="23" t="s">
        <v>181</v>
      </c>
      <c r="E26" s="77">
        <v>6.8</v>
      </c>
      <c r="F26" s="22">
        <v>1754.4</v>
      </c>
      <c r="G26" s="22">
        <v>10.81</v>
      </c>
      <c r="H26" s="75">
        <f>SUM(F26*G26/1000)</f>
        <v>18.965064000000002</v>
      </c>
      <c r="I26" s="10">
        <f>F26/12*G26</f>
        <v>1580.4220000000003</v>
      </c>
    </row>
    <row r="27" spans="1:9">
      <c r="A27" s="190" t="s">
        <v>83</v>
      </c>
      <c r="B27" s="191"/>
      <c r="C27" s="191"/>
      <c r="D27" s="191"/>
      <c r="E27" s="191"/>
      <c r="F27" s="191"/>
      <c r="G27" s="191"/>
      <c r="H27" s="191"/>
      <c r="I27" s="192"/>
    </row>
    <row r="28" spans="1:9" ht="20.25" customHeight="1">
      <c r="A28" s="18"/>
      <c r="B28" s="92" t="s">
        <v>28</v>
      </c>
      <c r="C28" s="35"/>
      <c r="D28" s="23"/>
      <c r="E28" s="74"/>
      <c r="F28" s="22"/>
      <c r="G28" s="22"/>
      <c r="H28" s="75"/>
      <c r="I28" s="10"/>
    </row>
    <row r="29" spans="1:9" ht="18" customHeight="1">
      <c r="A29" s="18">
        <v>7</v>
      </c>
      <c r="B29" s="23" t="s">
        <v>93</v>
      </c>
      <c r="C29" s="35" t="s">
        <v>87</v>
      </c>
      <c r="D29" s="23" t="s">
        <v>182</v>
      </c>
      <c r="E29" s="22">
        <v>637</v>
      </c>
      <c r="F29" s="22">
        <f>SUM(E29*24/1000)</f>
        <v>15.288</v>
      </c>
      <c r="G29" s="22">
        <v>232.4</v>
      </c>
      <c r="H29" s="75">
        <f t="shared" ref="H29:H32" si="2">SUM(F29*G29/1000)</f>
        <v>3.5529312000000002</v>
      </c>
      <c r="I29" s="10">
        <f t="shared" ref="I29:I32" si="3">F29/6*G29</f>
        <v>592.15520000000004</v>
      </c>
    </row>
    <row r="30" spans="1:9" ht="45" customHeight="1">
      <c r="A30" s="18">
        <v>8</v>
      </c>
      <c r="B30" s="23" t="s">
        <v>131</v>
      </c>
      <c r="C30" s="35" t="s">
        <v>87</v>
      </c>
      <c r="D30" s="23" t="s">
        <v>178</v>
      </c>
      <c r="E30" s="22">
        <v>188</v>
      </c>
      <c r="F30" s="22">
        <f>SUM(E30*48/1000)</f>
        <v>9.0239999999999991</v>
      </c>
      <c r="G30" s="22">
        <v>385.6</v>
      </c>
      <c r="H30" s="75">
        <f t="shared" si="2"/>
        <v>3.4796543999999998</v>
      </c>
      <c r="I30" s="10">
        <f t="shared" si="3"/>
        <v>579.94239999999991</v>
      </c>
    </row>
    <row r="31" spans="1:9" hidden="1">
      <c r="A31" s="18">
        <v>15</v>
      </c>
      <c r="B31" s="23" t="s">
        <v>27</v>
      </c>
      <c r="C31" s="35" t="s">
        <v>87</v>
      </c>
      <c r="D31" s="23" t="s">
        <v>54</v>
      </c>
      <c r="E31" s="22">
        <v>637</v>
      </c>
      <c r="F31" s="22">
        <f>SUM(E31/1000)</f>
        <v>0.63700000000000001</v>
      </c>
      <c r="G31" s="22">
        <v>4502.97</v>
      </c>
      <c r="H31" s="75">
        <f t="shared" si="2"/>
        <v>2.8683918900000003</v>
      </c>
      <c r="I31" s="10">
        <f>F31*G31</f>
        <v>2868.3918900000003</v>
      </c>
    </row>
    <row r="32" spans="1:9" ht="16.5" customHeight="1">
      <c r="A32" s="18">
        <v>9</v>
      </c>
      <c r="B32" s="23" t="s">
        <v>137</v>
      </c>
      <c r="C32" s="35" t="s">
        <v>40</v>
      </c>
      <c r="D32" s="23" t="s">
        <v>178</v>
      </c>
      <c r="E32" s="22">
        <v>8</v>
      </c>
      <c r="F32" s="22">
        <f>SUM(E32*48/100)</f>
        <v>3.84</v>
      </c>
      <c r="G32" s="22">
        <v>1941.17</v>
      </c>
      <c r="H32" s="75">
        <f t="shared" si="2"/>
        <v>7.4540928000000006</v>
      </c>
      <c r="I32" s="10">
        <f t="shared" si="3"/>
        <v>1242.3488</v>
      </c>
    </row>
    <row r="33" spans="1:9" ht="30" hidden="1">
      <c r="A33" s="18"/>
      <c r="B33" s="23" t="s">
        <v>64</v>
      </c>
      <c r="C33" s="35" t="s">
        <v>32</v>
      </c>
      <c r="D33" s="23" t="s">
        <v>66</v>
      </c>
      <c r="E33" s="74"/>
      <c r="F33" s="22">
        <v>2</v>
      </c>
      <c r="G33" s="22">
        <v>250.92</v>
      </c>
      <c r="H33" s="75">
        <f t="shared" ref="H33:H34" si="4">SUM(F33*G33/1000)</f>
        <v>0.50183999999999995</v>
      </c>
      <c r="I33" s="10">
        <v>0</v>
      </c>
    </row>
    <row r="34" spans="1:9" ht="30" hidden="1">
      <c r="A34" s="18"/>
      <c r="B34" s="23" t="s">
        <v>65</v>
      </c>
      <c r="C34" s="35" t="s">
        <v>31</v>
      </c>
      <c r="D34" s="23" t="s">
        <v>66</v>
      </c>
      <c r="E34" s="74"/>
      <c r="F34" s="22">
        <v>3</v>
      </c>
      <c r="G34" s="22">
        <v>1490.31</v>
      </c>
      <c r="H34" s="75">
        <f t="shared" si="4"/>
        <v>4.4709300000000001</v>
      </c>
      <c r="I34" s="10">
        <v>0</v>
      </c>
    </row>
    <row r="35" spans="1:9" hidden="1">
      <c r="A35" s="18"/>
      <c r="B35" s="92" t="s">
        <v>5</v>
      </c>
      <c r="C35" s="35"/>
      <c r="D35" s="23"/>
      <c r="E35" s="74"/>
      <c r="F35" s="22"/>
      <c r="G35" s="22"/>
      <c r="H35" s="75" t="s">
        <v>128</v>
      </c>
      <c r="I35" s="10"/>
    </row>
    <row r="36" spans="1:9" hidden="1">
      <c r="A36" s="18">
        <v>8</v>
      </c>
      <c r="B36" s="24" t="s">
        <v>26</v>
      </c>
      <c r="C36" s="35" t="s">
        <v>31</v>
      </c>
      <c r="D36" s="23"/>
      <c r="E36" s="74"/>
      <c r="F36" s="22">
        <v>8</v>
      </c>
      <c r="G36" s="22">
        <v>2003</v>
      </c>
      <c r="H36" s="75">
        <f t="shared" ref="H36:H44" si="5">SUM(F36*G36/1000)</f>
        <v>16.024000000000001</v>
      </c>
      <c r="I36" s="10">
        <f t="shared" ref="I36:I44" si="6">F36/6*G36</f>
        <v>2670.6666666666665</v>
      </c>
    </row>
    <row r="37" spans="1:9" hidden="1">
      <c r="A37" s="18">
        <v>9</v>
      </c>
      <c r="B37" s="24" t="s">
        <v>67</v>
      </c>
      <c r="C37" s="49" t="s">
        <v>29</v>
      </c>
      <c r="D37" s="24" t="s">
        <v>139</v>
      </c>
      <c r="E37" s="25">
        <v>188</v>
      </c>
      <c r="F37" s="25">
        <f>SUM(E37*26/1000)</f>
        <v>4.8879999999999999</v>
      </c>
      <c r="G37" s="25">
        <v>2757.78</v>
      </c>
      <c r="H37" s="75">
        <f t="shared" si="5"/>
        <v>13.48002864</v>
      </c>
      <c r="I37" s="10">
        <f t="shared" si="6"/>
        <v>2246.6714400000001</v>
      </c>
    </row>
    <row r="38" spans="1:9" ht="30" hidden="1">
      <c r="A38" s="18">
        <v>10</v>
      </c>
      <c r="B38" s="23" t="s">
        <v>68</v>
      </c>
      <c r="C38" s="35" t="s">
        <v>29</v>
      </c>
      <c r="D38" s="23" t="s">
        <v>86</v>
      </c>
      <c r="E38" s="22">
        <v>188</v>
      </c>
      <c r="F38" s="25">
        <f>SUM(E38*155/1000)</f>
        <v>29.14</v>
      </c>
      <c r="G38" s="22">
        <v>460.02</v>
      </c>
      <c r="H38" s="75">
        <f t="shared" si="5"/>
        <v>13.404982799999999</v>
      </c>
      <c r="I38" s="10">
        <f t="shared" si="6"/>
        <v>2234.1637999999998</v>
      </c>
    </row>
    <row r="39" spans="1:9" hidden="1">
      <c r="A39" s="18">
        <v>11</v>
      </c>
      <c r="B39" s="23" t="s">
        <v>140</v>
      </c>
      <c r="C39" s="35" t="s">
        <v>141</v>
      </c>
      <c r="D39" s="23"/>
      <c r="E39" s="74"/>
      <c r="F39" s="25">
        <v>50</v>
      </c>
      <c r="G39" s="22">
        <v>213.2</v>
      </c>
      <c r="H39" s="75">
        <f t="shared" si="5"/>
        <v>10.66</v>
      </c>
      <c r="I39" s="10">
        <v>0</v>
      </c>
    </row>
    <row r="40" spans="1:9" hidden="1">
      <c r="A40" s="18"/>
      <c r="B40" s="23" t="s">
        <v>140</v>
      </c>
      <c r="C40" s="35" t="s">
        <v>141</v>
      </c>
      <c r="D40" s="121" t="s">
        <v>159</v>
      </c>
      <c r="E40" s="74"/>
      <c r="F40" s="25"/>
      <c r="G40" s="22">
        <v>213.2</v>
      </c>
      <c r="H40" s="75"/>
      <c r="I40" s="10">
        <f>G40*39</f>
        <v>8314.7999999999993</v>
      </c>
    </row>
    <row r="41" spans="1:9" ht="60" hidden="1">
      <c r="A41" s="18">
        <v>11</v>
      </c>
      <c r="B41" s="23" t="s">
        <v>82</v>
      </c>
      <c r="C41" s="35" t="s">
        <v>87</v>
      </c>
      <c r="D41" s="23" t="s">
        <v>139</v>
      </c>
      <c r="E41" s="22">
        <v>188</v>
      </c>
      <c r="F41" s="25">
        <f>SUM(E41*26/1000)</f>
        <v>4.8879999999999999</v>
      </c>
      <c r="G41" s="22">
        <v>7611.16</v>
      </c>
      <c r="H41" s="75">
        <f t="shared" si="5"/>
        <v>37.20335008</v>
      </c>
      <c r="I41" s="10">
        <f t="shared" si="6"/>
        <v>6200.5583466666667</v>
      </c>
    </row>
    <row r="42" spans="1:9" hidden="1">
      <c r="A42" s="18">
        <v>12</v>
      </c>
      <c r="B42" s="23" t="s">
        <v>88</v>
      </c>
      <c r="C42" s="35" t="s">
        <v>87</v>
      </c>
      <c r="D42" s="23" t="s">
        <v>142</v>
      </c>
      <c r="E42" s="22">
        <v>188</v>
      </c>
      <c r="F42" s="25">
        <f>SUM(E42*24/1000)</f>
        <v>4.5119999999999996</v>
      </c>
      <c r="G42" s="22">
        <v>562.25</v>
      </c>
      <c r="H42" s="75">
        <f t="shared" si="5"/>
        <v>2.5368719999999998</v>
      </c>
      <c r="I42" s="10">
        <f>(F42/7.5*1.5)*G42</f>
        <v>507.37439999999992</v>
      </c>
    </row>
    <row r="43" spans="1:9" hidden="1">
      <c r="A43" s="18">
        <v>13</v>
      </c>
      <c r="B43" s="24" t="s">
        <v>69</v>
      </c>
      <c r="C43" s="49" t="s">
        <v>32</v>
      </c>
      <c r="D43" s="24"/>
      <c r="E43" s="78"/>
      <c r="F43" s="25">
        <v>0.9</v>
      </c>
      <c r="G43" s="25">
        <v>974.83</v>
      </c>
      <c r="H43" s="75">
        <f t="shared" si="5"/>
        <v>0.8773470000000001</v>
      </c>
      <c r="I43" s="10">
        <f>(F43/7.5*1.5)*G43</f>
        <v>175.46940000000004</v>
      </c>
    </row>
    <row r="44" spans="1:9" ht="30" hidden="1">
      <c r="A44" s="18">
        <v>14</v>
      </c>
      <c r="B44" s="66" t="s">
        <v>143</v>
      </c>
      <c r="C44" s="53" t="s">
        <v>29</v>
      </c>
      <c r="D44" s="24" t="s">
        <v>144</v>
      </c>
      <c r="E44" s="78">
        <v>2.4</v>
      </c>
      <c r="F44" s="25">
        <f>SUM(E44*12/1000)</f>
        <v>2.8799999999999996E-2</v>
      </c>
      <c r="G44" s="25">
        <v>260.2</v>
      </c>
      <c r="H44" s="75">
        <f t="shared" si="5"/>
        <v>7.4937599999999986E-3</v>
      </c>
      <c r="I44" s="10">
        <f t="shared" si="6"/>
        <v>1.2489599999999998</v>
      </c>
    </row>
    <row r="45" spans="1:9">
      <c r="A45" s="190" t="s">
        <v>121</v>
      </c>
      <c r="B45" s="191"/>
      <c r="C45" s="191"/>
      <c r="D45" s="191"/>
      <c r="E45" s="191"/>
      <c r="F45" s="191"/>
      <c r="G45" s="191"/>
      <c r="H45" s="191"/>
      <c r="I45" s="192"/>
    </row>
    <row r="46" spans="1:9" ht="14.25" customHeight="1">
      <c r="A46" s="18">
        <v>10</v>
      </c>
      <c r="B46" s="23" t="s">
        <v>129</v>
      </c>
      <c r="C46" s="35" t="s">
        <v>87</v>
      </c>
      <c r="D46" s="23" t="s">
        <v>185</v>
      </c>
      <c r="E46" s="74">
        <v>1609.3</v>
      </c>
      <c r="F46" s="22">
        <f>SUM(E46*2/1000)</f>
        <v>3.2185999999999999</v>
      </c>
      <c r="G46" s="27">
        <v>1356.96</v>
      </c>
      <c r="H46" s="75">
        <f t="shared" ref="H46:H55" si="7">SUM(F46*G46/1000)</f>
        <v>4.3675114559999999</v>
      </c>
      <c r="I46" s="10">
        <f t="shared" ref="I46:I54" si="8">F46/2*G46</f>
        <v>2183.7557280000001</v>
      </c>
    </row>
    <row r="47" spans="1:9" ht="14.25" customHeight="1">
      <c r="A47" s="18">
        <v>11</v>
      </c>
      <c r="B47" s="23" t="s">
        <v>35</v>
      </c>
      <c r="C47" s="35" t="s">
        <v>87</v>
      </c>
      <c r="D47" s="23" t="s">
        <v>185</v>
      </c>
      <c r="E47" s="74">
        <v>104</v>
      </c>
      <c r="F47" s="22">
        <f>SUM(E47*2/1000)</f>
        <v>0.20799999999999999</v>
      </c>
      <c r="G47" s="27">
        <v>863.92</v>
      </c>
      <c r="H47" s="75">
        <f t="shared" si="7"/>
        <v>0.17969536</v>
      </c>
      <c r="I47" s="10">
        <f t="shared" si="8"/>
        <v>89.847679999999997</v>
      </c>
    </row>
    <row r="48" spans="1:9" ht="15.75" customHeight="1">
      <c r="A48" s="18">
        <v>12</v>
      </c>
      <c r="B48" s="23" t="s">
        <v>36</v>
      </c>
      <c r="C48" s="35" t="s">
        <v>87</v>
      </c>
      <c r="D48" s="23" t="s">
        <v>185</v>
      </c>
      <c r="E48" s="74">
        <v>1996.87</v>
      </c>
      <c r="F48" s="22">
        <f>SUM(E48*2/1000)</f>
        <v>3.9937399999999998</v>
      </c>
      <c r="G48" s="27">
        <v>863.92</v>
      </c>
      <c r="H48" s="75">
        <f t="shared" si="7"/>
        <v>3.4502718607999996</v>
      </c>
      <c r="I48" s="10">
        <f t="shared" si="8"/>
        <v>1725.1359303999998</v>
      </c>
    </row>
    <row r="49" spans="1:9" ht="14.25" customHeight="1">
      <c r="A49" s="18">
        <v>13</v>
      </c>
      <c r="B49" s="23" t="s">
        <v>37</v>
      </c>
      <c r="C49" s="35" t="s">
        <v>87</v>
      </c>
      <c r="D49" s="23" t="s">
        <v>185</v>
      </c>
      <c r="E49" s="74">
        <v>2654.21</v>
      </c>
      <c r="F49" s="22">
        <f>SUM(E49*2/1000)</f>
        <v>5.3084199999999999</v>
      </c>
      <c r="G49" s="27">
        <v>904.65</v>
      </c>
      <c r="H49" s="75">
        <f t="shared" si="7"/>
        <v>4.802262153</v>
      </c>
      <c r="I49" s="10">
        <f t="shared" si="8"/>
        <v>2401.1310764999998</v>
      </c>
    </row>
    <row r="50" spans="1:9" ht="18" customHeight="1">
      <c r="A50" s="18">
        <v>14</v>
      </c>
      <c r="B50" s="23" t="s">
        <v>33</v>
      </c>
      <c r="C50" s="35" t="s">
        <v>34</v>
      </c>
      <c r="D50" s="23" t="s">
        <v>185</v>
      </c>
      <c r="E50" s="74">
        <v>128.53</v>
      </c>
      <c r="F50" s="22">
        <f>SUM(E50*2/100)</f>
        <v>2.5706000000000002</v>
      </c>
      <c r="G50" s="27">
        <v>108.55</v>
      </c>
      <c r="H50" s="75">
        <f t="shared" si="7"/>
        <v>0.27903863000000001</v>
      </c>
      <c r="I50" s="10">
        <f t="shared" si="8"/>
        <v>139.51931500000001</v>
      </c>
    </row>
    <row r="51" spans="1:9" ht="16.5" customHeight="1">
      <c r="A51" s="18">
        <v>15</v>
      </c>
      <c r="B51" s="23" t="s">
        <v>56</v>
      </c>
      <c r="C51" s="35" t="s">
        <v>87</v>
      </c>
      <c r="D51" s="23" t="s">
        <v>185</v>
      </c>
      <c r="E51" s="74">
        <v>1410.6</v>
      </c>
      <c r="F51" s="22">
        <f>SUM(E51*5/1000)</f>
        <v>7.0529999999999999</v>
      </c>
      <c r="G51" s="27">
        <v>1809.27</v>
      </c>
      <c r="H51" s="75">
        <f t="shared" si="7"/>
        <v>12.76078131</v>
      </c>
      <c r="I51" s="10">
        <f>F51/5*G51</f>
        <v>2552.156262</v>
      </c>
    </row>
    <row r="52" spans="1:9" ht="45">
      <c r="A52" s="18">
        <v>16</v>
      </c>
      <c r="B52" s="23" t="s">
        <v>89</v>
      </c>
      <c r="C52" s="35" t="s">
        <v>87</v>
      </c>
      <c r="D52" s="23" t="s">
        <v>185</v>
      </c>
      <c r="E52" s="74">
        <v>1410.6</v>
      </c>
      <c r="F52" s="22">
        <f>SUM(E52*2/1000)</f>
        <v>2.8211999999999997</v>
      </c>
      <c r="G52" s="27">
        <v>1809.27</v>
      </c>
      <c r="H52" s="75">
        <f t="shared" si="7"/>
        <v>5.1043125239999991</v>
      </c>
      <c r="I52" s="10">
        <f t="shared" si="8"/>
        <v>2552.1562619999995</v>
      </c>
    </row>
    <row r="53" spans="1:9" ht="30">
      <c r="A53" s="18">
        <v>17</v>
      </c>
      <c r="B53" s="23" t="s">
        <v>90</v>
      </c>
      <c r="C53" s="35" t="s">
        <v>38</v>
      </c>
      <c r="D53" s="23" t="s">
        <v>185</v>
      </c>
      <c r="E53" s="74">
        <v>40</v>
      </c>
      <c r="F53" s="22">
        <f>SUM(E53*2/100)</f>
        <v>0.8</v>
      </c>
      <c r="G53" s="27">
        <v>4070.89</v>
      </c>
      <c r="H53" s="75">
        <f t="shared" si="7"/>
        <v>3.2567119999999998</v>
      </c>
      <c r="I53" s="10">
        <f t="shared" si="8"/>
        <v>1628.356</v>
      </c>
    </row>
    <row r="54" spans="1:9">
      <c r="A54" s="18">
        <v>18</v>
      </c>
      <c r="B54" s="23" t="s">
        <v>39</v>
      </c>
      <c r="C54" s="35" t="s">
        <v>40</v>
      </c>
      <c r="D54" s="23" t="s">
        <v>185</v>
      </c>
      <c r="E54" s="74">
        <v>1</v>
      </c>
      <c r="F54" s="22">
        <v>0.02</v>
      </c>
      <c r="G54" s="27">
        <v>8426.7199999999993</v>
      </c>
      <c r="H54" s="75">
        <f t="shared" si="7"/>
        <v>0.16853439999999997</v>
      </c>
      <c r="I54" s="10">
        <f t="shared" si="8"/>
        <v>84.267199999999988</v>
      </c>
    </row>
    <row r="55" spans="1:9" ht="16.5" customHeight="1">
      <c r="A55" s="18">
        <v>19</v>
      </c>
      <c r="B55" s="23" t="s">
        <v>41</v>
      </c>
      <c r="C55" s="35" t="s">
        <v>94</v>
      </c>
      <c r="D55" s="161">
        <v>44081</v>
      </c>
      <c r="E55" s="74">
        <v>160</v>
      </c>
      <c r="F55" s="22">
        <f>SUM(E55)*3</f>
        <v>480</v>
      </c>
      <c r="G55" s="28">
        <v>97.93</v>
      </c>
      <c r="H55" s="75">
        <f t="shared" si="7"/>
        <v>47.006399999999999</v>
      </c>
      <c r="I55" s="10">
        <f>F55/3*G55</f>
        <v>15668.800000000001</v>
      </c>
    </row>
    <row r="56" spans="1:9">
      <c r="A56" s="190" t="s">
        <v>122</v>
      </c>
      <c r="B56" s="191"/>
      <c r="C56" s="191"/>
      <c r="D56" s="191"/>
      <c r="E56" s="191"/>
      <c r="F56" s="191"/>
      <c r="G56" s="191"/>
      <c r="H56" s="191"/>
      <c r="I56" s="192"/>
    </row>
    <row r="57" spans="1:9" hidden="1">
      <c r="A57" s="18"/>
      <c r="B57" s="92" t="s">
        <v>43</v>
      </c>
      <c r="C57" s="35"/>
      <c r="D57" s="23"/>
      <c r="E57" s="74"/>
      <c r="F57" s="22"/>
      <c r="G57" s="22"/>
      <c r="H57" s="75"/>
      <c r="I57" s="10"/>
    </row>
    <row r="58" spans="1:9" ht="45" hidden="1">
      <c r="A58" s="18">
        <v>17</v>
      </c>
      <c r="B58" s="23" t="s">
        <v>130</v>
      </c>
      <c r="C58" s="35" t="s">
        <v>85</v>
      </c>
      <c r="D58" s="23"/>
      <c r="E58" s="74">
        <v>160</v>
      </c>
      <c r="F58" s="22">
        <f>SUM(E58*6/100)</f>
        <v>9.6</v>
      </c>
      <c r="G58" s="27">
        <v>2029.3</v>
      </c>
      <c r="H58" s="75">
        <f>SUM(F58*G58/1000)</f>
        <v>19.481279999999998</v>
      </c>
      <c r="I58" s="10">
        <f t="shared" ref="I58" si="9">F58/6*G58</f>
        <v>3246.8799999999997</v>
      </c>
    </row>
    <row r="59" spans="1:9" ht="30" hidden="1">
      <c r="A59" s="18">
        <v>18</v>
      </c>
      <c r="B59" s="23" t="s">
        <v>145</v>
      </c>
      <c r="C59" s="35" t="s">
        <v>146</v>
      </c>
      <c r="D59" s="23" t="s">
        <v>66</v>
      </c>
      <c r="E59" s="74"/>
      <c r="F59" s="22">
        <v>3</v>
      </c>
      <c r="G59" s="27">
        <v>1582.05</v>
      </c>
      <c r="H59" s="75">
        <f>SUM(F59*G59/1000)</f>
        <v>4.7461499999999992</v>
      </c>
      <c r="I59" s="10">
        <f>G59*(1.5+1+1.5)</f>
        <v>6328.2</v>
      </c>
    </row>
    <row r="60" spans="1:9" ht="18" customHeight="1">
      <c r="A60" s="18"/>
      <c r="B60" s="92" t="s">
        <v>44</v>
      </c>
      <c r="C60" s="35"/>
      <c r="D60" s="23"/>
      <c r="E60" s="74"/>
      <c r="F60" s="22"/>
      <c r="G60" s="94"/>
      <c r="H60" s="75"/>
      <c r="I60" s="10"/>
    </row>
    <row r="61" spans="1:9" hidden="1">
      <c r="A61" s="18"/>
      <c r="B61" s="23" t="s">
        <v>45</v>
      </c>
      <c r="C61" s="35" t="s">
        <v>85</v>
      </c>
      <c r="D61" s="23" t="s">
        <v>54</v>
      </c>
      <c r="E61" s="74">
        <v>206</v>
      </c>
      <c r="F61" s="22">
        <f>SUM(E61/100)</f>
        <v>2.06</v>
      </c>
      <c r="G61" s="22">
        <v>1040.8399999999999</v>
      </c>
      <c r="H61" s="75">
        <f>F61*G61/1000</f>
        <v>2.1441303999999999</v>
      </c>
      <c r="I61" s="10">
        <v>0</v>
      </c>
    </row>
    <row r="62" spans="1:9" ht="17.25" customHeight="1">
      <c r="A62" s="18">
        <v>20</v>
      </c>
      <c r="B62" s="23" t="s">
        <v>119</v>
      </c>
      <c r="C62" s="35" t="s">
        <v>25</v>
      </c>
      <c r="D62" s="23" t="s">
        <v>185</v>
      </c>
      <c r="E62" s="74">
        <v>200</v>
      </c>
      <c r="F62" s="22">
        <f>E62*12</f>
        <v>2400</v>
      </c>
      <c r="G62" s="52">
        <v>1.4</v>
      </c>
      <c r="H62" s="75">
        <f>F62*G62/1000</f>
        <v>3.36</v>
      </c>
      <c r="I62" s="10">
        <f>F62/12*G62</f>
        <v>280</v>
      </c>
    </row>
    <row r="63" spans="1:9" ht="15.75" customHeight="1">
      <c r="A63" s="18"/>
      <c r="B63" s="93" t="s">
        <v>46</v>
      </c>
      <c r="C63" s="80"/>
      <c r="D63" s="81"/>
      <c r="E63" s="82"/>
      <c r="F63" s="83"/>
      <c r="G63" s="83"/>
      <c r="H63" s="84" t="s">
        <v>128</v>
      </c>
      <c r="I63" s="10"/>
    </row>
    <row r="64" spans="1:9" ht="18.75" hidden="1" customHeight="1">
      <c r="A64" s="18">
        <v>22</v>
      </c>
      <c r="B64" s="50" t="s">
        <v>47</v>
      </c>
      <c r="C64" s="31" t="s">
        <v>94</v>
      </c>
      <c r="D64" s="30" t="s">
        <v>256</v>
      </c>
      <c r="E64" s="12">
        <v>20</v>
      </c>
      <c r="F64" s="22">
        <f>SUM(E64)</f>
        <v>20</v>
      </c>
      <c r="G64" s="27">
        <v>331.57</v>
      </c>
      <c r="H64" s="64">
        <f t="shared" ref="H64:H83" si="10">SUM(F64*G64/1000)</f>
        <v>6.6313999999999993</v>
      </c>
      <c r="I64" s="10">
        <f>G64*7</f>
        <v>2320.9899999999998</v>
      </c>
    </row>
    <row r="65" spans="1:9" ht="30" hidden="1">
      <c r="A65" s="18"/>
      <c r="B65" s="50" t="s">
        <v>48</v>
      </c>
      <c r="C65" s="31" t="s">
        <v>94</v>
      </c>
      <c r="D65" s="30" t="s">
        <v>256</v>
      </c>
      <c r="E65" s="12">
        <v>16</v>
      </c>
      <c r="F65" s="22">
        <f>SUM(E65)</f>
        <v>16</v>
      </c>
      <c r="G65" s="27">
        <v>113.69</v>
      </c>
      <c r="H65" s="64">
        <f t="shared" si="10"/>
        <v>1.81904</v>
      </c>
      <c r="I65" s="10">
        <v>0</v>
      </c>
    </row>
    <row r="66" spans="1:9" hidden="1">
      <c r="A66" s="18">
        <v>29</v>
      </c>
      <c r="B66" s="50" t="s">
        <v>49</v>
      </c>
      <c r="C66" s="33" t="s">
        <v>95</v>
      </c>
      <c r="D66" s="30" t="s">
        <v>54</v>
      </c>
      <c r="E66" s="74">
        <v>24063</v>
      </c>
      <c r="F66" s="28">
        <f>SUM(E66/100)</f>
        <v>240.63</v>
      </c>
      <c r="G66" s="27">
        <v>316.3</v>
      </c>
      <c r="H66" s="64">
        <f t="shared" si="10"/>
        <v>76.111269000000007</v>
      </c>
      <c r="I66" s="10">
        <f>F66*G66</f>
        <v>76111.269</v>
      </c>
    </row>
    <row r="67" spans="1:9" hidden="1">
      <c r="A67" s="18">
        <v>31</v>
      </c>
      <c r="B67" s="50" t="s">
        <v>50</v>
      </c>
      <c r="C67" s="31" t="s">
        <v>96</v>
      </c>
      <c r="D67" s="30" t="s">
        <v>54</v>
      </c>
      <c r="E67" s="74">
        <v>24063</v>
      </c>
      <c r="F67" s="27">
        <f>SUM(E67/1000)</f>
        <v>24.062999999999999</v>
      </c>
      <c r="G67" s="27">
        <v>246.31</v>
      </c>
      <c r="H67" s="64">
        <f t="shared" si="10"/>
        <v>5.9269575299999993</v>
      </c>
      <c r="I67" s="10">
        <f t="shared" ref="I67:I70" si="11">F67*G67</f>
        <v>5926.9575299999997</v>
      </c>
    </row>
    <row r="68" spans="1:9" hidden="1">
      <c r="A68" s="18">
        <v>32</v>
      </c>
      <c r="B68" s="50" t="s">
        <v>51</v>
      </c>
      <c r="C68" s="31" t="s">
        <v>77</v>
      </c>
      <c r="D68" s="30" t="s">
        <v>54</v>
      </c>
      <c r="E68" s="74">
        <v>1300</v>
      </c>
      <c r="F68" s="27">
        <f>SUM(E68/100)</f>
        <v>13</v>
      </c>
      <c r="G68" s="27">
        <v>3093.06</v>
      </c>
      <c r="H68" s="64">
        <f t="shared" si="10"/>
        <v>40.209780000000002</v>
      </c>
      <c r="I68" s="10">
        <f t="shared" si="11"/>
        <v>40209.78</v>
      </c>
    </row>
    <row r="69" spans="1:9" hidden="1">
      <c r="A69" s="18">
        <v>33</v>
      </c>
      <c r="B69" s="46" t="s">
        <v>71</v>
      </c>
      <c r="C69" s="31" t="s">
        <v>32</v>
      </c>
      <c r="D69" s="30"/>
      <c r="E69" s="74">
        <v>21.4</v>
      </c>
      <c r="F69" s="27">
        <f>SUM(E69)</f>
        <v>21.4</v>
      </c>
      <c r="G69" s="27">
        <v>49.36</v>
      </c>
      <c r="H69" s="64">
        <f t="shared" si="10"/>
        <v>1.0563039999999999</v>
      </c>
      <c r="I69" s="10">
        <f t="shared" si="11"/>
        <v>1056.3039999999999</v>
      </c>
    </row>
    <row r="70" spans="1:9" ht="30" hidden="1">
      <c r="A70" s="18">
        <v>34</v>
      </c>
      <c r="B70" s="46" t="s">
        <v>72</v>
      </c>
      <c r="C70" s="31" t="s">
        <v>32</v>
      </c>
      <c r="D70" s="30"/>
      <c r="E70" s="74">
        <v>21.4</v>
      </c>
      <c r="F70" s="27">
        <f>SUM(E70)</f>
        <v>21.4</v>
      </c>
      <c r="G70" s="27">
        <v>56.66</v>
      </c>
      <c r="H70" s="64">
        <f t="shared" si="10"/>
        <v>1.2125239999999999</v>
      </c>
      <c r="I70" s="10">
        <f t="shared" si="11"/>
        <v>1212.5239999999999</v>
      </c>
    </row>
    <row r="71" spans="1:9" ht="15.75" customHeight="1">
      <c r="A71" s="18">
        <v>21</v>
      </c>
      <c r="B71" s="30" t="s">
        <v>57</v>
      </c>
      <c r="C71" s="31" t="s">
        <v>58</v>
      </c>
      <c r="D71" s="30" t="s">
        <v>180</v>
      </c>
      <c r="E71" s="12">
        <v>8</v>
      </c>
      <c r="F71" s="22">
        <f>SUM(E71)</f>
        <v>8</v>
      </c>
      <c r="G71" s="27">
        <v>74.37</v>
      </c>
      <c r="H71" s="64">
        <f t="shared" si="10"/>
        <v>0.59496000000000004</v>
      </c>
      <c r="I71" s="10">
        <f>G71*F71</f>
        <v>594.96</v>
      </c>
    </row>
    <row r="72" spans="1:9" ht="15.75" customHeight="1">
      <c r="A72" s="18"/>
      <c r="B72" s="43" t="s">
        <v>73</v>
      </c>
      <c r="C72" s="31"/>
      <c r="D72" s="30"/>
      <c r="E72" s="12"/>
      <c r="F72" s="27"/>
      <c r="G72" s="27"/>
      <c r="H72" s="64" t="s">
        <v>128</v>
      </c>
      <c r="I72" s="10"/>
    </row>
    <row r="73" spans="1:9" ht="30" hidden="1">
      <c r="A73" s="18"/>
      <c r="B73" s="30" t="s">
        <v>147</v>
      </c>
      <c r="C73" s="31" t="s">
        <v>94</v>
      </c>
      <c r="D73" s="23" t="s">
        <v>66</v>
      </c>
      <c r="E73" s="12">
        <v>1</v>
      </c>
      <c r="F73" s="27">
        <v>1</v>
      </c>
      <c r="G73" s="27">
        <v>1029.1199999999999</v>
      </c>
      <c r="H73" s="64">
        <f t="shared" ref="H73:H76" si="12">SUM(F73*G73/1000)</f>
        <v>1.0291199999999998</v>
      </c>
      <c r="I73" s="10">
        <v>0</v>
      </c>
    </row>
    <row r="74" spans="1:9" hidden="1">
      <c r="A74" s="18"/>
      <c r="B74" s="30" t="s">
        <v>148</v>
      </c>
      <c r="C74" s="31" t="s">
        <v>149</v>
      </c>
      <c r="D74" s="30"/>
      <c r="E74" s="12">
        <v>1</v>
      </c>
      <c r="F74" s="27">
        <f>E74</f>
        <v>1</v>
      </c>
      <c r="G74" s="27">
        <v>735</v>
      </c>
      <c r="H74" s="64">
        <f t="shared" si="12"/>
        <v>0.73499999999999999</v>
      </c>
      <c r="I74" s="10">
        <v>0</v>
      </c>
    </row>
    <row r="75" spans="1:9" ht="15" hidden="1" customHeight="1">
      <c r="A75" s="18">
        <v>23</v>
      </c>
      <c r="B75" s="30" t="s">
        <v>74</v>
      </c>
      <c r="C75" s="31" t="s">
        <v>75</v>
      </c>
      <c r="D75" s="23" t="s">
        <v>66</v>
      </c>
      <c r="E75" s="12">
        <v>7</v>
      </c>
      <c r="F75" s="27">
        <f>E75/10</f>
        <v>0.7</v>
      </c>
      <c r="G75" s="27">
        <v>657.87</v>
      </c>
      <c r="H75" s="64">
        <f t="shared" si="12"/>
        <v>0.46050899999999995</v>
      </c>
      <c r="I75" s="10">
        <f>G75*0.2</f>
        <v>131.57400000000001</v>
      </c>
    </row>
    <row r="76" spans="1:9" ht="30" hidden="1">
      <c r="A76" s="18"/>
      <c r="B76" s="30" t="s">
        <v>115</v>
      </c>
      <c r="C76" s="31" t="s">
        <v>94</v>
      </c>
      <c r="D76" s="23" t="s">
        <v>66</v>
      </c>
      <c r="E76" s="12">
        <v>1</v>
      </c>
      <c r="F76" s="22">
        <f>SUM(E76)</f>
        <v>1</v>
      </c>
      <c r="G76" s="27">
        <v>1118.72</v>
      </c>
      <c r="H76" s="64">
        <f t="shared" si="12"/>
        <v>1.1187199999999999</v>
      </c>
      <c r="I76" s="10">
        <v>0</v>
      </c>
    </row>
    <row r="77" spans="1:9" ht="30" hidden="1">
      <c r="A77" s="18"/>
      <c r="B77" s="66" t="s">
        <v>150</v>
      </c>
      <c r="C77" s="53" t="s">
        <v>94</v>
      </c>
      <c r="D77" s="23" t="s">
        <v>66</v>
      </c>
      <c r="E77" s="12">
        <v>1</v>
      </c>
      <c r="F77" s="52">
        <v>1</v>
      </c>
      <c r="G77" s="27">
        <v>1605.83</v>
      </c>
      <c r="H77" s="64">
        <f>SUM(F77*G77/1000)</f>
        <v>1.6058299999999999</v>
      </c>
      <c r="I77" s="10">
        <v>0</v>
      </c>
    </row>
    <row r="78" spans="1:9" ht="32.25" customHeight="1">
      <c r="A78" s="18">
        <v>22</v>
      </c>
      <c r="B78" s="66" t="s">
        <v>151</v>
      </c>
      <c r="C78" s="53" t="s">
        <v>94</v>
      </c>
      <c r="D78" s="30" t="s">
        <v>185</v>
      </c>
      <c r="E78" s="85">
        <v>2</v>
      </c>
      <c r="F78" s="83">
        <f>E78*12</f>
        <v>24</v>
      </c>
      <c r="G78" s="174">
        <v>420</v>
      </c>
      <c r="H78" s="64">
        <f t="shared" ref="H78:H79" si="13">SUM(F78*G78/1000)</f>
        <v>10.08</v>
      </c>
      <c r="I78" s="10">
        <f>F78/12*G78</f>
        <v>840</v>
      </c>
    </row>
    <row r="79" spans="1:9" ht="16.5" customHeight="1">
      <c r="A79" s="18">
        <v>25</v>
      </c>
      <c r="B79" s="60" t="s">
        <v>116</v>
      </c>
      <c r="C79" s="31"/>
      <c r="D79" s="30" t="s">
        <v>180</v>
      </c>
      <c r="E79" s="12">
        <v>1</v>
      </c>
      <c r="F79" s="27">
        <v>12</v>
      </c>
      <c r="G79" s="118">
        <v>1829</v>
      </c>
      <c r="H79" s="64">
        <f t="shared" si="13"/>
        <v>21.948</v>
      </c>
      <c r="I79" s="10">
        <f>F79/12*G79</f>
        <v>1829</v>
      </c>
    </row>
    <row r="80" spans="1:9" ht="17.25" customHeight="1">
      <c r="A80" s="18"/>
      <c r="B80" s="95" t="s">
        <v>152</v>
      </c>
      <c r="C80" s="53"/>
      <c r="D80" s="30"/>
      <c r="E80" s="12"/>
      <c r="F80" s="27"/>
      <c r="G80" s="27"/>
      <c r="H80" s="64"/>
      <c r="I80" s="10"/>
    </row>
    <row r="81" spans="1:9" ht="21.75" customHeight="1">
      <c r="A81" s="18">
        <v>26</v>
      </c>
      <c r="B81" s="30" t="s">
        <v>153</v>
      </c>
      <c r="C81" s="36" t="s">
        <v>154</v>
      </c>
      <c r="D81" s="30"/>
      <c r="E81" s="12">
        <v>4497.7</v>
      </c>
      <c r="F81" s="27">
        <f>SUM(E81*12)</f>
        <v>53972.399999999994</v>
      </c>
      <c r="G81" s="27">
        <v>2.6</v>
      </c>
      <c r="H81" s="64">
        <f t="shared" ref="H81" si="14">SUM(F81*G81/1000)</f>
        <v>140.32823999999999</v>
      </c>
      <c r="I81" s="10">
        <f>F81/12*G81</f>
        <v>11694.02</v>
      </c>
    </row>
    <row r="82" spans="1:9" hidden="1">
      <c r="A82" s="18"/>
      <c r="B82" s="44" t="s">
        <v>76</v>
      </c>
      <c r="C82" s="31"/>
      <c r="D82" s="30"/>
      <c r="E82" s="12"/>
      <c r="F82" s="27"/>
      <c r="G82" s="27" t="s">
        <v>128</v>
      </c>
      <c r="H82" s="64" t="s">
        <v>128</v>
      </c>
      <c r="I82" s="10"/>
    </row>
    <row r="83" spans="1:9" hidden="1">
      <c r="A83" s="18"/>
      <c r="B83" s="32" t="s">
        <v>99</v>
      </c>
      <c r="C83" s="33" t="s">
        <v>77</v>
      </c>
      <c r="D83" s="50"/>
      <c r="E83" s="87"/>
      <c r="F83" s="28">
        <v>0.6</v>
      </c>
      <c r="G83" s="28">
        <v>3619.09</v>
      </c>
      <c r="H83" s="64">
        <f t="shared" si="10"/>
        <v>2.1714540000000002</v>
      </c>
      <c r="I83" s="10">
        <v>0</v>
      </c>
    </row>
    <row r="84" spans="1:9" ht="28.5" hidden="1">
      <c r="A84" s="18"/>
      <c r="B84" s="149" t="s">
        <v>91</v>
      </c>
      <c r="C84" s="62"/>
      <c r="D84" s="20"/>
      <c r="E84" s="21"/>
      <c r="F84" s="59"/>
      <c r="G84" s="59"/>
      <c r="H84" s="88">
        <f>SUM(H58:H83)</f>
        <v>342.77066793</v>
      </c>
      <c r="I84" s="10"/>
    </row>
    <row r="85" spans="1:9" hidden="1">
      <c r="A85" s="18"/>
      <c r="B85" s="23" t="s">
        <v>97</v>
      </c>
      <c r="C85" s="89"/>
      <c r="D85" s="90"/>
      <c r="E85" s="91"/>
      <c r="F85" s="29">
        <v>1</v>
      </c>
      <c r="G85" s="29">
        <v>18792</v>
      </c>
      <c r="H85" s="64">
        <f>G85*F85/1000</f>
        <v>18.792000000000002</v>
      </c>
      <c r="I85" s="10">
        <v>0</v>
      </c>
    </row>
    <row r="86" spans="1:9">
      <c r="A86" s="190" t="s">
        <v>124</v>
      </c>
      <c r="B86" s="191"/>
      <c r="C86" s="191"/>
      <c r="D86" s="191"/>
      <c r="E86" s="191"/>
      <c r="F86" s="191"/>
      <c r="G86" s="191"/>
      <c r="H86" s="191"/>
      <c r="I86" s="192"/>
    </row>
    <row r="87" spans="1:9" ht="15.75" customHeight="1">
      <c r="A87" s="18">
        <v>27</v>
      </c>
      <c r="B87" s="23" t="s">
        <v>98</v>
      </c>
      <c r="C87" s="31" t="s">
        <v>55</v>
      </c>
      <c r="D87" s="51"/>
      <c r="E87" s="27">
        <v>4497.7</v>
      </c>
      <c r="F87" s="27">
        <f>SUM(E87*12)</f>
        <v>53972.399999999994</v>
      </c>
      <c r="G87" s="27">
        <v>3.5</v>
      </c>
      <c r="H87" s="64">
        <f>SUM(F87*G87/1000)</f>
        <v>188.90339999999998</v>
      </c>
      <c r="I87" s="10">
        <f>F87/12*G87</f>
        <v>15741.949999999999</v>
      </c>
    </row>
    <row r="88" spans="1:9" ht="35.25" customHeight="1">
      <c r="A88" s="18">
        <v>29</v>
      </c>
      <c r="B88" s="30" t="s">
        <v>247</v>
      </c>
      <c r="C88" s="31" t="s">
        <v>248</v>
      </c>
      <c r="D88" s="65"/>
      <c r="E88" s="74">
        <f>E87</f>
        <v>4497.7</v>
      </c>
      <c r="F88" s="27">
        <f>E88*12</f>
        <v>53972.399999999994</v>
      </c>
      <c r="G88" s="27">
        <v>3.2</v>
      </c>
      <c r="H88" s="64">
        <f>F88*G88/1000</f>
        <v>172.71168</v>
      </c>
      <c r="I88" s="10">
        <f>F88/12*G88</f>
        <v>14392.64</v>
      </c>
    </row>
    <row r="89" spans="1:9">
      <c r="A89" s="18"/>
      <c r="B89" s="34" t="s">
        <v>80</v>
      </c>
      <c r="C89" s="62"/>
      <c r="D89" s="61"/>
      <c r="E89" s="59"/>
      <c r="F89" s="59"/>
      <c r="G89" s="59"/>
      <c r="H89" s="63">
        <f>SUM(H76)</f>
        <v>1.1187199999999999</v>
      </c>
      <c r="I89" s="59">
        <f>I88+I87+I81+I79+I78+I71+I62+I55+I54+I53+I52+I51+I50+I49+I48++I46+I47+I32+I30+I29+I26+I21+I20+I18+I17+I16</f>
        <v>102820.20525190004</v>
      </c>
    </row>
    <row r="90" spans="1:9">
      <c r="A90" s="193" t="s">
        <v>60</v>
      </c>
      <c r="B90" s="194"/>
      <c r="C90" s="194"/>
      <c r="D90" s="194"/>
      <c r="E90" s="194"/>
      <c r="F90" s="194"/>
      <c r="G90" s="194"/>
      <c r="H90" s="194"/>
      <c r="I90" s="195"/>
    </row>
    <row r="91" spans="1:9">
      <c r="A91" s="178">
        <v>30</v>
      </c>
      <c r="B91" s="67" t="s">
        <v>157</v>
      </c>
      <c r="C91" s="53" t="s">
        <v>172</v>
      </c>
      <c r="D91" s="65" t="s">
        <v>301</v>
      </c>
      <c r="E91" s="27"/>
      <c r="F91" s="27">
        <v>5</v>
      </c>
      <c r="G91" s="27">
        <v>284</v>
      </c>
      <c r="H91" s="177"/>
      <c r="I91" s="205">
        <v>0</v>
      </c>
    </row>
    <row r="92" spans="1:9" ht="15.75" customHeight="1">
      <c r="A92" s="18"/>
      <c r="B92" s="41" t="s">
        <v>52</v>
      </c>
      <c r="C92" s="120"/>
      <c r="D92" s="47"/>
      <c r="E92" s="37"/>
      <c r="F92" s="37"/>
      <c r="G92" s="37"/>
      <c r="H92" s="37"/>
      <c r="I92" s="21">
        <f>I91</f>
        <v>0</v>
      </c>
    </row>
    <row r="93" spans="1:9">
      <c r="A93" s="18"/>
      <c r="B93" s="45" t="s">
        <v>79</v>
      </c>
      <c r="C93" s="11"/>
      <c r="D93" s="11"/>
      <c r="E93" s="38"/>
      <c r="F93" s="38"/>
      <c r="G93" s="39"/>
      <c r="H93" s="39"/>
      <c r="I93" s="12">
        <v>0</v>
      </c>
    </row>
    <row r="94" spans="1:9">
      <c r="A94" s="48"/>
      <c r="B94" s="42" t="s">
        <v>155</v>
      </c>
      <c r="C94" s="26"/>
      <c r="D94" s="26"/>
      <c r="E94" s="26"/>
      <c r="F94" s="26"/>
      <c r="G94" s="26"/>
      <c r="H94" s="26"/>
      <c r="I94" s="40">
        <f>I92+I89</f>
        <v>102820.20525190004</v>
      </c>
    </row>
    <row r="95" spans="1:9" ht="15.75">
      <c r="A95" s="196" t="s">
        <v>302</v>
      </c>
      <c r="B95" s="196"/>
      <c r="C95" s="196"/>
      <c r="D95" s="196"/>
      <c r="E95" s="196"/>
      <c r="F95" s="196"/>
      <c r="G95" s="196"/>
      <c r="H95" s="196"/>
      <c r="I95" s="196"/>
    </row>
    <row r="96" spans="1:9" ht="15.75">
      <c r="A96" s="54"/>
      <c r="B96" s="197" t="s">
        <v>303</v>
      </c>
      <c r="C96" s="197"/>
      <c r="D96" s="197"/>
      <c r="E96" s="197"/>
      <c r="F96" s="197"/>
      <c r="G96" s="197"/>
      <c r="H96" s="57"/>
      <c r="I96" s="2"/>
    </row>
    <row r="97" spans="1:9">
      <c r="A97" s="147"/>
      <c r="B97" s="184" t="s">
        <v>6</v>
      </c>
      <c r="C97" s="184"/>
      <c r="D97" s="184"/>
      <c r="E97" s="184"/>
      <c r="F97" s="184"/>
      <c r="G97" s="184"/>
      <c r="H97" s="13"/>
      <c r="I97" s="4"/>
    </row>
    <row r="98" spans="1:9">
      <c r="A98" s="7"/>
      <c r="B98" s="7"/>
      <c r="C98" s="7"/>
      <c r="D98" s="7"/>
      <c r="E98" s="7"/>
      <c r="F98" s="7"/>
      <c r="G98" s="7"/>
      <c r="H98" s="7"/>
      <c r="I98" s="7"/>
    </row>
    <row r="99" spans="1:9" ht="15.75">
      <c r="A99" s="198" t="s">
        <v>7</v>
      </c>
      <c r="B99" s="198"/>
      <c r="C99" s="198"/>
      <c r="D99" s="198"/>
      <c r="E99" s="198"/>
      <c r="F99" s="198"/>
      <c r="G99" s="198"/>
      <c r="H99" s="198"/>
      <c r="I99" s="198"/>
    </row>
    <row r="100" spans="1:9" ht="15.75">
      <c r="A100" s="198" t="s">
        <v>8</v>
      </c>
      <c r="B100" s="198"/>
      <c r="C100" s="198"/>
      <c r="D100" s="198"/>
      <c r="E100" s="198"/>
      <c r="F100" s="198"/>
      <c r="G100" s="198"/>
      <c r="H100" s="198"/>
      <c r="I100" s="198"/>
    </row>
    <row r="101" spans="1:9" ht="15.75">
      <c r="A101" s="188" t="s">
        <v>61</v>
      </c>
      <c r="B101" s="188"/>
      <c r="C101" s="188"/>
      <c r="D101" s="188"/>
      <c r="E101" s="188"/>
      <c r="F101" s="188"/>
      <c r="G101" s="188"/>
      <c r="H101" s="188"/>
      <c r="I101" s="188"/>
    </row>
    <row r="102" spans="1:9" ht="15.75">
      <c r="A102" s="8"/>
    </row>
    <row r="103" spans="1:9" ht="15.75">
      <c r="A103" s="182" t="s">
        <v>9</v>
      </c>
      <c r="B103" s="182"/>
      <c r="C103" s="182"/>
      <c r="D103" s="182"/>
      <c r="E103" s="182"/>
      <c r="F103" s="182"/>
      <c r="G103" s="182"/>
      <c r="H103" s="182"/>
      <c r="I103" s="182"/>
    </row>
    <row r="104" spans="1:9" ht="15.75">
      <c r="A104" s="3"/>
    </row>
    <row r="105" spans="1:9" ht="15.75">
      <c r="B105" s="148" t="s">
        <v>10</v>
      </c>
      <c r="C105" s="183" t="s">
        <v>123</v>
      </c>
      <c r="D105" s="183"/>
      <c r="E105" s="183"/>
      <c r="F105" s="55"/>
      <c r="I105" s="146"/>
    </row>
    <row r="106" spans="1:9">
      <c r="A106" s="147"/>
      <c r="C106" s="184" t="s">
        <v>11</v>
      </c>
      <c r="D106" s="184"/>
      <c r="E106" s="184"/>
      <c r="F106" s="13"/>
      <c r="I106" s="145" t="s">
        <v>12</v>
      </c>
    </row>
    <row r="107" spans="1:9" ht="15.75">
      <c r="A107" s="14"/>
      <c r="C107" s="9"/>
      <c r="D107" s="9"/>
      <c r="G107" s="9"/>
      <c r="H107" s="9"/>
    </row>
    <row r="108" spans="1:9" ht="15.75">
      <c r="B108" s="148" t="s">
        <v>13</v>
      </c>
      <c r="C108" s="185"/>
      <c r="D108" s="185"/>
      <c r="E108" s="185"/>
      <c r="F108" s="56"/>
      <c r="I108" s="146"/>
    </row>
    <row r="109" spans="1:9">
      <c r="A109" s="147"/>
      <c r="C109" s="186" t="s">
        <v>11</v>
      </c>
      <c r="D109" s="186"/>
      <c r="E109" s="186"/>
      <c r="F109" s="147"/>
      <c r="I109" s="145" t="s">
        <v>12</v>
      </c>
    </row>
    <row r="110" spans="1:9" ht="15.75">
      <c r="A110" s="3" t="s">
        <v>14</v>
      </c>
    </row>
    <row r="111" spans="1:9">
      <c r="A111" s="187" t="s">
        <v>15</v>
      </c>
      <c r="B111" s="187"/>
      <c r="C111" s="187"/>
      <c r="D111" s="187"/>
      <c r="E111" s="187"/>
      <c r="F111" s="187"/>
      <c r="G111" s="187"/>
      <c r="H111" s="187"/>
      <c r="I111" s="187"/>
    </row>
    <row r="112" spans="1:9" ht="42" customHeight="1">
      <c r="A112" s="181" t="s">
        <v>16</v>
      </c>
      <c r="B112" s="181"/>
      <c r="C112" s="181"/>
      <c r="D112" s="181"/>
      <c r="E112" s="181"/>
      <c r="F112" s="181"/>
      <c r="G112" s="181"/>
      <c r="H112" s="181"/>
      <c r="I112" s="181"/>
    </row>
    <row r="113" spans="1:9" ht="36" customHeight="1">
      <c r="A113" s="181" t="s">
        <v>17</v>
      </c>
      <c r="B113" s="181"/>
      <c r="C113" s="181"/>
      <c r="D113" s="181"/>
      <c r="E113" s="181"/>
      <c r="F113" s="181"/>
      <c r="G113" s="181"/>
      <c r="H113" s="181"/>
      <c r="I113" s="181"/>
    </row>
    <row r="114" spans="1:9" ht="33" customHeight="1">
      <c r="A114" s="181" t="s">
        <v>21</v>
      </c>
      <c r="B114" s="181"/>
      <c r="C114" s="181"/>
      <c r="D114" s="181"/>
      <c r="E114" s="181"/>
      <c r="F114" s="181"/>
      <c r="G114" s="181"/>
      <c r="H114" s="181"/>
      <c r="I114" s="181"/>
    </row>
    <row r="115" spans="1:9" ht="15.75">
      <c r="A115" s="181" t="s">
        <v>20</v>
      </c>
      <c r="B115" s="181"/>
      <c r="C115" s="181"/>
      <c r="D115" s="181"/>
      <c r="E115" s="181"/>
      <c r="F115" s="181"/>
      <c r="G115" s="181"/>
      <c r="H115" s="181"/>
      <c r="I115" s="181"/>
    </row>
  </sheetData>
  <mergeCells count="28">
    <mergeCell ref="A90:I90"/>
    <mergeCell ref="A3:I3"/>
    <mergeCell ref="A4:I4"/>
    <mergeCell ref="A5:I5"/>
    <mergeCell ref="A8:I8"/>
    <mergeCell ref="A10:I10"/>
    <mergeCell ref="A14:I14"/>
    <mergeCell ref="A15:I15"/>
    <mergeCell ref="A27:I27"/>
    <mergeCell ref="A45:I45"/>
    <mergeCell ref="A56:I56"/>
    <mergeCell ref="A86:I86"/>
    <mergeCell ref="C109:E109"/>
    <mergeCell ref="A95:I95"/>
    <mergeCell ref="B96:G96"/>
    <mergeCell ref="B97:G97"/>
    <mergeCell ref="A99:I99"/>
    <mergeCell ref="A100:I100"/>
    <mergeCell ref="A101:I101"/>
    <mergeCell ref="A103:I103"/>
    <mergeCell ref="C105:E105"/>
    <mergeCell ref="C106:E106"/>
    <mergeCell ref="C108:E108"/>
    <mergeCell ref="A111:I111"/>
    <mergeCell ref="A112:I112"/>
    <mergeCell ref="A113:I113"/>
    <mergeCell ref="A114:I114"/>
    <mergeCell ref="A115:I115"/>
  </mergeCells>
  <pageMargins left="0.7" right="0.7" top="0.75" bottom="0.75" header="0.3" footer="0.3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4</vt:i4>
      </vt:variant>
    </vt:vector>
  </HeadingPairs>
  <TitlesOfParts>
    <vt:vector size="16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'01.20'!Заголовки_для_печати</vt:lpstr>
      <vt:lpstr>'12.20'!Заголовки_для_печати</vt:lpstr>
      <vt:lpstr>'01.20'!Область_печати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2021-02-18T06:39:55Z</cp:lastPrinted>
  <dcterms:created xsi:type="dcterms:W3CDTF">2016-03-25T08:33:47Z</dcterms:created>
  <dcterms:modified xsi:type="dcterms:W3CDTF">2021-02-18T06:40:50Z</dcterms:modified>
</cp:coreProperties>
</file>