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315" windowWidth="15975" windowHeight="5565"/>
  </bookViews>
  <sheets>
    <sheet name="Шахт.,7" sheetId="1" r:id="rId1"/>
  </sheets>
  <calcPr calcId="124519"/>
</workbook>
</file>

<file path=xl/calcChain.xml><?xml version="1.0" encoding="utf-8"?>
<calcChain xmlns="http://schemas.openxmlformats.org/spreadsheetml/2006/main">
  <c r="T59" i="1"/>
  <c r="U59" s="1"/>
  <c r="U60"/>
  <c r="U61"/>
  <c r="U62"/>
  <c r="U63"/>
  <c r="U64"/>
  <c r="U65"/>
  <c r="U58"/>
  <c r="H105"/>
  <c r="U105"/>
  <c r="H100"/>
  <c r="M100"/>
  <c r="U104"/>
  <c r="N104"/>
  <c r="U103"/>
  <c r="P103"/>
  <c r="H104"/>
  <c r="H103"/>
  <c r="N96"/>
  <c r="S102"/>
  <c r="U102" s="1"/>
  <c r="U83"/>
  <c r="T83"/>
  <c r="Q83"/>
  <c r="R83"/>
  <c r="N94"/>
  <c r="S58"/>
  <c r="H102"/>
  <c r="U86"/>
  <c r="T86"/>
  <c r="T108" s="1"/>
  <c r="P86"/>
  <c r="U101"/>
  <c r="T101"/>
  <c r="H101"/>
  <c r="T69"/>
  <c r="S59"/>
  <c r="S67"/>
  <c r="R67"/>
  <c r="N67"/>
  <c r="O67"/>
  <c r="P67"/>
  <c r="Q67"/>
  <c r="T67"/>
  <c r="S108"/>
  <c r="T76"/>
  <c r="S76"/>
  <c r="T74"/>
  <c r="S74"/>
  <c r="T56"/>
  <c r="S56"/>
  <c r="T53"/>
  <c r="S53"/>
  <c r="T46"/>
  <c r="T39"/>
  <c r="S39"/>
  <c r="T38"/>
  <c r="S38"/>
  <c r="T37"/>
  <c r="S37"/>
  <c r="T36"/>
  <c r="S36"/>
  <c r="T34"/>
  <c r="S34"/>
  <c r="T33"/>
  <c r="S33"/>
  <c r="T30"/>
  <c r="S30"/>
  <c r="T27"/>
  <c r="S27"/>
  <c r="T13"/>
  <c r="S13"/>
  <c r="T12"/>
  <c r="S12"/>
  <c r="T11"/>
  <c r="S11"/>
  <c r="K35"/>
  <c r="R108"/>
  <c r="Q108"/>
  <c r="P108"/>
  <c r="O108"/>
  <c r="N108"/>
  <c r="R76"/>
  <c r="Q76"/>
  <c r="P76"/>
  <c r="O76"/>
  <c r="N76"/>
  <c r="R74"/>
  <c r="Q74"/>
  <c r="P74"/>
  <c r="O74"/>
  <c r="N74"/>
  <c r="N73"/>
  <c r="Q65"/>
  <c r="R56"/>
  <c r="Q56"/>
  <c r="P56"/>
  <c r="O56"/>
  <c r="N56"/>
  <c r="P50"/>
  <c r="Q49"/>
  <c r="Q48"/>
  <c r="Q47"/>
  <c r="Q46"/>
  <c r="Q45"/>
  <c r="Q44"/>
  <c r="Q43"/>
  <c r="Q42"/>
  <c r="R30"/>
  <c r="Q30"/>
  <c r="P30"/>
  <c r="O30"/>
  <c r="N30"/>
  <c r="R27"/>
  <c r="Q27"/>
  <c r="P27"/>
  <c r="O27"/>
  <c r="N27"/>
  <c r="R26"/>
  <c r="Q26"/>
  <c r="P26"/>
  <c r="O26"/>
  <c r="N26"/>
  <c r="R25"/>
  <c r="Q25"/>
  <c r="P25"/>
  <c r="O25"/>
  <c r="N25"/>
  <c r="M24"/>
  <c r="R23"/>
  <c r="Q23"/>
  <c r="P23"/>
  <c r="O23"/>
  <c r="N23"/>
  <c r="R22"/>
  <c r="Q22"/>
  <c r="P22"/>
  <c r="O22"/>
  <c r="N22"/>
  <c r="N19"/>
  <c r="N18"/>
  <c r="N17"/>
  <c r="N16"/>
  <c r="N15"/>
  <c r="N14"/>
  <c r="R13"/>
  <c r="Q13"/>
  <c r="P13"/>
  <c r="O13"/>
  <c r="N13"/>
  <c r="R12"/>
  <c r="Q12"/>
  <c r="P12"/>
  <c r="O12"/>
  <c r="N12"/>
  <c r="R11"/>
  <c r="Q11"/>
  <c r="P11"/>
  <c r="O11"/>
  <c r="N11"/>
  <c r="H83"/>
  <c r="U100"/>
  <c r="M67"/>
  <c r="M95"/>
  <c r="M83"/>
  <c r="M94"/>
  <c r="M76"/>
  <c r="M74"/>
  <c r="M64"/>
  <c r="M63"/>
  <c r="M62"/>
  <c r="M61"/>
  <c r="M60"/>
  <c r="M56"/>
  <c r="L50"/>
  <c r="M46"/>
  <c r="M30"/>
  <c r="M27"/>
  <c r="M26"/>
  <c r="F26"/>
  <c r="M25"/>
  <c r="M23"/>
  <c r="M22"/>
  <c r="M13"/>
  <c r="M12"/>
  <c r="M11"/>
  <c r="I84"/>
  <c r="U99"/>
  <c r="L99"/>
  <c r="H99"/>
  <c r="L59"/>
  <c r="U98"/>
  <c r="L98"/>
  <c r="H98"/>
  <c r="J93"/>
  <c r="I93"/>
  <c r="L93"/>
  <c r="L90"/>
  <c r="L67"/>
  <c r="M108" l="1"/>
  <c r="L39"/>
  <c r="L33"/>
  <c r="U97"/>
  <c r="K97"/>
  <c r="H97"/>
  <c r="K96"/>
  <c r="U96" s="1"/>
  <c r="H96"/>
  <c r="U95"/>
  <c r="K95"/>
  <c r="H95"/>
  <c r="K94"/>
  <c r="U94" s="1"/>
  <c r="H94"/>
  <c r="U93"/>
  <c r="K93"/>
  <c r="H93"/>
  <c r="K92"/>
  <c r="U92" s="1"/>
  <c r="H92"/>
  <c r="K91"/>
  <c r="U91" s="1"/>
  <c r="H91"/>
  <c r="K83"/>
  <c r="K67"/>
  <c r="J67"/>
  <c r="F73"/>
  <c r="U73"/>
  <c r="H73"/>
  <c r="K46" l="1"/>
  <c r="K39"/>
  <c r="K33"/>
  <c r="J90"/>
  <c r="U90" s="1"/>
  <c r="H90"/>
  <c r="U89"/>
  <c r="J89"/>
  <c r="H89"/>
  <c r="F50"/>
  <c r="J50"/>
  <c r="J49"/>
  <c r="J39"/>
  <c r="J33"/>
  <c r="I88"/>
  <c r="U88"/>
  <c r="H88"/>
  <c r="H86"/>
  <c r="U87"/>
  <c r="I87"/>
  <c r="H87"/>
  <c r="I86"/>
  <c r="U84"/>
  <c r="H84"/>
  <c r="I83"/>
  <c r="I59"/>
  <c r="I67"/>
  <c r="I69"/>
  <c r="I85"/>
  <c r="F34" l="1"/>
  <c r="I33"/>
  <c r="U50"/>
  <c r="U49"/>
  <c r="U29"/>
  <c r="U28"/>
  <c r="U26"/>
  <c r="U25"/>
  <c r="U24"/>
  <c r="U23"/>
  <c r="U22"/>
  <c r="U19"/>
  <c r="U18"/>
  <c r="U17"/>
  <c r="U16"/>
  <c r="U15"/>
  <c r="U14"/>
  <c r="I39"/>
  <c r="U39" s="1"/>
  <c r="U33"/>
  <c r="I35"/>
  <c r="U35" s="1"/>
  <c r="U85"/>
  <c r="H85"/>
  <c r="I34" l="1"/>
  <c r="L34"/>
  <c r="K34"/>
  <c r="J34"/>
  <c r="F37"/>
  <c r="F16"/>
  <c r="F15"/>
  <c r="F56"/>
  <c r="U55"/>
  <c r="H55"/>
  <c r="L56" l="1"/>
  <c r="J56"/>
  <c r="K56"/>
  <c r="I37"/>
  <c r="L37"/>
  <c r="K37"/>
  <c r="J37"/>
  <c r="H56"/>
  <c r="I56"/>
  <c r="H34"/>
  <c r="U34"/>
  <c r="F43"/>
  <c r="L43" s="1"/>
  <c r="U43" s="1"/>
  <c r="H25"/>
  <c r="U56" l="1"/>
  <c r="U37"/>
  <c r="H35"/>
  <c r="U69" l="1"/>
  <c r="H69"/>
  <c r="U71" l="1"/>
  <c r="U68"/>
  <c r="H68"/>
  <c r="U67"/>
  <c r="F14" l="1"/>
  <c r="F17"/>
  <c r="F18"/>
  <c r="F108" l="1"/>
  <c r="H107"/>
  <c r="E76"/>
  <c r="H79" s="1"/>
  <c r="F74"/>
  <c r="H71"/>
  <c r="H67"/>
  <c r="H65"/>
  <c r="F64"/>
  <c r="H64" s="1"/>
  <c r="F63"/>
  <c r="H63" s="1"/>
  <c r="F62"/>
  <c r="H62" s="1"/>
  <c r="F61"/>
  <c r="H61" s="1"/>
  <c r="F60"/>
  <c r="H60" s="1"/>
  <c r="H59"/>
  <c r="H58"/>
  <c r="F53"/>
  <c r="H50"/>
  <c r="H49"/>
  <c r="F48"/>
  <c r="F47"/>
  <c r="F46"/>
  <c r="J46" s="1"/>
  <c r="F45"/>
  <c r="F44"/>
  <c r="H43"/>
  <c r="F42"/>
  <c r="H39"/>
  <c r="F38"/>
  <c r="H37"/>
  <c r="F36"/>
  <c r="H33"/>
  <c r="F30"/>
  <c r="H29"/>
  <c r="H28"/>
  <c r="F27"/>
  <c r="H26"/>
  <c r="F24"/>
  <c r="H24" s="1"/>
  <c r="F23"/>
  <c r="H23" s="1"/>
  <c r="F22"/>
  <c r="H22" s="1"/>
  <c r="F19"/>
  <c r="H19" s="1"/>
  <c r="H18"/>
  <c r="H17"/>
  <c r="H14"/>
  <c r="E13"/>
  <c r="F13" s="1"/>
  <c r="F12"/>
  <c r="F11"/>
  <c r="L11" l="1"/>
  <c r="K11"/>
  <c r="J11"/>
  <c r="L12"/>
  <c r="K12"/>
  <c r="J12"/>
  <c r="I27"/>
  <c r="L27"/>
  <c r="K27"/>
  <c r="J27"/>
  <c r="H45"/>
  <c r="L45"/>
  <c r="U45" s="1"/>
  <c r="H47"/>
  <c r="K47"/>
  <c r="U47" s="1"/>
  <c r="L53"/>
  <c r="K53"/>
  <c r="J53"/>
  <c r="L13"/>
  <c r="K13"/>
  <c r="J13"/>
  <c r="I30"/>
  <c r="L30"/>
  <c r="K30"/>
  <c r="J30"/>
  <c r="I36"/>
  <c r="L36"/>
  <c r="K36"/>
  <c r="J36"/>
  <c r="I38"/>
  <c r="L38"/>
  <c r="K38"/>
  <c r="J38"/>
  <c r="H42"/>
  <c r="L42"/>
  <c r="U42" s="1"/>
  <c r="H44"/>
  <c r="L44"/>
  <c r="U44" s="1"/>
  <c r="H48"/>
  <c r="K48"/>
  <c r="U48" s="1"/>
  <c r="I74"/>
  <c r="L74"/>
  <c r="K74"/>
  <c r="J74"/>
  <c r="I46"/>
  <c r="U46" s="1"/>
  <c r="I12"/>
  <c r="U12" s="1"/>
  <c r="I11"/>
  <c r="U11" s="1"/>
  <c r="I13"/>
  <c r="U13" s="1"/>
  <c r="H36"/>
  <c r="U36"/>
  <c r="H38"/>
  <c r="U38"/>
  <c r="H53"/>
  <c r="I53"/>
  <c r="U53" s="1"/>
  <c r="U72" s="1"/>
  <c r="H30"/>
  <c r="U30"/>
  <c r="H74"/>
  <c r="H75" s="1"/>
  <c r="U74"/>
  <c r="U75" s="1"/>
  <c r="H27"/>
  <c r="H31" s="1"/>
  <c r="H46"/>
  <c r="H51" s="1"/>
  <c r="H11"/>
  <c r="H12"/>
  <c r="H16"/>
  <c r="H13"/>
  <c r="H15"/>
  <c r="F76"/>
  <c r="H40"/>
  <c r="H72"/>
  <c r="U40" l="1"/>
  <c r="U51"/>
  <c r="U27"/>
  <c r="I76"/>
  <c r="L76"/>
  <c r="L108" s="1"/>
  <c r="J76"/>
  <c r="J108" s="1"/>
  <c r="K76"/>
  <c r="K108" s="1"/>
  <c r="U20"/>
  <c r="H76"/>
  <c r="H77" s="1"/>
  <c r="U76"/>
  <c r="U77" s="1"/>
  <c r="C114"/>
  <c r="H20"/>
  <c r="U31"/>
  <c r="I108" l="1"/>
  <c r="U78"/>
  <c r="U108" s="1"/>
  <c r="H78"/>
  <c r="H80" s="1"/>
  <c r="G108" s="1"/>
  <c r="H108" s="1"/>
  <c r="C113" l="1"/>
  <c r="C117"/>
</calcChain>
</file>

<file path=xl/sharedStrings.xml><?xml version="1.0" encoding="utf-8"?>
<sst xmlns="http://schemas.openxmlformats.org/spreadsheetml/2006/main" count="318" uniqueCount="239">
  <si>
    <t>ОТЧЁТ</t>
  </si>
  <si>
    <t xml:space="preserve">по предоставленным услугам и произведённым работам по содержанию и ремонту общего имущества собственников помещений в многоквартирном доме </t>
  </si>
  <si>
    <t>№ расц.</t>
  </si>
  <si>
    <t>Перечень работ</t>
  </si>
  <si>
    <t>Ед.изм</t>
  </si>
  <si>
    <t>Периодичность</t>
  </si>
  <si>
    <t>Объем работ разовый</t>
  </si>
  <si>
    <t xml:space="preserve">Объем работ на год </t>
  </si>
  <si>
    <t>Расценка (руб)</t>
  </si>
  <si>
    <t>Сумма в год (тыс.руб)</t>
  </si>
  <si>
    <t>А.Обязательные работы по содержанию общего имущества собственников помещений в многоквартирном доме</t>
  </si>
  <si>
    <t xml:space="preserve">1. Санитарное содержание </t>
  </si>
  <si>
    <t>ТЭР 51-001</t>
  </si>
  <si>
    <t>Влажное подметание лестничных клеток 1 этажа</t>
  </si>
  <si>
    <t>100м2</t>
  </si>
  <si>
    <t>3 раза в неделю 156 раз в год</t>
  </si>
  <si>
    <t>Влажное подметание лестничных клеток 2-5 этажа</t>
  </si>
  <si>
    <t>2 раза в неделю 104 раза в год</t>
  </si>
  <si>
    <t>ТЭР 51-009</t>
  </si>
  <si>
    <t>Мытье лестничных  площадок и маршей 1-5 этаж.</t>
  </si>
  <si>
    <t xml:space="preserve">2 раза в месяц   24 раза в год </t>
  </si>
  <si>
    <t xml:space="preserve"> ТЭР 51-031</t>
  </si>
  <si>
    <t>Мытье окон</t>
  </si>
  <si>
    <t>10м2</t>
  </si>
  <si>
    <t>ТЭР 51-025</t>
  </si>
  <si>
    <t>Влажная протирка перил</t>
  </si>
  <si>
    <t>ТЭР 51-023</t>
  </si>
  <si>
    <t>Влажная протирка почтовых ящиков</t>
  </si>
  <si>
    <t>ТЭР 51-018</t>
  </si>
  <si>
    <t xml:space="preserve">Влажная уборка стен </t>
  </si>
  <si>
    <t>100 м2</t>
  </si>
  <si>
    <t>ТЭР 51-019</t>
  </si>
  <si>
    <t>Влажная протирка дверей</t>
  </si>
  <si>
    <t>ТЭР 51-024</t>
  </si>
  <si>
    <t>Влажная протирка отопительных приборов</t>
  </si>
  <si>
    <t>итого:</t>
  </si>
  <si>
    <t>Летняя уборка</t>
  </si>
  <si>
    <t>ТЭР 53-020</t>
  </si>
  <si>
    <t xml:space="preserve"> - Уборка  газонов</t>
  </si>
  <si>
    <t>1000-м2</t>
  </si>
  <si>
    <t>2 раза в неделю 52 раза в сезон</t>
  </si>
  <si>
    <t>ТЭР 53-001</t>
  </si>
  <si>
    <t xml:space="preserve"> - Подметание территории с усовершенствованным покрытием асф:крыльца,контейнерн пл,проезд,тротуар</t>
  </si>
  <si>
    <t>1000м2</t>
  </si>
  <si>
    <t>3 раза в неделю 78 раз за сезон</t>
  </si>
  <si>
    <t>ТЭР 53-021</t>
  </si>
  <si>
    <t>Уборка газонов сильной загрязненности</t>
  </si>
  <si>
    <t>1 раз в год</t>
  </si>
  <si>
    <t>ТЭР 52-033</t>
  </si>
  <si>
    <t xml:space="preserve"> - Уборка контейнерной площадки (16 кв.м.)</t>
  </si>
  <si>
    <t>шт.</t>
  </si>
  <si>
    <t>155 раз</t>
  </si>
  <si>
    <t>пр.ТЭР 52-003</t>
  </si>
  <si>
    <t>Подборка мусора на контейнерной площадке</t>
  </si>
  <si>
    <t>м3</t>
  </si>
  <si>
    <t>ежедневно 365 раз</t>
  </si>
  <si>
    <t>по мере необходимости</t>
  </si>
  <si>
    <t>ТЭР 53-030</t>
  </si>
  <si>
    <t xml:space="preserve">Погрузка травы , ветвей </t>
  </si>
  <si>
    <t>Калькул.</t>
  </si>
  <si>
    <t>Вывоз смета,травы,ветвей и т.п.- м/ч</t>
  </si>
  <si>
    <t>м/час</t>
  </si>
  <si>
    <t>Вывоз ТБО и КГО</t>
  </si>
  <si>
    <t xml:space="preserve">кв. м </t>
  </si>
  <si>
    <t xml:space="preserve"> </t>
  </si>
  <si>
    <t>Зимняя уборка</t>
  </si>
  <si>
    <t>Механизированная уборка дворовой территории</t>
  </si>
  <si>
    <t>ТЭР 54-013</t>
  </si>
  <si>
    <t>1000 м2</t>
  </si>
  <si>
    <t>ТЭР 54-003</t>
  </si>
  <si>
    <t xml:space="preserve">Подметание снега с тротуара-,крылец,конт площадок </t>
  </si>
  <si>
    <t>155 раз за сезон</t>
  </si>
  <si>
    <t>ТЭР 54-022</t>
  </si>
  <si>
    <t>Очистка территории 1-го класса с усовершенствованным покрытием под скребок: ступеньки и площадки крылец , контейнерные площадки</t>
  </si>
  <si>
    <t>ТЭР 54-025</t>
  </si>
  <si>
    <t xml:space="preserve">Пескопосыпка территории : крыльца и тротуары </t>
  </si>
  <si>
    <t>45 раз за сезон</t>
  </si>
  <si>
    <t>Стоимость песка- 100м2-0,002м3</t>
  </si>
  <si>
    <t xml:space="preserve"> II. Плановые осмотры</t>
  </si>
  <si>
    <t>2 раза в год</t>
  </si>
  <si>
    <t>ТЭР 42-007</t>
  </si>
  <si>
    <t>Осмотр деревянных заполнений проемов</t>
  </si>
  <si>
    <t>ТЭР 42-009</t>
  </si>
  <si>
    <t>Осмотр внутренней и наружной отделки здания</t>
  </si>
  <si>
    <t>ТЭР 42-010</t>
  </si>
  <si>
    <t>Осмотр каменных конструкций</t>
  </si>
  <si>
    <t>ТЭР 42-011</t>
  </si>
  <si>
    <t xml:space="preserve">Осмотр СО </t>
  </si>
  <si>
    <t>1 раз в месяц (5 раз за сезон)</t>
  </si>
  <si>
    <t>ТЭР 42-013</t>
  </si>
  <si>
    <t>Осмотр электросетей, арматуры и электрооборудования на чердаках, подвалах и техэтажах</t>
  </si>
  <si>
    <t>ТЭР 42-012</t>
  </si>
  <si>
    <t>Осмотр электросетей,арматуры и электооборудования на лестничных клетках</t>
  </si>
  <si>
    <t>100 лест.</t>
  </si>
  <si>
    <t>ТЭР 42-014</t>
  </si>
  <si>
    <t>Осмотр вводных электрических щитков</t>
  </si>
  <si>
    <t>100 шт.</t>
  </si>
  <si>
    <t>шт</t>
  </si>
  <si>
    <t>2-1-1б</t>
  </si>
  <si>
    <t>Проверка вентканалов</t>
  </si>
  <si>
    <t>Кровля</t>
  </si>
  <si>
    <t xml:space="preserve">6 раз за сезон </t>
  </si>
  <si>
    <t xml:space="preserve">пр.ТЭР 54-041 </t>
  </si>
  <si>
    <t>Чердак, подвал, технический этаж</t>
  </si>
  <si>
    <t>ТЭР 51-034</t>
  </si>
  <si>
    <t>м2</t>
  </si>
  <si>
    <t>1м3</t>
  </si>
  <si>
    <t>Отопление</t>
  </si>
  <si>
    <t>ТЭР 31-065</t>
  </si>
  <si>
    <t>Ликвидация воздушных пробок в стояках</t>
  </si>
  <si>
    <t>ТЭР 31-064</t>
  </si>
  <si>
    <t>Ликвидация воздушных пробок в радиаторах</t>
  </si>
  <si>
    <t>ТЭР 31-052</t>
  </si>
  <si>
    <t xml:space="preserve">Промывка СО </t>
  </si>
  <si>
    <t>100м3</t>
  </si>
  <si>
    <t>ТЭР 31-043</t>
  </si>
  <si>
    <t>Спуск воды и наполнение системы без осмотра</t>
  </si>
  <si>
    <t>1000м3</t>
  </si>
  <si>
    <t>ТЭР 31-068</t>
  </si>
  <si>
    <t>Гидравлическое испытание СО</t>
  </si>
  <si>
    <t>100м</t>
  </si>
  <si>
    <t>ТЭР 31-045</t>
  </si>
  <si>
    <t>Проверка на прогрев отопительных приборов</t>
  </si>
  <si>
    <t>прибор</t>
  </si>
  <si>
    <t>Электроснабжение</t>
  </si>
  <si>
    <t>ТЭР 33-019</t>
  </si>
  <si>
    <t>Смена ламп накаливания</t>
  </si>
  <si>
    <t>10 шт</t>
  </si>
  <si>
    <t>ТЭР 33-025</t>
  </si>
  <si>
    <t>Смена выключателей</t>
  </si>
  <si>
    <t>ТЭР 33-049</t>
  </si>
  <si>
    <t>Вентканалы, дымоходы</t>
  </si>
  <si>
    <t>ГЭСН60-16</t>
  </si>
  <si>
    <t xml:space="preserve"> - прочистка каналов</t>
  </si>
  <si>
    <t>Аварийно-диспетчерское обслуживание</t>
  </si>
  <si>
    <t>1 м2</t>
  </si>
  <si>
    <t>Услуги по выпуску квитанций, сопровождение собраний, работа с должниками</t>
  </si>
  <si>
    <t>ИТОГО</t>
  </si>
  <si>
    <t xml:space="preserve">ВСЕГО </t>
  </si>
  <si>
    <t>Площадь жилых помещений и нежилых</t>
  </si>
  <si>
    <t xml:space="preserve">     </t>
  </si>
  <si>
    <t>Затраты на 1 кв.м  в месяц в рублях  по плану</t>
  </si>
  <si>
    <t>Текущий ремонт</t>
  </si>
  <si>
    <t>итого по текущему ремонту</t>
  </si>
  <si>
    <t>Размер платы по текущему ремонту, руб/м2 в мес.</t>
  </si>
  <si>
    <t xml:space="preserve">Затраты в рублях  по плану   </t>
  </si>
  <si>
    <t xml:space="preserve">1 раз в год     </t>
  </si>
  <si>
    <t xml:space="preserve"> Очистка края кровли от слежавшегося снега со сбрасыванием сосулек (10% от S кровли) и козырьки</t>
  </si>
  <si>
    <t>Вода для промывки СО</t>
  </si>
  <si>
    <t>Сброс воды после промывки СО в канализацию</t>
  </si>
  <si>
    <t>ТЭР 33-043</t>
  </si>
  <si>
    <t>Смена плавкой вставки в электрощите</t>
  </si>
  <si>
    <t>Генеральный директор ООО "Жилсервис"_______Ю.Л.Куканов</t>
  </si>
  <si>
    <t>Замена ламп ДРЛ</t>
  </si>
  <si>
    <t>Вывоз снега с придомовой территории</t>
  </si>
  <si>
    <t>калькуляция</t>
  </si>
  <si>
    <t>маш/час</t>
  </si>
  <si>
    <t>1 раз в месяц</t>
  </si>
  <si>
    <t>ТЭР 55-003</t>
  </si>
  <si>
    <t>Очистка урн от мусора</t>
  </si>
  <si>
    <t>Дератизация</t>
  </si>
  <si>
    <t>30 раз за сезон</t>
  </si>
  <si>
    <t>Сдвигание снега в дни снегопада (проезд)</t>
  </si>
  <si>
    <t>24 раза за сезон</t>
  </si>
  <si>
    <t>ТЭР 42-002</t>
  </si>
  <si>
    <t>Осмотр рулонной кровли</t>
  </si>
  <si>
    <t>Очистка  от мусора</t>
  </si>
  <si>
    <t>Ремонт групповых щитков на лестничной клетке без ремонта автоматов</t>
  </si>
  <si>
    <t>ТЭР 33-030</t>
  </si>
  <si>
    <t xml:space="preserve">Выполнение    январь  </t>
  </si>
  <si>
    <t>Выполнение   февраль</t>
  </si>
  <si>
    <t>Выполнение    апрель</t>
  </si>
  <si>
    <t>Выполнение    май</t>
  </si>
  <si>
    <t>Выполнение    июнь</t>
  </si>
  <si>
    <t>Выполнение    июль</t>
  </si>
  <si>
    <t>Выполнение    август</t>
  </si>
  <si>
    <t>Выполнение    сентябрь</t>
  </si>
  <si>
    <t>Выполнение    октябрь</t>
  </si>
  <si>
    <t>Выполнение    ноябрь</t>
  </si>
  <si>
    <t>Выполнение    декабрь</t>
  </si>
  <si>
    <t>Баланс выполненных работ на 01.01.2015 г. ( -долг за предприятием, +долг за населением)</t>
  </si>
  <si>
    <t>3 раза в год</t>
  </si>
  <si>
    <t>Работа автовышки</t>
  </si>
  <si>
    <t>Ремонт силового предохранительного шкафа (без стоимости материалов)</t>
  </si>
  <si>
    <t>ТЭР 33-032</t>
  </si>
  <si>
    <t>Внеплановый осмотр электросетей, арматуры и электрооборудования на лестничных клетках</t>
  </si>
  <si>
    <t>Смена отдельных участков наружной проводки</t>
  </si>
  <si>
    <t>м</t>
  </si>
  <si>
    <t>ТЭР 33-034</t>
  </si>
  <si>
    <t>Внеплановый осмотр деревянных заполнений проемов</t>
  </si>
  <si>
    <t>Смена дверных приборов /замки навесные)</t>
  </si>
  <si>
    <t>ТЭР 15-051</t>
  </si>
  <si>
    <t>Смена патронов</t>
  </si>
  <si>
    <t>ТЭР 33-028</t>
  </si>
  <si>
    <r>
      <t xml:space="preserve">по адресу:   </t>
    </r>
    <r>
      <rPr>
        <b/>
        <sz val="14"/>
        <color indexed="10"/>
        <rFont val="Arial"/>
        <family val="2"/>
        <charset val="204"/>
      </rPr>
      <t>ул. Космонавтов,10</t>
    </r>
    <r>
      <rPr>
        <b/>
        <sz val="14"/>
        <rFont val="Arial"/>
        <family val="2"/>
        <charset val="204"/>
      </rPr>
      <t xml:space="preserve">   (п. Ярега)  </t>
    </r>
    <r>
      <rPr>
        <b/>
        <sz val="14"/>
        <color indexed="10"/>
        <rFont val="Arial"/>
        <family val="2"/>
        <charset val="204"/>
      </rPr>
      <t>за  2015 год</t>
    </r>
  </si>
  <si>
    <t>5 этажей, 6 подъездов</t>
  </si>
  <si>
    <t>Стоимость (руб.)</t>
  </si>
  <si>
    <t>договор</t>
  </si>
  <si>
    <t>ТО внутридомового газ.оборудования</t>
  </si>
  <si>
    <t>10 м</t>
  </si>
  <si>
    <t>Устройство ходов</t>
  </si>
  <si>
    <t>100 м</t>
  </si>
  <si>
    <t>ТЭР 69-7-1</t>
  </si>
  <si>
    <t>место</t>
  </si>
  <si>
    <t>Устройство хомута</t>
  </si>
  <si>
    <t>прим.ТЭР 32-098</t>
  </si>
  <si>
    <t>Подключение и отключение сварочного аппарата</t>
  </si>
  <si>
    <t>ТЭР 33-060</t>
  </si>
  <si>
    <t>Смена арматуры - вентилей и клапанов обратных муфтовых диаметром до 20 мм</t>
  </si>
  <si>
    <t>1 шт</t>
  </si>
  <si>
    <t>ТЭР 32-027</t>
  </si>
  <si>
    <t>Смена внутренних трубопроводов из стальных труб диаметром до 50 мм (без стоимости креплений)</t>
  </si>
  <si>
    <t>1 м</t>
  </si>
  <si>
    <t>ТЭР 32-089</t>
  </si>
  <si>
    <t>Герметизация шва</t>
  </si>
  <si>
    <t>Q2-2-1-3-3</t>
  </si>
  <si>
    <t>Мелкий ремонт электропроводки</t>
  </si>
  <si>
    <t>2-2-1-2-7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</si>
  <si>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</si>
  <si>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</si>
  <si>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Выполне ние    март</t>
  </si>
  <si>
    <t>Ящик почтовый</t>
  </si>
  <si>
    <t>счет</t>
  </si>
  <si>
    <t>Начислено за содержание и текущий ремонт за 2015  г.</t>
  </si>
  <si>
    <t>Выполнено работ по содержанию за    2015 г.</t>
  </si>
  <si>
    <t>Выполнено работ по текущему ремонту за  2015 г.</t>
  </si>
  <si>
    <t>Фактически оплачено за 2015 г.</t>
  </si>
  <si>
    <t>Просроченная задолженность по Вашему дому по статье "Содержание и текущий ремонт МКД" на конец декабря 2015 г., составляет:</t>
  </si>
  <si>
    <t>Баланс выполненных работ на 01.01.2016 г. ( -долг за предприятием, +долг за населением)</t>
  </si>
  <si>
    <t>Смена светильника РКУ</t>
  </si>
  <si>
    <t>ТЭР 33-048</t>
  </si>
  <si>
    <t xml:space="preserve">Смена сгонов у трубопроводов диаметром до 20 мм </t>
  </si>
  <si>
    <t>1 сгон</t>
  </si>
  <si>
    <t>ТЭР 31-009</t>
  </si>
  <si>
    <t>Смена дверных приборов - пружины</t>
  </si>
  <si>
    <t>ТЭР 15-018</t>
  </si>
  <si>
    <t>Ремонт отдельными местами рулонного покрытия, промазка битумными составами отдельными местами рулонного покрытия, замена 1 слоя</t>
  </si>
  <si>
    <t>10 м2</t>
  </si>
  <si>
    <t>ТЭР 17-011</t>
  </si>
</sst>
</file>

<file path=xl/styles.xml><?xml version="1.0" encoding="utf-8"?>
<styleSheet xmlns="http://schemas.openxmlformats.org/spreadsheetml/2006/main">
  <numFmts count="1">
    <numFmt numFmtId="164" formatCode="0.000"/>
  </numFmts>
  <fonts count="19"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0"/>
      <color indexed="18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indexed="10"/>
      <name val="Arial"/>
      <family val="2"/>
      <charset val="204"/>
    </font>
    <font>
      <sz val="11"/>
      <name val="Arial"/>
      <family val="2"/>
      <charset val="204"/>
    </font>
    <font>
      <sz val="10"/>
      <color rgb="FFFF000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sz val="14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rgb="FFFF0000"/>
      <name val="Arial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26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26"/>
      </patternFill>
    </fill>
    <fill>
      <patternFill patternType="solid">
        <fgColor rgb="FFFFFF00"/>
        <bgColor indexed="41"/>
      </patternFill>
    </fill>
    <fill>
      <patternFill patternType="solid">
        <fgColor rgb="FFFFFF00"/>
        <bgColor indexed="3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0" fillId="3" borderId="0" xfId="0" applyFill="1"/>
    <xf numFmtId="4" fontId="0" fillId="0" borderId="0" xfId="0" applyNumberFormat="1"/>
    <xf numFmtId="4" fontId="6" fillId="0" borderId="0" xfId="0" applyNumberFormat="1" applyFont="1"/>
    <xf numFmtId="0" fontId="6" fillId="0" borderId="0" xfId="0" applyFont="1"/>
    <xf numFmtId="164" fontId="0" fillId="0" borderId="0" xfId="0" applyNumberFormat="1"/>
    <xf numFmtId="2" fontId="0" fillId="0" borderId="0" xfId="0" applyNumberFormat="1"/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7" borderId="5" xfId="0" applyFont="1" applyFill="1" applyBorder="1" applyAlignment="1">
      <alignment horizontal="left" vertical="center" wrapText="1"/>
    </xf>
    <xf numFmtId="0" fontId="1" fillId="7" borderId="3" xfId="0" applyFont="1" applyFill="1" applyBorder="1" applyAlignment="1">
      <alignment horizontal="left" vertical="center" wrapText="1"/>
    </xf>
    <xf numFmtId="0" fontId="5" fillId="7" borderId="3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0" fillId="2" borderId="0" xfId="0" applyFill="1"/>
    <xf numFmtId="0" fontId="3" fillId="2" borderId="1" xfId="0" applyFont="1" applyFill="1" applyBorder="1" applyAlignment="1">
      <alignment horizontal="left" vertical="center" wrapText="1"/>
    </xf>
    <xf numFmtId="0" fontId="0" fillId="5" borderId="0" xfId="0" applyFill="1"/>
    <xf numFmtId="0" fontId="7" fillId="0" borderId="3" xfId="0" applyFont="1" applyBorder="1" applyAlignment="1">
      <alignment horizontal="centerContinuous" vertical="center" wrapText="1"/>
    </xf>
    <xf numFmtId="0" fontId="8" fillId="0" borderId="3" xfId="0" applyFont="1" applyBorder="1" applyAlignment="1">
      <alignment horizontal="centerContinuous" vertical="center" wrapText="1"/>
    </xf>
    <xf numFmtId="0" fontId="1" fillId="4" borderId="5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1" fillId="12" borderId="3" xfId="0" applyNumberFormat="1" applyFont="1" applyFill="1" applyBorder="1" applyAlignment="1" applyProtection="1">
      <alignment horizontal="center" vertical="center"/>
    </xf>
    <xf numFmtId="0" fontId="1" fillId="12" borderId="3" xfId="0" applyNumberFormat="1" applyFont="1" applyFill="1" applyBorder="1" applyAlignment="1" applyProtection="1">
      <alignment horizontal="left" vertical="center" wrapText="1"/>
    </xf>
    <xf numFmtId="0" fontId="1" fillId="12" borderId="3" xfId="0" applyNumberFormat="1" applyFont="1" applyFill="1" applyBorder="1" applyAlignment="1" applyProtection="1">
      <alignment horizontal="center" vertical="center" wrapText="1"/>
    </xf>
    <xf numFmtId="0" fontId="1" fillId="4" borderId="3" xfId="0" applyNumberFormat="1" applyFont="1" applyFill="1" applyBorder="1" applyAlignment="1" applyProtection="1">
      <alignment horizontal="center" vertical="center"/>
    </xf>
    <xf numFmtId="0" fontId="1" fillId="4" borderId="3" xfId="0" applyNumberFormat="1" applyFont="1" applyFill="1" applyBorder="1" applyAlignment="1" applyProtection="1">
      <alignment horizontal="left" vertical="center" wrapText="1"/>
    </xf>
    <xf numFmtId="0" fontId="1" fillId="4" borderId="3" xfId="0" applyNumberFormat="1" applyFont="1" applyFill="1" applyBorder="1" applyAlignment="1" applyProtection="1">
      <alignment horizontal="center" vertical="center" wrapText="1"/>
    </xf>
    <xf numFmtId="0" fontId="12" fillId="8" borderId="3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3" fontId="1" fillId="8" borderId="7" xfId="0" applyNumberFormat="1" applyFont="1" applyFill="1" applyBorder="1" applyAlignment="1">
      <alignment horizontal="center" vertical="center"/>
    </xf>
    <xf numFmtId="164" fontId="1" fillId="4" borderId="2" xfId="0" applyNumberFormat="1" applyFont="1" applyFill="1" applyBorder="1" applyAlignment="1">
      <alignment horizontal="center" vertical="center"/>
    </xf>
    <xf numFmtId="0" fontId="1" fillId="8" borderId="3" xfId="0" applyFont="1" applyFill="1" applyBorder="1" applyAlignment="1">
      <alignment vertical="center"/>
    </xf>
    <xf numFmtId="4" fontId="1" fillId="8" borderId="7" xfId="0" applyNumberFormat="1" applyFont="1" applyFill="1" applyBorder="1" applyAlignment="1">
      <alignment vertical="center"/>
    </xf>
    <xf numFmtId="0" fontId="1" fillId="8" borderId="3" xfId="0" applyFont="1" applyFill="1" applyBorder="1"/>
    <xf numFmtId="4" fontId="1" fillId="4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/>
    </xf>
    <xf numFmtId="4" fontId="1" fillId="8" borderId="3" xfId="0" applyNumberFormat="1" applyFont="1" applyFill="1" applyBorder="1" applyAlignment="1">
      <alignment horizontal="center" vertical="center"/>
    </xf>
    <xf numFmtId="4" fontId="1" fillId="8" borderId="7" xfId="0" applyNumberFormat="1" applyFont="1" applyFill="1" applyBorder="1" applyAlignment="1">
      <alignment horizontal="center" vertical="center"/>
    </xf>
    <xf numFmtId="4" fontId="1" fillId="4" borderId="4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4" fontId="3" fillId="11" borderId="2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/>
    </xf>
    <xf numFmtId="4" fontId="3" fillId="2" borderId="7" xfId="0" applyNumberFormat="1" applyFont="1" applyFill="1" applyBorder="1" applyAlignment="1">
      <alignment horizontal="center" vertical="center"/>
    </xf>
    <xf numFmtId="4" fontId="13" fillId="4" borderId="1" xfId="0" applyNumberFormat="1" applyFont="1" applyFill="1" applyBorder="1" applyAlignment="1">
      <alignment horizontal="center" vertical="center" wrapText="1"/>
    </xf>
    <xf numFmtId="4" fontId="1" fillId="7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/>
    </xf>
    <xf numFmtId="4" fontId="3" fillId="10" borderId="2" xfId="0" applyNumberFormat="1" applyFont="1" applyFill="1" applyBorder="1" applyAlignment="1">
      <alignment horizontal="center" vertical="center"/>
    </xf>
    <xf numFmtId="4" fontId="1" fillId="7" borderId="1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4" fontId="1" fillId="9" borderId="3" xfId="0" applyNumberFormat="1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horizontal="center" vertical="center"/>
    </xf>
    <xf numFmtId="4" fontId="1" fillId="7" borderId="3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center" vertical="center" wrapText="1"/>
    </xf>
    <xf numFmtId="4" fontId="3" fillId="5" borderId="1" xfId="0" applyNumberFormat="1" applyFont="1" applyFill="1" applyBorder="1" applyAlignment="1">
      <alignment horizontal="center" vertical="center"/>
    </xf>
    <xf numFmtId="4" fontId="3" fillId="5" borderId="3" xfId="0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4" fontId="1" fillId="4" borderId="5" xfId="0" applyNumberFormat="1" applyFont="1" applyFill="1" applyBorder="1" applyAlignment="1">
      <alignment horizontal="center" vertical="center" wrapText="1"/>
    </xf>
    <xf numFmtId="4" fontId="1" fillId="4" borderId="6" xfId="0" applyNumberFormat="1" applyFont="1" applyFill="1" applyBorder="1" applyAlignment="1">
      <alignment horizontal="center" vertical="center"/>
    </xf>
    <xf numFmtId="4" fontId="1" fillId="4" borderId="14" xfId="0" applyNumberFormat="1" applyFont="1" applyFill="1" applyBorder="1" applyAlignment="1">
      <alignment horizontal="center" vertical="center"/>
    </xf>
    <xf numFmtId="4" fontId="1" fillId="4" borderId="5" xfId="0" applyNumberFormat="1" applyFont="1" applyFill="1" applyBorder="1" applyAlignment="1">
      <alignment horizontal="center" vertical="center"/>
    </xf>
    <xf numFmtId="4" fontId="1" fillId="4" borderId="0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horizontal="center" vertical="center" wrapText="1"/>
    </xf>
    <xf numFmtId="4" fontId="1" fillId="4" borderId="7" xfId="0" applyNumberFormat="1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0" borderId="0" xfId="0" applyFont="1"/>
    <xf numFmtId="0" fontId="3" fillId="4" borderId="3" xfId="0" applyFont="1" applyFill="1" applyBorder="1" applyAlignment="1">
      <alignment horizontal="left" vertical="center"/>
    </xf>
    <xf numFmtId="0" fontId="1" fillId="7" borderId="3" xfId="0" applyFont="1" applyFill="1" applyBorder="1" applyAlignment="1">
      <alignment horizontal="left" vertical="center"/>
    </xf>
    <xf numFmtId="4" fontId="1" fillId="7" borderId="3" xfId="0" applyNumberFormat="1" applyFont="1" applyFill="1" applyBorder="1" applyAlignment="1">
      <alignment horizontal="center" vertical="center" wrapText="1"/>
    </xf>
    <xf numFmtId="0" fontId="1" fillId="5" borderId="0" xfId="0" applyFont="1" applyFill="1"/>
    <xf numFmtId="0" fontId="3" fillId="5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left" vertical="center" wrapText="1"/>
    </xf>
    <xf numFmtId="4" fontId="3" fillId="5" borderId="3" xfId="0" applyNumberFormat="1" applyFont="1" applyFill="1" applyBorder="1" applyAlignment="1">
      <alignment horizontal="center" vertical="center" wrapText="1"/>
    </xf>
    <xf numFmtId="4" fontId="3" fillId="10" borderId="7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1" fillId="6" borderId="3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left" vertical="center" wrapText="1"/>
    </xf>
    <xf numFmtId="4" fontId="1" fillId="6" borderId="3" xfId="0" applyNumberFormat="1" applyFont="1" applyFill="1" applyBorder="1" applyAlignment="1">
      <alignment horizontal="center" vertical="center"/>
    </xf>
    <xf numFmtId="4" fontId="3" fillId="6" borderId="3" xfId="0" applyNumberFormat="1" applyFont="1" applyFill="1" applyBorder="1" applyAlignment="1">
      <alignment horizontal="center" vertical="center"/>
    </xf>
    <xf numFmtId="1" fontId="1" fillId="4" borderId="3" xfId="0" applyNumberFormat="1" applyFont="1" applyFill="1" applyBorder="1" applyAlignment="1">
      <alignment horizontal="left" vertical="center" wrapText="1"/>
    </xf>
    <xf numFmtId="4" fontId="3" fillId="4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</xf>
    <xf numFmtId="2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1" fillId="4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4" fontId="1" fillId="2" borderId="3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 wrapText="1"/>
    </xf>
    <xf numFmtId="4" fontId="14" fillId="2" borderId="6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 applyProtection="1">
      <alignment horizontal="center" vertical="center" wrapText="1"/>
    </xf>
    <xf numFmtId="4" fontId="14" fillId="4" borderId="3" xfId="0" applyNumberFormat="1" applyFont="1" applyFill="1" applyBorder="1" applyAlignment="1">
      <alignment horizontal="center" vertical="center"/>
    </xf>
    <xf numFmtId="4" fontId="1" fillId="8" borderId="1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4" fontId="3" fillId="4" borderId="7" xfId="0" applyNumberFormat="1" applyFont="1" applyFill="1" applyBorder="1" applyAlignment="1">
      <alignment horizontal="center" vertical="center"/>
    </xf>
    <xf numFmtId="4" fontId="14" fillId="4" borderId="7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/>
    </xf>
    <xf numFmtId="4" fontId="1" fillId="2" borderId="9" xfId="0" applyNumberFormat="1" applyFont="1" applyFill="1" applyBorder="1" applyAlignment="1">
      <alignment horizontal="center" vertical="center" wrapText="1"/>
    </xf>
    <xf numFmtId="4" fontId="1" fillId="2" borderId="8" xfId="0" applyNumberFormat="1" applyFont="1" applyFill="1" applyBorder="1" applyAlignment="1">
      <alignment horizontal="center" vertical="center"/>
    </xf>
    <xf numFmtId="4" fontId="14" fillId="2" borderId="8" xfId="0" applyNumberFormat="1" applyFont="1" applyFill="1" applyBorder="1" applyAlignment="1">
      <alignment horizontal="center" vertical="center"/>
    </xf>
    <xf numFmtId="4" fontId="3" fillId="2" borderId="10" xfId="0" applyNumberFormat="1" applyFont="1" applyFill="1" applyBorder="1" applyAlignment="1">
      <alignment horizontal="center" vertical="center"/>
    </xf>
    <xf numFmtId="4" fontId="1" fillId="0" borderId="0" xfId="0" applyNumberFormat="1" applyFont="1"/>
    <xf numFmtId="4" fontId="15" fillId="0" borderId="0" xfId="0" applyNumberFormat="1" applyFont="1"/>
    <xf numFmtId="0" fontId="15" fillId="0" borderId="0" xfId="0" applyFont="1"/>
    <xf numFmtId="0" fontId="7" fillId="0" borderId="3" xfId="0" applyFont="1" applyBorder="1" applyAlignment="1">
      <alignment horizontal="center" wrapText="1"/>
    </xf>
    <xf numFmtId="0" fontId="16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4" fontId="15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17" fillId="12" borderId="3" xfId="0" applyFont="1" applyFill="1" applyBorder="1" applyAlignment="1">
      <alignment horizontal="center" vertical="center" wrapText="1"/>
    </xf>
    <xf numFmtId="0" fontId="1" fillId="12" borderId="3" xfId="0" applyNumberFormat="1" applyFont="1" applyFill="1" applyBorder="1" applyAlignment="1" applyProtection="1">
      <alignment horizontal="left" vertical="center"/>
    </xf>
    <xf numFmtId="0" fontId="7" fillId="0" borderId="13" xfId="0" applyFont="1" applyBorder="1" applyAlignment="1">
      <alignment horizontal="center" vertical="center" wrapText="1"/>
    </xf>
    <xf numFmtId="4" fontId="3" fillId="10" borderId="3" xfId="0" applyNumberFormat="1" applyFont="1" applyFill="1" applyBorder="1" applyAlignment="1">
      <alignment horizontal="center" vertical="center"/>
    </xf>
    <xf numFmtId="4" fontId="14" fillId="2" borderId="3" xfId="0" applyNumberFormat="1" applyFont="1" applyFill="1" applyBorder="1" applyAlignment="1">
      <alignment horizontal="center" vertical="center"/>
    </xf>
    <xf numFmtId="4" fontId="14" fillId="8" borderId="3" xfId="0" applyNumberFormat="1" applyFont="1" applyFill="1" applyBorder="1" applyAlignment="1">
      <alignment horizontal="center" vertical="center"/>
    </xf>
    <xf numFmtId="4" fontId="3" fillId="8" borderId="3" xfId="0" applyNumberFormat="1" applyFont="1" applyFill="1" applyBorder="1" applyAlignment="1">
      <alignment horizontal="center" vertical="center"/>
    </xf>
    <xf numFmtId="0" fontId="18" fillId="0" borderId="0" xfId="0" applyFont="1" applyAlignment="1"/>
    <xf numFmtId="0" fontId="1" fillId="4" borderId="15" xfId="0" applyFont="1" applyFill="1" applyBorder="1" applyAlignment="1">
      <alignment horizontal="center" vertical="center"/>
    </xf>
    <xf numFmtId="4" fontId="1" fillId="4" borderId="0" xfId="0" applyNumberFormat="1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" fillId="4" borderId="3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center"/>
    </xf>
    <xf numFmtId="0" fontId="10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7" fillId="0" borderId="11" xfId="0" applyNumberFormat="1" applyFont="1" applyBorder="1" applyAlignment="1">
      <alignment horizontal="center" vertical="center"/>
    </xf>
    <xf numFmtId="2" fontId="7" fillId="0" borderId="12" xfId="0" applyNumberFormat="1" applyFont="1" applyBorder="1" applyAlignment="1">
      <alignment horizontal="center" vertical="center"/>
    </xf>
    <xf numFmtId="4" fontId="7" fillId="0" borderId="7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2" fontId="8" fillId="0" borderId="11" xfId="0" applyNumberFormat="1" applyFont="1" applyBorder="1" applyAlignment="1">
      <alignment horizontal="center" vertical="center"/>
    </xf>
    <xf numFmtId="2" fontId="8" fillId="0" borderId="1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U121"/>
  <sheetViews>
    <sheetView tabSelected="1" view="pageBreakPreview" zoomScaleNormal="75" zoomScaleSheetLayoutView="100" workbookViewId="0">
      <pane ySplit="7" topLeftCell="A114" activePane="bottomLeft" state="frozen"/>
      <selection activeCell="B1" sqref="B1"/>
      <selection pane="bottomLeft" activeCell="T60" sqref="T60"/>
    </sheetView>
  </sheetViews>
  <sheetFormatPr defaultRowHeight="12.75"/>
  <cols>
    <col min="1" max="1" width="12.42578125" customWidth="1"/>
    <col min="2" max="2" width="44.28515625" customWidth="1"/>
    <col min="3" max="3" width="9.28515625" customWidth="1"/>
    <col min="4" max="4" width="23" customWidth="1"/>
    <col min="5" max="5" width="10.28515625" customWidth="1"/>
    <col min="6" max="6" width="10.42578125" customWidth="1"/>
    <col min="7" max="7" width="10.7109375" customWidth="1"/>
    <col min="8" max="8" width="11.7109375" customWidth="1"/>
    <col min="9" max="9" width="10.42578125" customWidth="1"/>
    <col min="10" max="10" width="10.85546875" customWidth="1"/>
    <col min="11" max="11" width="11.28515625" customWidth="1"/>
    <col min="12" max="12" width="10.28515625" customWidth="1"/>
    <col min="13" max="13" width="10.5703125" customWidth="1"/>
    <col min="14" max="14" width="10.85546875" customWidth="1"/>
    <col min="15" max="15" width="10.140625" customWidth="1"/>
    <col min="16" max="16" width="9.85546875" customWidth="1"/>
    <col min="17" max="17" width="10.42578125" customWidth="1"/>
    <col min="18" max="18" width="10" customWidth="1"/>
    <col min="19" max="19" width="10.42578125" customWidth="1"/>
    <col min="20" max="20" width="9.85546875" customWidth="1"/>
    <col min="21" max="21" width="13" customWidth="1"/>
  </cols>
  <sheetData>
    <row r="1" spans="1:21" ht="14.25" customHeight="1">
      <c r="A1" s="10"/>
    </row>
    <row r="3" spans="1:21" ht="18">
      <c r="A3" s="139"/>
      <c r="B3" s="144" t="s">
        <v>0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79"/>
      <c r="N3" s="79"/>
      <c r="O3" s="79"/>
      <c r="P3" s="79"/>
      <c r="Q3" s="79"/>
      <c r="R3" s="79"/>
      <c r="S3" s="79"/>
      <c r="T3" s="79"/>
      <c r="U3" s="79"/>
    </row>
    <row r="4" spans="1:21" ht="33.75" customHeight="1">
      <c r="A4" s="79"/>
      <c r="B4" s="145" t="s">
        <v>1</v>
      </c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79"/>
      <c r="N4" s="79"/>
      <c r="O4" s="79"/>
      <c r="P4" s="79"/>
      <c r="Q4" s="79"/>
      <c r="R4" s="79"/>
      <c r="S4" s="79"/>
      <c r="T4" s="79"/>
      <c r="U4" s="79"/>
    </row>
    <row r="5" spans="1:21" ht="18">
      <c r="A5" s="79"/>
      <c r="B5" s="145" t="s">
        <v>194</v>
      </c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79"/>
      <c r="N5" s="79"/>
      <c r="O5" s="79"/>
      <c r="P5" s="79"/>
      <c r="Q5" s="79"/>
      <c r="R5" s="79"/>
      <c r="S5" s="79"/>
      <c r="T5" s="79"/>
      <c r="U5" s="79"/>
    </row>
    <row r="6" spans="1:21" ht="14.25">
      <c r="A6" s="79"/>
      <c r="B6" s="146" t="s">
        <v>195</v>
      </c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79"/>
      <c r="N6" s="79"/>
      <c r="O6" s="79"/>
      <c r="P6" s="79"/>
      <c r="Q6" s="79"/>
      <c r="R6" s="79"/>
      <c r="S6" s="79"/>
      <c r="T6" s="79"/>
      <c r="U6" s="79"/>
    </row>
    <row r="7" spans="1:21" ht="47.25" customHeight="1">
      <c r="A7" s="33" t="s">
        <v>2</v>
      </c>
      <c r="B7" s="33" t="s">
        <v>3</v>
      </c>
      <c r="C7" s="33" t="s">
        <v>4</v>
      </c>
      <c r="D7" s="33" t="s">
        <v>5</v>
      </c>
      <c r="E7" s="33" t="s">
        <v>6</v>
      </c>
      <c r="F7" s="33" t="s">
        <v>7</v>
      </c>
      <c r="G7" s="33" t="s">
        <v>8</v>
      </c>
      <c r="H7" s="34" t="s">
        <v>9</v>
      </c>
      <c r="I7" s="32" t="s">
        <v>169</v>
      </c>
      <c r="J7" s="32" t="s">
        <v>170</v>
      </c>
      <c r="K7" s="32" t="s">
        <v>220</v>
      </c>
      <c r="L7" s="32" t="s">
        <v>171</v>
      </c>
      <c r="M7" s="32" t="s">
        <v>172</v>
      </c>
      <c r="N7" s="32" t="s">
        <v>173</v>
      </c>
      <c r="O7" s="32" t="s">
        <v>174</v>
      </c>
      <c r="P7" s="32" t="s">
        <v>175</v>
      </c>
      <c r="Q7" s="32" t="s">
        <v>176</v>
      </c>
      <c r="R7" s="32" t="s">
        <v>177</v>
      </c>
      <c r="S7" s="32" t="s">
        <v>178</v>
      </c>
      <c r="T7" s="32" t="s">
        <v>179</v>
      </c>
      <c r="U7" s="32" t="s">
        <v>196</v>
      </c>
    </row>
    <row r="8" spans="1:21">
      <c r="A8" s="35">
        <v>1</v>
      </c>
      <c r="B8" s="7">
        <v>2</v>
      </c>
      <c r="C8" s="35">
        <v>3</v>
      </c>
      <c r="D8" s="7">
        <v>4</v>
      </c>
      <c r="E8" s="7">
        <v>5</v>
      </c>
      <c r="F8" s="35">
        <v>6</v>
      </c>
      <c r="G8" s="35">
        <v>7</v>
      </c>
      <c r="H8" s="36">
        <v>8</v>
      </c>
      <c r="I8" s="37">
        <v>10</v>
      </c>
      <c r="J8" s="37">
        <v>11</v>
      </c>
      <c r="K8" s="37">
        <v>12</v>
      </c>
      <c r="L8" s="37">
        <v>13</v>
      </c>
      <c r="M8" s="38">
        <v>14</v>
      </c>
      <c r="N8" s="37">
        <v>15</v>
      </c>
      <c r="O8" s="37">
        <v>16</v>
      </c>
      <c r="P8" s="37">
        <v>17</v>
      </c>
      <c r="Q8" s="37">
        <v>18</v>
      </c>
      <c r="R8" s="37">
        <v>19</v>
      </c>
      <c r="S8" s="37">
        <v>20</v>
      </c>
      <c r="T8" s="37">
        <v>21</v>
      </c>
      <c r="U8" s="37">
        <v>22</v>
      </c>
    </row>
    <row r="9" spans="1:21" ht="38.25">
      <c r="A9" s="35"/>
      <c r="B9" s="9" t="s">
        <v>10</v>
      </c>
      <c r="C9" s="35"/>
      <c r="D9" s="11"/>
      <c r="E9" s="11"/>
      <c r="F9" s="35"/>
      <c r="G9" s="35"/>
      <c r="H9" s="39"/>
      <c r="I9" s="40"/>
      <c r="J9" s="40"/>
      <c r="K9" s="40"/>
      <c r="L9" s="40"/>
      <c r="M9" s="41"/>
      <c r="N9" s="42"/>
      <c r="O9" s="42"/>
      <c r="P9" s="42"/>
      <c r="Q9" s="42"/>
      <c r="R9" s="42"/>
      <c r="S9" s="42"/>
      <c r="T9" s="42"/>
      <c r="U9" s="42"/>
    </row>
    <row r="10" spans="1:21">
      <c r="A10" s="35"/>
      <c r="B10" s="9" t="s">
        <v>11</v>
      </c>
      <c r="C10" s="35"/>
      <c r="D10" s="11"/>
      <c r="E10" s="11"/>
      <c r="F10" s="35"/>
      <c r="G10" s="35"/>
      <c r="H10" s="39"/>
      <c r="I10" s="40"/>
      <c r="J10" s="40"/>
      <c r="K10" s="40"/>
      <c r="L10" s="40"/>
      <c r="M10" s="41"/>
      <c r="N10" s="42"/>
      <c r="O10" s="42"/>
      <c r="P10" s="42"/>
      <c r="Q10" s="42"/>
      <c r="R10" s="42"/>
      <c r="S10" s="42"/>
      <c r="T10" s="42"/>
      <c r="U10" s="42"/>
    </row>
    <row r="11" spans="1:21" ht="25.5">
      <c r="A11" s="35" t="s">
        <v>12</v>
      </c>
      <c r="B11" s="11" t="s">
        <v>13</v>
      </c>
      <c r="C11" s="35" t="s">
        <v>14</v>
      </c>
      <c r="D11" s="11" t="s">
        <v>15</v>
      </c>
      <c r="E11" s="43">
        <v>90.18</v>
      </c>
      <c r="F11" s="44">
        <f>SUM(E11*156/100)</f>
        <v>140.6808</v>
      </c>
      <c r="G11" s="44">
        <v>199.46</v>
      </c>
      <c r="H11" s="45">
        <f t="shared" ref="H11:H19" si="0">SUM(F11*G11/1000)</f>
        <v>28.060192368000003</v>
      </c>
      <c r="I11" s="46">
        <f>F11/12*G11</f>
        <v>2338.3493640000002</v>
      </c>
      <c r="J11" s="46">
        <f>F11/12*G11</f>
        <v>2338.3493640000002</v>
      </c>
      <c r="K11" s="46">
        <f>F11/12*G11</f>
        <v>2338.3493640000002</v>
      </c>
      <c r="L11" s="46">
        <f>F11/12*G11</f>
        <v>2338.3493640000002</v>
      </c>
      <c r="M11" s="46">
        <f>F11/12*G11</f>
        <v>2338.3493640000002</v>
      </c>
      <c r="N11" s="46">
        <f>F11/12*G11</f>
        <v>2338.3493640000002</v>
      </c>
      <c r="O11" s="46">
        <f>F11/12*G11</f>
        <v>2338.3493640000002</v>
      </c>
      <c r="P11" s="46">
        <f>F11/12*G11</f>
        <v>2338.3493640000002</v>
      </c>
      <c r="Q11" s="46">
        <f>F11/12*G11</f>
        <v>2338.3493640000002</v>
      </c>
      <c r="R11" s="46">
        <f>F11/12*G11</f>
        <v>2338.3493640000002</v>
      </c>
      <c r="S11" s="46">
        <f>F11/12*G11</f>
        <v>2338.3493640000002</v>
      </c>
      <c r="T11" s="46">
        <f>F11/12*G11</f>
        <v>2338.3493640000002</v>
      </c>
      <c r="U11" s="46">
        <f t="shared" ref="U11:U19" si="1">SUM(I11:T11)</f>
        <v>28060.192368000007</v>
      </c>
    </row>
    <row r="12" spans="1:21" ht="25.5">
      <c r="A12" s="35" t="s">
        <v>12</v>
      </c>
      <c r="B12" s="11" t="s">
        <v>16</v>
      </c>
      <c r="C12" s="35" t="s">
        <v>14</v>
      </c>
      <c r="D12" s="11" t="s">
        <v>17</v>
      </c>
      <c r="E12" s="43">
        <v>360.72</v>
      </c>
      <c r="F12" s="44">
        <f>SUM(E12*104/100)</f>
        <v>375.14880000000005</v>
      </c>
      <c r="G12" s="44">
        <v>199.46</v>
      </c>
      <c r="H12" s="45">
        <f t="shared" si="0"/>
        <v>74.827179648000026</v>
      </c>
      <c r="I12" s="46">
        <f>F12/12*G12</f>
        <v>6235.598304000001</v>
      </c>
      <c r="J12" s="46">
        <f>F12/12*G12</f>
        <v>6235.598304000001</v>
      </c>
      <c r="K12" s="46">
        <f>F12/12*G12</f>
        <v>6235.598304000001</v>
      </c>
      <c r="L12" s="46">
        <f>F12/12*G12</f>
        <v>6235.598304000001</v>
      </c>
      <c r="M12" s="46">
        <f>F12/12*G12</f>
        <v>6235.598304000001</v>
      </c>
      <c r="N12" s="46">
        <f>F12/12*G12</f>
        <v>6235.598304000001</v>
      </c>
      <c r="O12" s="46">
        <f>F12/12*G12</f>
        <v>6235.598304000001</v>
      </c>
      <c r="P12" s="46">
        <f>F12/12*G12</f>
        <v>6235.598304000001</v>
      </c>
      <c r="Q12" s="46">
        <f>F12/12*G12</f>
        <v>6235.598304000001</v>
      </c>
      <c r="R12" s="46">
        <f>F12/12*G12</f>
        <v>6235.598304000001</v>
      </c>
      <c r="S12" s="46">
        <f>F12/12*G12</f>
        <v>6235.598304000001</v>
      </c>
      <c r="T12" s="46">
        <f>F12/12*G12</f>
        <v>6235.598304000001</v>
      </c>
      <c r="U12" s="46">
        <f t="shared" si="1"/>
        <v>74827.179648000005</v>
      </c>
    </row>
    <row r="13" spans="1:21" ht="25.5">
      <c r="A13" s="35" t="s">
        <v>18</v>
      </c>
      <c r="B13" s="11" t="s">
        <v>19</v>
      </c>
      <c r="C13" s="35" t="s">
        <v>14</v>
      </c>
      <c r="D13" s="11" t="s">
        <v>20</v>
      </c>
      <c r="E13" s="43">
        <f>SUM(E11+E12)</f>
        <v>450.90000000000003</v>
      </c>
      <c r="F13" s="44">
        <f>SUM(E13*24/100)</f>
        <v>108.21600000000001</v>
      </c>
      <c r="G13" s="44">
        <v>573.83000000000004</v>
      </c>
      <c r="H13" s="45">
        <f t="shared" si="0"/>
        <v>62.097587280000006</v>
      </c>
      <c r="I13" s="46">
        <f>F13/12*G13</f>
        <v>5174.7989400000006</v>
      </c>
      <c r="J13" s="46">
        <f>F13/12*G13</f>
        <v>5174.7989400000006</v>
      </c>
      <c r="K13" s="46">
        <f>F13/12*G13</f>
        <v>5174.7989400000006</v>
      </c>
      <c r="L13" s="46">
        <f>F13/12*G13</f>
        <v>5174.7989400000006</v>
      </c>
      <c r="M13" s="46">
        <f>F13/12*G13</f>
        <v>5174.7989400000006</v>
      </c>
      <c r="N13" s="46">
        <f>F13/12*G13</f>
        <v>5174.7989400000006</v>
      </c>
      <c r="O13" s="46">
        <f>F13/12*G13</f>
        <v>5174.7989400000006</v>
      </c>
      <c r="P13" s="46">
        <f>F13/12*G13</f>
        <v>5174.7989400000006</v>
      </c>
      <c r="Q13" s="46">
        <f>F13/12*G13</f>
        <v>5174.7989400000006</v>
      </c>
      <c r="R13" s="46">
        <f>F13/12*G13</f>
        <v>5174.7989400000006</v>
      </c>
      <c r="S13" s="46">
        <f>F13/12*G13</f>
        <v>5174.7989400000006</v>
      </c>
      <c r="T13" s="46">
        <f>F13/12*G13</f>
        <v>5174.7989400000006</v>
      </c>
      <c r="U13" s="46">
        <f t="shared" si="1"/>
        <v>62097.587280000007</v>
      </c>
    </row>
    <row r="14" spans="1:21">
      <c r="A14" s="35" t="s">
        <v>21</v>
      </c>
      <c r="B14" s="11" t="s">
        <v>22</v>
      </c>
      <c r="C14" s="35" t="s">
        <v>23</v>
      </c>
      <c r="D14" s="11" t="s">
        <v>146</v>
      </c>
      <c r="E14" s="43">
        <v>14.4</v>
      </c>
      <c r="F14" s="44">
        <f>SUM(E14/10)</f>
        <v>1.44</v>
      </c>
      <c r="G14" s="44">
        <v>193.55</v>
      </c>
      <c r="H14" s="45">
        <f t="shared" si="0"/>
        <v>0.27871200000000002</v>
      </c>
      <c r="I14" s="46">
        <v>0</v>
      </c>
      <c r="J14" s="46">
        <v>0</v>
      </c>
      <c r="K14" s="46">
        <v>0</v>
      </c>
      <c r="L14" s="46">
        <v>0</v>
      </c>
      <c r="M14" s="46">
        <v>0</v>
      </c>
      <c r="N14" s="46">
        <f t="shared" ref="N14:N19" si="2">F14*G14</f>
        <v>278.71199999999999</v>
      </c>
      <c r="O14" s="46">
        <v>0</v>
      </c>
      <c r="P14" s="46">
        <v>0</v>
      </c>
      <c r="Q14" s="46">
        <v>0</v>
      </c>
      <c r="R14" s="46">
        <v>0</v>
      </c>
      <c r="S14" s="46">
        <v>0</v>
      </c>
      <c r="T14" s="46">
        <v>0</v>
      </c>
      <c r="U14" s="46">
        <f t="shared" si="1"/>
        <v>278.71199999999999</v>
      </c>
    </row>
    <row r="15" spans="1:21">
      <c r="A15" s="35" t="s">
        <v>24</v>
      </c>
      <c r="B15" s="11" t="s">
        <v>25</v>
      </c>
      <c r="C15" s="35" t="s">
        <v>14</v>
      </c>
      <c r="D15" s="11" t="s">
        <v>79</v>
      </c>
      <c r="E15" s="43">
        <v>14.64</v>
      </c>
      <c r="F15" s="44">
        <f>SUM(E15*2/100)</f>
        <v>0.2928</v>
      </c>
      <c r="G15" s="44">
        <v>247.82</v>
      </c>
      <c r="H15" s="45">
        <f t="shared" si="0"/>
        <v>7.2561695999999995E-2</v>
      </c>
      <c r="I15" s="46">
        <v>0</v>
      </c>
      <c r="J15" s="46">
        <v>0</v>
      </c>
      <c r="K15" s="46">
        <v>0</v>
      </c>
      <c r="L15" s="46">
        <v>0</v>
      </c>
      <c r="M15" s="46">
        <v>0</v>
      </c>
      <c r="N15" s="46">
        <f t="shared" si="2"/>
        <v>72.561695999999998</v>
      </c>
      <c r="O15" s="46">
        <v>0</v>
      </c>
      <c r="P15" s="46">
        <v>0</v>
      </c>
      <c r="Q15" s="46">
        <v>0</v>
      </c>
      <c r="R15" s="46">
        <v>0</v>
      </c>
      <c r="S15" s="46">
        <v>0</v>
      </c>
      <c r="T15" s="46">
        <v>0</v>
      </c>
      <c r="U15" s="46">
        <f t="shared" si="1"/>
        <v>72.561695999999998</v>
      </c>
    </row>
    <row r="16" spans="1:21">
      <c r="A16" s="35" t="s">
        <v>26</v>
      </c>
      <c r="B16" s="11" t="s">
        <v>27</v>
      </c>
      <c r="C16" s="35" t="s">
        <v>14</v>
      </c>
      <c r="D16" s="11" t="s">
        <v>79</v>
      </c>
      <c r="E16" s="43">
        <v>10.08</v>
      </c>
      <c r="F16" s="44">
        <f>SUM(E16*2/100)</f>
        <v>0.2016</v>
      </c>
      <c r="G16" s="44">
        <v>245.81</v>
      </c>
      <c r="H16" s="45">
        <f t="shared" si="0"/>
        <v>4.9555295999999999E-2</v>
      </c>
      <c r="I16" s="46">
        <v>0</v>
      </c>
      <c r="J16" s="46">
        <v>0</v>
      </c>
      <c r="K16" s="46">
        <v>0</v>
      </c>
      <c r="L16" s="46">
        <v>0</v>
      </c>
      <c r="M16" s="46">
        <v>0</v>
      </c>
      <c r="N16" s="46">
        <f t="shared" si="2"/>
        <v>49.555295999999998</v>
      </c>
      <c r="O16" s="46">
        <v>0</v>
      </c>
      <c r="P16" s="46">
        <v>0</v>
      </c>
      <c r="Q16" s="46">
        <v>0</v>
      </c>
      <c r="R16" s="46">
        <v>0</v>
      </c>
      <c r="S16" s="46">
        <v>0</v>
      </c>
      <c r="T16" s="46">
        <v>0</v>
      </c>
      <c r="U16" s="46">
        <f t="shared" si="1"/>
        <v>49.555295999999998</v>
      </c>
    </row>
    <row r="17" spans="1:21">
      <c r="A17" s="35" t="s">
        <v>28</v>
      </c>
      <c r="B17" s="11" t="s">
        <v>29</v>
      </c>
      <c r="C17" s="35" t="s">
        <v>30</v>
      </c>
      <c r="D17" s="11" t="s">
        <v>146</v>
      </c>
      <c r="E17" s="43">
        <v>212.25</v>
      </c>
      <c r="F17" s="44">
        <f>SUM(E17/100)</f>
        <v>2.1225000000000001</v>
      </c>
      <c r="G17" s="44">
        <v>306.26</v>
      </c>
      <c r="H17" s="45">
        <f t="shared" si="0"/>
        <v>0.65003685</v>
      </c>
      <c r="I17" s="46">
        <v>0</v>
      </c>
      <c r="J17" s="46">
        <v>0</v>
      </c>
      <c r="K17" s="46">
        <v>0</v>
      </c>
      <c r="L17" s="46">
        <v>0</v>
      </c>
      <c r="M17" s="46">
        <v>0</v>
      </c>
      <c r="N17" s="46">
        <f t="shared" si="2"/>
        <v>650.03684999999996</v>
      </c>
      <c r="O17" s="46">
        <v>0</v>
      </c>
      <c r="P17" s="46">
        <v>0</v>
      </c>
      <c r="Q17" s="46">
        <v>0</v>
      </c>
      <c r="R17" s="46">
        <v>0</v>
      </c>
      <c r="S17" s="46">
        <v>0</v>
      </c>
      <c r="T17" s="46">
        <v>0</v>
      </c>
      <c r="U17" s="46">
        <f t="shared" si="1"/>
        <v>650.03684999999996</v>
      </c>
    </row>
    <row r="18" spans="1:21">
      <c r="A18" s="35" t="s">
        <v>31</v>
      </c>
      <c r="B18" s="11" t="s">
        <v>32</v>
      </c>
      <c r="C18" s="35" t="s">
        <v>30</v>
      </c>
      <c r="D18" s="11" t="s">
        <v>146</v>
      </c>
      <c r="E18" s="48">
        <v>46.6</v>
      </c>
      <c r="F18" s="44">
        <f>SUM(E18/100)</f>
        <v>0.46600000000000003</v>
      </c>
      <c r="G18" s="44">
        <v>50.37</v>
      </c>
      <c r="H18" s="45">
        <f t="shared" si="0"/>
        <v>2.3472420000000001E-2</v>
      </c>
      <c r="I18" s="46">
        <v>0</v>
      </c>
      <c r="J18" s="46">
        <v>0</v>
      </c>
      <c r="K18" s="46">
        <v>0</v>
      </c>
      <c r="L18" s="46">
        <v>0</v>
      </c>
      <c r="M18" s="46">
        <v>0</v>
      </c>
      <c r="N18" s="46">
        <f t="shared" si="2"/>
        <v>23.47242</v>
      </c>
      <c r="O18" s="46">
        <v>0</v>
      </c>
      <c r="P18" s="46">
        <v>0</v>
      </c>
      <c r="Q18" s="46">
        <v>0</v>
      </c>
      <c r="R18" s="46">
        <v>0</v>
      </c>
      <c r="S18" s="46">
        <v>0</v>
      </c>
      <c r="T18" s="46">
        <v>0</v>
      </c>
      <c r="U18" s="46">
        <f t="shared" si="1"/>
        <v>23.47242</v>
      </c>
    </row>
    <row r="19" spans="1:21">
      <c r="A19" s="35" t="s">
        <v>33</v>
      </c>
      <c r="B19" s="11" t="s">
        <v>34</v>
      </c>
      <c r="C19" s="35" t="s">
        <v>30</v>
      </c>
      <c r="D19" s="11" t="s">
        <v>146</v>
      </c>
      <c r="E19" s="43">
        <v>2</v>
      </c>
      <c r="F19" s="44">
        <f>SUM(E19/100)</f>
        <v>0.02</v>
      </c>
      <c r="G19" s="44">
        <v>592.37</v>
      </c>
      <c r="H19" s="45">
        <f t="shared" si="0"/>
        <v>1.1847400000000001E-2</v>
      </c>
      <c r="I19" s="46">
        <v>0</v>
      </c>
      <c r="J19" s="46">
        <v>0</v>
      </c>
      <c r="K19" s="46">
        <v>0</v>
      </c>
      <c r="L19" s="46">
        <v>0</v>
      </c>
      <c r="M19" s="46">
        <v>0</v>
      </c>
      <c r="N19" s="46">
        <f t="shared" si="2"/>
        <v>11.8474</v>
      </c>
      <c r="O19" s="46">
        <v>0</v>
      </c>
      <c r="P19" s="46">
        <v>0</v>
      </c>
      <c r="Q19" s="46">
        <v>0</v>
      </c>
      <c r="R19" s="46">
        <v>0</v>
      </c>
      <c r="S19" s="46">
        <v>0</v>
      </c>
      <c r="T19" s="46">
        <v>0</v>
      </c>
      <c r="U19" s="46">
        <f t="shared" si="1"/>
        <v>11.8474</v>
      </c>
    </row>
    <row r="20" spans="1:21" s="19" customFormat="1">
      <c r="A20" s="49"/>
      <c r="B20" s="20" t="s">
        <v>35</v>
      </c>
      <c r="C20" s="50"/>
      <c r="D20" s="20"/>
      <c r="E20" s="51"/>
      <c r="F20" s="52"/>
      <c r="G20" s="52"/>
      <c r="H20" s="53">
        <f>SUM(H11:H19)</f>
        <v>166.07114495800002</v>
      </c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>
        <f>SUM(U11:U19)</f>
        <v>166071.14495800002</v>
      </c>
    </row>
    <row r="21" spans="1:21">
      <c r="A21" s="35"/>
      <c r="B21" s="12" t="s">
        <v>36</v>
      </c>
      <c r="C21" s="35"/>
      <c r="D21" s="11"/>
      <c r="E21" s="43"/>
      <c r="F21" s="44"/>
      <c r="G21" s="44"/>
      <c r="H21" s="45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</row>
    <row r="22" spans="1:21" ht="25.5" customHeight="1">
      <c r="A22" s="35" t="s">
        <v>37</v>
      </c>
      <c r="B22" s="11" t="s">
        <v>38</v>
      </c>
      <c r="C22" s="35" t="s">
        <v>39</v>
      </c>
      <c r="D22" s="11" t="s">
        <v>40</v>
      </c>
      <c r="E22" s="44">
        <v>2497.6999999999998</v>
      </c>
      <c r="F22" s="44">
        <f>SUM(E22*52/1000)</f>
        <v>129.88039999999998</v>
      </c>
      <c r="G22" s="44">
        <v>177.3</v>
      </c>
      <c r="H22" s="45">
        <f t="shared" ref="H22:H30" si="3">SUM(F22*G22/1000)</f>
        <v>23.027794919999998</v>
      </c>
      <c r="I22" s="46">
        <v>0</v>
      </c>
      <c r="J22" s="46">
        <v>0</v>
      </c>
      <c r="K22" s="46">
        <v>0</v>
      </c>
      <c r="L22" s="46">
        <v>0</v>
      </c>
      <c r="M22" s="46">
        <f>F22/6*G22</f>
        <v>3837.9658199999994</v>
      </c>
      <c r="N22" s="46">
        <f>F22/6*G22</f>
        <v>3837.9658199999994</v>
      </c>
      <c r="O22" s="46">
        <f>F22/6*G22</f>
        <v>3837.9658199999994</v>
      </c>
      <c r="P22" s="46">
        <f>F22/6*G22</f>
        <v>3837.9658199999994</v>
      </c>
      <c r="Q22" s="46">
        <f>F22/6*G22</f>
        <v>3837.9658199999994</v>
      </c>
      <c r="R22" s="46">
        <f>F22/6*G22</f>
        <v>3837.9658199999994</v>
      </c>
      <c r="S22" s="46">
        <v>0</v>
      </c>
      <c r="T22" s="46">
        <v>0</v>
      </c>
      <c r="U22" s="46">
        <f t="shared" ref="U22:U30" si="4">SUM(I22:T22)</f>
        <v>23027.794919999993</v>
      </c>
    </row>
    <row r="23" spans="1:21" ht="38.25" customHeight="1">
      <c r="A23" s="35" t="s">
        <v>41</v>
      </c>
      <c r="B23" s="11" t="s">
        <v>42</v>
      </c>
      <c r="C23" s="35" t="s">
        <v>43</v>
      </c>
      <c r="D23" s="11" t="s">
        <v>44</v>
      </c>
      <c r="E23" s="44">
        <v>266.37</v>
      </c>
      <c r="F23" s="44">
        <f>SUM(E23*78/1000)</f>
        <v>20.776859999999999</v>
      </c>
      <c r="G23" s="44">
        <v>297.17</v>
      </c>
      <c r="H23" s="45">
        <f t="shared" si="3"/>
        <v>6.1742594862000004</v>
      </c>
      <c r="I23" s="46">
        <v>0</v>
      </c>
      <c r="J23" s="46">
        <v>0</v>
      </c>
      <c r="K23" s="46">
        <v>0</v>
      </c>
      <c r="L23" s="46">
        <v>0</v>
      </c>
      <c r="M23" s="46">
        <f>F23/6*G23</f>
        <v>1029.0432476999999</v>
      </c>
      <c r="N23" s="46">
        <f>F23/6*G23</f>
        <v>1029.0432476999999</v>
      </c>
      <c r="O23" s="46">
        <f>F23/6*G23</f>
        <v>1029.0432476999999</v>
      </c>
      <c r="P23" s="46">
        <f>F23/6*G23</f>
        <v>1029.0432476999999</v>
      </c>
      <c r="Q23" s="46">
        <f>F23/6*G23</f>
        <v>1029.0432476999999</v>
      </c>
      <c r="R23" s="46">
        <f>F23/6*G23</f>
        <v>1029.0432476999999</v>
      </c>
      <c r="S23" s="46">
        <v>0</v>
      </c>
      <c r="T23" s="46">
        <v>0</v>
      </c>
      <c r="U23" s="46">
        <f t="shared" si="4"/>
        <v>6174.2594861999987</v>
      </c>
    </row>
    <row r="24" spans="1:21">
      <c r="A24" s="35" t="s">
        <v>45</v>
      </c>
      <c r="B24" s="11" t="s">
        <v>46</v>
      </c>
      <c r="C24" s="35" t="s">
        <v>43</v>
      </c>
      <c r="D24" s="11" t="s">
        <v>47</v>
      </c>
      <c r="E24" s="44">
        <v>2497.6999999999998</v>
      </c>
      <c r="F24" s="44">
        <f>SUM(E24/1000)</f>
        <v>2.4977</v>
      </c>
      <c r="G24" s="44">
        <v>3435.36</v>
      </c>
      <c r="H24" s="45">
        <f t="shared" si="3"/>
        <v>8.5804986719999992</v>
      </c>
      <c r="I24" s="46">
        <v>0</v>
      </c>
      <c r="J24" s="46">
        <v>0</v>
      </c>
      <c r="K24" s="46">
        <v>0</v>
      </c>
      <c r="L24" s="46">
        <v>0</v>
      </c>
      <c r="M24" s="46">
        <f>F24*G24</f>
        <v>8580.4986719999997</v>
      </c>
      <c r="N24" s="46">
        <v>0</v>
      </c>
      <c r="O24" s="46">
        <v>0</v>
      </c>
      <c r="P24" s="46">
        <v>0</v>
      </c>
      <c r="Q24" s="46">
        <v>0</v>
      </c>
      <c r="R24" s="46">
        <v>0</v>
      </c>
      <c r="S24" s="46">
        <v>0</v>
      </c>
      <c r="T24" s="46">
        <v>0</v>
      </c>
      <c r="U24" s="46">
        <f t="shared" si="4"/>
        <v>8580.4986719999997</v>
      </c>
    </row>
    <row r="25" spans="1:21">
      <c r="A25" s="35" t="s">
        <v>158</v>
      </c>
      <c r="B25" s="11" t="s">
        <v>159</v>
      </c>
      <c r="C25" s="35" t="s">
        <v>96</v>
      </c>
      <c r="D25" s="11" t="s">
        <v>51</v>
      </c>
      <c r="E25" s="44">
        <v>2</v>
      </c>
      <c r="F25" s="44">
        <v>3.1</v>
      </c>
      <c r="G25" s="44">
        <v>1480.94</v>
      </c>
      <c r="H25" s="45">
        <f>G25*F25/1000</f>
        <v>4.5909140000000006</v>
      </c>
      <c r="I25" s="46">
        <v>0</v>
      </c>
      <c r="J25" s="46">
        <v>0</v>
      </c>
      <c r="K25" s="46">
        <v>0</v>
      </c>
      <c r="L25" s="46">
        <v>0</v>
      </c>
      <c r="M25" s="46">
        <f>F25/6*G25</f>
        <v>765.15233333333344</v>
      </c>
      <c r="N25" s="46">
        <f>F25/6*G25</f>
        <v>765.15233333333344</v>
      </c>
      <c r="O25" s="46">
        <f>F25/6*G25</f>
        <v>765.15233333333344</v>
      </c>
      <c r="P25" s="46">
        <f>F25/6*G25</f>
        <v>765.15233333333344</v>
      </c>
      <c r="Q25" s="46">
        <f>F25/6*G25</f>
        <v>765.15233333333344</v>
      </c>
      <c r="R25" s="46">
        <f>F25/6*G25</f>
        <v>765.15233333333344</v>
      </c>
      <c r="S25" s="46">
        <v>0</v>
      </c>
      <c r="T25" s="46">
        <v>0</v>
      </c>
      <c r="U25" s="46">
        <f t="shared" si="4"/>
        <v>4590.9140000000007</v>
      </c>
    </row>
    <row r="26" spans="1:21">
      <c r="A26" s="35" t="s">
        <v>48</v>
      </c>
      <c r="B26" s="11" t="s">
        <v>49</v>
      </c>
      <c r="C26" s="35" t="s">
        <v>50</v>
      </c>
      <c r="D26" s="11" t="s">
        <v>51</v>
      </c>
      <c r="E26" s="56">
        <v>0.33333333333333331</v>
      </c>
      <c r="F26" s="44">
        <f>155/3</f>
        <v>51.666666666666664</v>
      </c>
      <c r="G26" s="44">
        <v>64.48</v>
      </c>
      <c r="H26" s="45">
        <f>SUM(G26*155/3/1000)</f>
        <v>3.331466666666667</v>
      </c>
      <c r="I26" s="46">
        <v>0</v>
      </c>
      <c r="J26" s="46">
        <v>0</v>
      </c>
      <c r="K26" s="46">
        <v>0</v>
      </c>
      <c r="L26" s="46">
        <v>0</v>
      </c>
      <c r="M26" s="46">
        <f>F26/4*G26</f>
        <v>832.86666666666667</v>
      </c>
      <c r="N26" s="46">
        <f>F26/6*G26</f>
        <v>555.24444444444441</v>
      </c>
      <c r="O26" s="46">
        <f>F26/6*G26</f>
        <v>555.24444444444441</v>
      </c>
      <c r="P26" s="46">
        <f>F26/6*G26</f>
        <v>555.24444444444441</v>
      </c>
      <c r="Q26" s="46">
        <f>F26/6*G26</f>
        <v>555.24444444444441</v>
      </c>
      <c r="R26" s="46">
        <f>F26/6*G26</f>
        <v>555.24444444444441</v>
      </c>
      <c r="S26" s="46">
        <v>0</v>
      </c>
      <c r="T26" s="46">
        <v>0</v>
      </c>
      <c r="U26" s="46">
        <f t="shared" si="4"/>
        <v>3609.088888888889</v>
      </c>
    </row>
    <row r="27" spans="1:21" ht="12.75" customHeight="1">
      <c r="A27" s="35" t="s">
        <v>52</v>
      </c>
      <c r="B27" s="11" t="s">
        <v>53</v>
      </c>
      <c r="C27" s="35" t="s">
        <v>54</v>
      </c>
      <c r="D27" s="11" t="s">
        <v>55</v>
      </c>
      <c r="E27" s="57">
        <v>0.1</v>
      </c>
      <c r="F27" s="44">
        <f>SUM(E27*365)</f>
        <v>36.5</v>
      </c>
      <c r="G27" s="44">
        <v>66.790000000000006</v>
      </c>
      <c r="H27" s="45">
        <f t="shared" si="3"/>
        <v>2.4378350000000002</v>
      </c>
      <c r="I27" s="46">
        <f>F27/12*G27</f>
        <v>203.15291666666667</v>
      </c>
      <c r="J27" s="46">
        <f>F27/12*G27</f>
        <v>203.15291666666667</v>
      </c>
      <c r="K27" s="46">
        <f>F27/12*G27</f>
        <v>203.15291666666667</v>
      </c>
      <c r="L27" s="46">
        <f>F27/12*G27</f>
        <v>203.15291666666667</v>
      </c>
      <c r="M27" s="46">
        <f>F27/12*G27</f>
        <v>203.15291666666667</v>
      </c>
      <c r="N27" s="46">
        <f>F27/12*G27</f>
        <v>203.15291666666667</v>
      </c>
      <c r="O27" s="46">
        <f>F27/12*G27</f>
        <v>203.15291666666667</v>
      </c>
      <c r="P27" s="46">
        <f>F27/12*G27</f>
        <v>203.15291666666667</v>
      </c>
      <c r="Q27" s="46">
        <f>F27/12*G27</f>
        <v>203.15291666666667</v>
      </c>
      <c r="R27" s="46">
        <f>F27/12*G27</f>
        <v>203.15291666666667</v>
      </c>
      <c r="S27" s="46">
        <f>F27/12*G27</f>
        <v>203.15291666666667</v>
      </c>
      <c r="T27" s="46">
        <f>F27/12*G27</f>
        <v>203.15291666666667</v>
      </c>
      <c r="U27" s="46">
        <f t="shared" si="4"/>
        <v>2437.835</v>
      </c>
    </row>
    <row r="28" spans="1:21" ht="12.75" customHeight="1">
      <c r="A28" s="35" t="s">
        <v>57</v>
      </c>
      <c r="B28" s="11" t="s">
        <v>58</v>
      </c>
      <c r="C28" s="35" t="s">
        <v>54</v>
      </c>
      <c r="D28" s="11" t="s">
        <v>56</v>
      </c>
      <c r="E28" s="43"/>
      <c r="F28" s="44">
        <v>2</v>
      </c>
      <c r="G28" s="44">
        <v>217.61</v>
      </c>
      <c r="H28" s="45">
        <f t="shared" si="3"/>
        <v>0.43522000000000005</v>
      </c>
      <c r="I28" s="46">
        <v>0</v>
      </c>
      <c r="J28" s="46">
        <v>0</v>
      </c>
      <c r="K28" s="46">
        <v>0</v>
      </c>
      <c r="L28" s="46">
        <v>0</v>
      </c>
      <c r="M28" s="46">
        <v>0</v>
      </c>
      <c r="N28" s="46">
        <v>0</v>
      </c>
      <c r="O28" s="46">
        <v>0</v>
      </c>
      <c r="P28" s="46">
        <v>0</v>
      </c>
      <c r="Q28" s="46">
        <v>0</v>
      </c>
      <c r="R28" s="46">
        <v>0</v>
      </c>
      <c r="S28" s="46">
        <v>0</v>
      </c>
      <c r="T28" s="46">
        <v>0</v>
      </c>
      <c r="U28" s="46">
        <f t="shared" si="4"/>
        <v>0</v>
      </c>
    </row>
    <row r="29" spans="1:21" ht="13.5" customHeight="1">
      <c r="A29" s="35" t="s">
        <v>59</v>
      </c>
      <c r="B29" s="11" t="s">
        <v>60</v>
      </c>
      <c r="C29" s="35" t="s">
        <v>61</v>
      </c>
      <c r="D29" s="11" t="s">
        <v>56</v>
      </c>
      <c r="E29" s="43"/>
      <c r="F29" s="44">
        <v>1</v>
      </c>
      <c r="G29" s="44">
        <v>1292.47</v>
      </c>
      <c r="H29" s="45">
        <f t="shared" si="3"/>
        <v>1.29247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  <c r="N29" s="46">
        <v>0</v>
      </c>
      <c r="O29" s="46">
        <v>0</v>
      </c>
      <c r="P29" s="46">
        <v>0</v>
      </c>
      <c r="Q29" s="46">
        <v>0</v>
      </c>
      <c r="R29" s="46">
        <v>0</v>
      </c>
      <c r="S29" s="46">
        <v>0</v>
      </c>
      <c r="T29" s="46">
        <v>0</v>
      </c>
      <c r="U29" s="46">
        <f t="shared" si="4"/>
        <v>0</v>
      </c>
    </row>
    <row r="30" spans="1:21">
      <c r="A30" s="35"/>
      <c r="B30" s="58" t="s">
        <v>62</v>
      </c>
      <c r="C30" s="35" t="s">
        <v>63</v>
      </c>
      <c r="D30" s="58" t="s">
        <v>64</v>
      </c>
      <c r="E30" s="43">
        <v>2177.1</v>
      </c>
      <c r="F30" s="44">
        <f>SUM(E30*12)</f>
        <v>26125.199999999997</v>
      </c>
      <c r="G30" s="44">
        <v>5.15</v>
      </c>
      <c r="H30" s="45">
        <f t="shared" si="3"/>
        <v>134.54478</v>
      </c>
      <c r="I30" s="46">
        <f>F30/12*G30</f>
        <v>11212.065000000001</v>
      </c>
      <c r="J30" s="46">
        <f>F30/12*G30</f>
        <v>11212.065000000001</v>
      </c>
      <c r="K30" s="46">
        <f>F30/12*G30</f>
        <v>11212.065000000001</v>
      </c>
      <c r="L30" s="46">
        <f>F30/12*G30</f>
        <v>11212.065000000001</v>
      </c>
      <c r="M30" s="46">
        <f>F30/12*G30</f>
        <v>11212.065000000001</v>
      </c>
      <c r="N30" s="46">
        <f>F30/12*G30</f>
        <v>11212.065000000001</v>
      </c>
      <c r="O30" s="46">
        <f>F30/12*G30</f>
        <v>11212.065000000001</v>
      </c>
      <c r="P30" s="46">
        <f>F30/12*G30</f>
        <v>11212.065000000001</v>
      </c>
      <c r="Q30" s="46">
        <f>F30/12*G30</f>
        <v>11212.065000000001</v>
      </c>
      <c r="R30" s="46">
        <f>F30/12*G30</f>
        <v>11212.065000000001</v>
      </c>
      <c r="S30" s="46">
        <f>F30/12*G30</f>
        <v>11212.065000000001</v>
      </c>
      <c r="T30" s="46">
        <f>F30/12*G30</f>
        <v>11212.065000000001</v>
      </c>
      <c r="U30" s="46">
        <f t="shared" si="4"/>
        <v>134544.78</v>
      </c>
    </row>
    <row r="31" spans="1:21" s="19" customFormat="1">
      <c r="A31" s="49"/>
      <c r="B31" s="20" t="s">
        <v>35</v>
      </c>
      <c r="C31" s="50"/>
      <c r="D31" s="20"/>
      <c r="E31" s="51"/>
      <c r="F31" s="52"/>
      <c r="G31" s="52"/>
      <c r="H31" s="59">
        <f>SUM(H22:H30)</f>
        <v>184.41523874486666</v>
      </c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>
        <f>SUM(U22:U30)</f>
        <v>182965.17096708887</v>
      </c>
    </row>
    <row r="32" spans="1:21">
      <c r="A32" s="35"/>
      <c r="B32" s="12" t="s">
        <v>65</v>
      </c>
      <c r="C32" s="35"/>
      <c r="D32" s="11"/>
      <c r="E32" s="43"/>
      <c r="F32" s="44"/>
      <c r="G32" s="44"/>
      <c r="H32" s="45" t="s">
        <v>64</v>
      </c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</row>
    <row r="33" spans="1:21">
      <c r="A33" s="35" t="s">
        <v>59</v>
      </c>
      <c r="B33" s="13" t="s">
        <v>66</v>
      </c>
      <c r="C33" s="35" t="s">
        <v>61</v>
      </c>
      <c r="D33" s="11"/>
      <c r="E33" s="43"/>
      <c r="F33" s="44">
        <v>6</v>
      </c>
      <c r="G33" s="44">
        <v>1737.08</v>
      </c>
      <c r="H33" s="45">
        <f t="shared" ref="H33:H39" si="5">SUM(F33*G33/1000)</f>
        <v>10.42248</v>
      </c>
      <c r="I33" s="46">
        <f>F33/6*G33</f>
        <v>1737.08</v>
      </c>
      <c r="J33" s="46">
        <f>F33/6*G33</f>
        <v>1737.08</v>
      </c>
      <c r="K33" s="46">
        <f>F33/6*G33</f>
        <v>1737.08</v>
      </c>
      <c r="L33" s="46">
        <f>F33/6*G33</f>
        <v>1737.08</v>
      </c>
      <c r="M33" s="46">
        <v>0</v>
      </c>
      <c r="N33" s="46">
        <v>0</v>
      </c>
      <c r="O33" s="46">
        <v>0</v>
      </c>
      <c r="P33" s="46">
        <v>0</v>
      </c>
      <c r="Q33" s="46">
        <v>0</v>
      </c>
      <c r="R33" s="46">
        <v>0</v>
      </c>
      <c r="S33" s="46">
        <f>F33/6*G33</f>
        <v>1737.08</v>
      </c>
      <c r="T33" s="46">
        <f>F33/6*G33</f>
        <v>1737.08</v>
      </c>
      <c r="U33" s="46">
        <f t="shared" ref="U33:U39" si="6">SUM(I33:T33)</f>
        <v>10422.48</v>
      </c>
    </row>
    <row r="34" spans="1:21">
      <c r="A34" s="61" t="s">
        <v>67</v>
      </c>
      <c r="B34" s="13" t="s">
        <v>162</v>
      </c>
      <c r="C34" s="61" t="s">
        <v>68</v>
      </c>
      <c r="D34" s="11" t="s">
        <v>161</v>
      </c>
      <c r="E34" s="43">
        <v>48.36</v>
      </c>
      <c r="F34" s="60">
        <f>E34*30/1000</f>
        <v>1.4507999999999999</v>
      </c>
      <c r="G34" s="44">
        <v>2391.67</v>
      </c>
      <c r="H34" s="45">
        <f>G34*F34/1000</f>
        <v>3.469834836</v>
      </c>
      <c r="I34" s="46">
        <f>F34/6*G34</f>
        <v>578.30580599999996</v>
      </c>
      <c r="J34" s="46">
        <f>F34/6*G34</f>
        <v>578.30580599999996</v>
      </c>
      <c r="K34" s="46">
        <f>F34/6*G34</f>
        <v>578.30580599999996</v>
      </c>
      <c r="L34" s="46">
        <f>F34/6*G34</f>
        <v>578.30580599999996</v>
      </c>
      <c r="M34" s="46">
        <v>0</v>
      </c>
      <c r="N34" s="46">
        <v>0</v>
      </c>
      <c r="O34" s="46">
        <v>0</v>
      </c>
      <c r="P34" s="46">
        <v>0</v>
      </c>
      <c r="Q34" s="46">
        <v>0</v>
      </c>
      <c r="R34" s="46">
        <v>0</v>
      </c>
      <c r="S34" s="46">
        <f>F34/6*G34</f>
        <v>578.30580599999996</v>
      </c>
      <c r="T34" s="46">
        <f>F34/6*G34</f>
        <v>578.30580599999996</v>
      </c>
      <c r="U34" s="46">
        <f t="shared" si="6"/>
        <v>3469.8348359999995</v>
      </c>
    </row>
    <row r="35" spans="1:21">
      <c r="A35" s="35" t="s">
        <v>59</v>
      </c>
      <c r="B35" s="11" t="s">
        <v>154</v>
      </c>
      <c r="C35" s="35" t="s">
        <v>106</v>
      </c>
      <c r="D35" s="11" t="s">
        <v>56</v>
      </c>
      <c r="E35" s="43"/>
      <c r="F35" s="60">
        <v>65</v>
      </c>
      <c r="G35" s="44">
        <v>226.85</v>
      </c>
      <c r="H35" s="45">
        <f>G35*F35/1000</f>
        <v>14.74525</v>
      </c>
      <c r="I35" s="46">
        <f>0</f>
        <v>0</v>
      </c>
      <c r="J35" s="46">
        <v>0</v>
      </c>
      <c r="K35" s="46">
        <f>64.33*G35</f>
        <v>14593.260499999999</v>
      </c>
      <c r="L35" s="46">
        <v>0</v>
      </c>
      <c r="M35" s="46">
        <v>0</v>
      </c>
      <c r="N35" s="46">
        <v>0</v>
      </c>
      <c r="O35" s="46">
        <v>0</v>
      </c>
      <c r="P35" s="46">
        <v>0</v>
      </c>
      <c r="Q35" s="46">
        <v>0</v>
      </c>
      <c r="R35" s="46">
        <v>0</v>
      </c>
      <c r="S35" s="46">
        <v>0</v>
      </c>
      <c r="T35" s="46">
        <v>0</v>
      </c>
      <c r="U35" s="46">
        <f t="shared" si="6"/>
        <v>14593.260499999999</v>
      </c>
    </row>
    <row r="36" spans="1:21" ht="24.75" customHeight="1">
      <c r="A36" s="35" t="s">
        <v>69</v>
      </c>
      <c r="B36" s="11" t="s">
        <v>70</v>
      </c>
      <c r="C36" s="35" t="s">
        <v>68</v>
      </c>
      <c r="D36" s="11" t="s">
        <v>71</v>
      </c>
      <c r="E36" s="44">
        <v>53.69</v>
      </c>
      <c r="F36" s="60">
        <f>SUM(E36*155/1000)</f>
        <v>8.3219499999999993</v>
      </c>
      <c r="G36" s="44">
        <v>398.95</v>
      </c>
      <c r="H36" s="45">
        <f t="shared" si="5"/>
        <v>3.3200419524999996</v>
      </c>
      <c r="I36" s="46">
        <f>F36/6*G36</f>
        <v>553.34032541666659</v>
      </c>
      <c r="J36" s="46">
        <f>F36/6*G36</f>
        <v>553.34032541666659</v>
      </c>
      <c r="K36" s="46">
        <f>F36/6*G36</f>
        <v>553.34032541666659</v>
      </c>
      <c r="L36" s="46">
        <f>F36/6*G36</f>
        <v>553.34032541666659</v>
      </c>
      <c r="M36" s="46">
        <v>0</v>
      </c>
      <c r="N36" s="46">
        <v>0</v>
      </c>
      <c r="O36" s="46">
        <v>0</v>
      </c>
      <c r="P36" s="46">
        <v>0</v>
      </c>
      <c r="Q36" s="46">
        <v>0</v>
      </c>
      <c r="R36" s="46">
        <v>0</v>
      </c>
      <c r="S36" s="46">
        <f>F36/6*G36</f>
        <v>553.34032541666659</v>
      </c>
      <c r="T36" s="46">
        <f>F36/6*G36</f>
        <v>553.34032541666659</v>
      </c>
      <c r="U36" s="46">
        <f t="shared" si="6"/>
        <v>3320.0419524999993</v>
      </c>
    </row>
    <row r="37" spans="1:21" ht="51" customHeight="1">
      <c r="A37" s="35" t="s">
        <v>72</v>
      </c>
      <c r="B37" s="11" t="s">
        <v>73</v>
      </c>
      <c r="C37" s="35" t="s">
        <v>43</v>
      </c>
      <c r="D37" s="11" t="s">
        <v>163</v>
      </c>
      <c r="E37" s="44">
        <v>23.93</v>
      </c>
      <c r="F37" s="60">
        <f>SUM(E37*24/1000)</f>
        <v>0.57431999999999994</v>
      </c>
      <c r="G37" s="44">
        <v>6600</v>
      </c>
      <c r="H37" s="45">
        <f t="shared" si="5"/>
        <v>3.7905119999999997</v>
      </c>
      <c r="I37" s="46">
        <f>F37/6*G37</f>
        <v>631.75199999999995</v>
      </c>
      <c r="J37" s="46">
        <f>F37/6*G37</f>
        <v>631.75199999999995</v>
      </c>
      <c r="K37" s="46">
        <f>F37/6*G37</f>
        <v>631.75199999999995</v>
      </c>
      <c r="L37" s="46">
        <f>F37/6*G37</f>
        <v>631.75199999999995</v>
      </c>
      <c r="M37" s="46">
        <v>0</v>
      </c>
      <c r="N37" s="46">
        <v>0</v>
      </c>
      <c r="O37" s="46">
        <v>0</v>
      </c>
      <c r="P37" s="46">
        <v>0</v>
      </c>
      <c r="Q37" s="46">
        <v>0</v>
      </c>
      <c r="R37" s="46">
        <v>0</v>
      </c>
      <c r="S37" s="46">
        <f>F37/6*G37</f>
        <v>631.75199999999995</v>
      </c>
      <c r="T37" s="46">
        <f>F37/6*G37</f>
        <v>631.75199999999995</v>
      </c>
      <c r="U37" s="46">
        <f t="shared" si="6"/>
        <v>3790.5119999999997</v>
      </c>
    </row>
    <row r="38" spans="1:21" ht="12.75" customHeight="1">
      <c r="A38" s="35" t="s">
        <v>74</v>
      </c>
      <c r="B38" s="11" t="s">
        <v>75</v>
      </c>
      <c r="C38" s="35" t="s">
        <v>43</v>
      </c>
      <c r="D38" s="11" t="s">
        <v>76</v>
      </c>
      <c r="E38" s="44">
        <v>48.36</v>
      </c>
      <c r="F38" s="60">
        <f>SUM(E38*45/1000)</f>
        <v>2.1761999999999997</v>
      </c>
      <c r="G38" s="44">
        <v>487.61</v>
      </c>
      <c r="H38" s="45">
        <f t="shared" si="5"/>
        <v>1.0611368819999998</v>
      </c>
      <c r="I38" s="46">
        <f>F38/6*G38</f>
        <v>176.85614699999999</v>
      </c>
      <c r="J38" s="46">
        <f>F38/6*G38</f>
        <v>176.85614699999999</v>
      </c>
      <c r="K38" s="46">
        <f>F38/6*G38</f>
        <v>176.85614699999999</v>
      </c>
      <c r="L38" s="46">
        <f>F38/6*G38</f>
        <v>176.85614699999999</v>
      </c>
      <c r="M38" s="46">
        <v>0</v>
      </c>
      <c r="N38" s="46">
        <v>0</v>
      </c>
      <c r="O38" s="46">
        <v>0</v>
      </c>
      <c r="P38" s="46">
        <v>0</v>
      </c>
      <c r="Q38" s="46">
        <v>0</v>
      </c>
      <c r="R38" s="46">
        <v>0</v>
      </c>
      <c r="S38" s="46">
        <f>F38/6*G38</f>
        <v>176.85614699999999</v>
      </c>
      <c r="T38" s="46">
        <f>F38/6*G38</f>
        <v>176.85614699999999</v>
      </c>
      <c r="U38" s="46">
        <f t="shared" si="6"/>
        <v>1061.136882</v>
      </c>
    </row>
    <row r="39" spans="1:21" s="1" customFormat="1">
      <c r="A39" s="61"/>
      <c r="B39" s="13" t="s">
        <v>77</v>
      </c>
      <c r="C39" s="61" t="s">
        <v>54</v>
      </c>
      <c r="D39" s="13"/>
      <c r="E39" s="57"/>
      <c r="F39" s="60">
        <v>0.9</v>
      </c>
      <c r="G39" s="60">
        <v>907.66</v>
      </c>
      <c r="H39" s="45">
        <f t="shared" si="5"/>
        <v>0.81689400000000001</v>
      </c>
      <c r="I39" s="62">
        <f>F39/6*G39</f>
        <v>136.149</v>
      </c>
      <c r="J39" s="62">
        <f>F39/6*G39</f>
        <v>136.149</v>
      </c>
      <c r="K39" s="62">
        <f>F39/6*G39</f>
        <v>136.149</v>
      </c>
      <c r="L39" s="62">
        <f>F39/6*G39</f>
        <v>136.149</v>
      </c>
      <c r="M39" s="62">
        <v>0</v>
      </c>
      <c r="N39" s="62">
        <v>0</v>
      </c>
      <c r="O39" s="62">
        <v>0</v>
      </c>
      <c r="P39" s="62">
        <v>0</v>
      </c>
      <c r="Q39" s="62">
        <v>0</v>
      </c>
      <c r="R39" s="62">
        <v>0</v>
      </c>
      <c r="S39" s="62">
        <f>F39/6*G39</f>
        <v>136.149</v>
      </c>
      <c r="T39" s="62">
        <f>F39/6*G39</f>
        <v>136.149</v>
      </c>
      <c r="U39" s="46">
        <f t="shared" si="6"/>
        <v>816.89400000000001</v>
      </c>
    </row>
    <row r="40" spans="1:21" s="19" customFormat="1">
      <c r="A40" s="49"/>
      <c r="B40" s="20" t="s">
        <v>35</v>
      </c>
      <c r="C40" s="50"/>
      <c r="D40" s="20"/>
      <c r="E40" s="51"/>
      <c r="F40" s="52" t="s">
        <v>64</v>
      </c>
      <c r="G40" s="52"/>
      <c r="H40" s="59">
        <f>SUM(H33:H39)</f>
        <v>37.626149670499998</v>
      </c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>
        <f>SUM(U33:U39)</f>
        <v>37474.160170499999</v>
      </c>
    </row>
    <row r="41" spans="1:21">
      <c r="A41" s="35"/>
      <c r="B41" s="14" t="s">
        <v>78</v>
      </c>
      <c r="C41" s="35"/>
      <c r="D41" s="11"/>
      <c r="E41" s="43"/>
      <c r="F41" s="44"/>
      <c r="G41" s="44"/>
      <c r="H41" s="45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</row>
    <row r="42" spans="1:21">
      <c r="A42" s="35" t="s">
        <v>164</v>
      </c>
      <c r="B42" s="11" t="s">
        <v>165</v>
      </c>
      <c r="C42" s="35" t="s">
        <v>43</v>
      </c>
      <c r="D42" s="11" t="s">
        <v>79</v>
      </c>
      <c r="E42" s="43">
        <v>614.29999999999995</v>
      </c>
      <c r="F42" s="44">
        <f>SUM(E42*2/1000)</f>
        <v>1.2285999999999999</v>
      </c>
      <c r="G42" s="63">
        <v>1094.96</v>
      </c>
      <c r="H42" s="45">
        <f t="shared" ref="H42:H50" si="7">SUM(F42*G42/1000)</f>
        <v>1.345267856</v>
      </c>
      <c r="I42" s="46">
        <v>0</v>
      </c>
      <c r="J42" s="46">
        <v>0</v>
      </c>
      <c r="K42" s="46">
        <v>0</v>
      </c>
      <c r="L42" s="46">
        <f>F42/2*G42</f>
        <v>672.63392799999997</v>
      </c>
      <c r="M42" s="46">
        <v>0</v>
      </c>
      <c r="N42" s="46">
        <v>0</v>
      </c>
      <c r="O42" s="46">
        <v>0</v>
      </c>
      <c r="P42" s="46">
        <v>0</v>
      </c>
      <c r="Q42" s="46">
        <f>F42/2*G42</f>
        <v>672.63392799999997</v>
      </c>
      <c r="R42" s="46">
        <v>0</v>
      </c>
      <c r="S42" s="46">
        <v>0</v>
      </c>
      <c r="T42" s="46">
        <v>0</v>
      </c>
      <c r="U42" s="46">
        <f t="shared" ref="U42:U50" si="8">SUM(I42:T42)</f>
        <v>1345.2678559999999</v>
      </c>
    </row>
    <row r="43" spans="1:21">
      <c r="A43" s="35" t="s">
        <v>80</v>
      </c>
      <c r="B43" s="11" t="s">
        <v>81</v>
      </c>
      <c r="C43" s="35" t="s">
        <v>43</v>
      </c>
      <c r="D43" s="11" t="s">
        <v>79</v>
      </c>
      <c r="E43" s="43">
        <v>61</v>
      </c>
      <c r="F43" s="44">
        <f>E43*2/1000</f>
        <v>0.122</v>
      </c>
      <c r="G43" s="63">
        <v>3832.4</v>
      </c>
      <c r="H43" s="45">
        <f t="shared" si="7"/>
        <v>0.46755279999999999</v>
      </c>
      <c r="I43" s="46">
        <v>0</v>
      </c>
      <c r="J43" s="46">
        <v>0</v>
      </c>
      <c r="K43" s="46">
        <v>0</v>
      </c>
      <c r="L43" s="46">
        <f>F43/2*G43</f>
        <v>233.7764</v>
      </c>
      <c r="M43" s="46">
        <v>0</v>
      </c>
      <c r="N43" s="46">
        <v>0</v>
      </c>
      <c r="O43" s="46">
        <v>0</v>
      </c>
      <c r="P43" s="46">
        <v>0</v>
      </c>
      <c r="Q43" s="46">
        <f>F43/2*G43</f>
        <v>233.7764</v>
      </c>
      <c r="R43" s="46">
        <v>0</v>
      </c>
      <c r="S43" s="46">
        <v>0</v>
      </c>
      <c r="T43" s="46">
        <v>0</v>
      </c>
      <c r="U43" s="46">
        <f t="shared" si="8"/>
        <v>467.55279999999999</v>
      </c>
    </row>
    <row r="44" spans="1:21">
      <c r="A44" s="35" t="s">
        <v>82</v>
      </c>
      <c r="B44" s="11" t="s">
        <v>83</v>
      </c>
      <c r="C44" s="35" t="s">
        <v>43</v>
      </c>
      <c r="D44" s="11" t="s">
        <v>79</v>
      </c>
      <c r="E44" s="43">
        <v>3135.64</v>
      </c>
      <c r="F44" s="44">
        <f>SUM(E44*2/1000)</f>
        <v>6.27128</v>
      </c>
      <c r="G44" s="63">
        <v>1564.24</v>
      </c>
      <c r="H44" s="45">
        <f t="shared" si="7"/>
        <v>9.8097870272000005</v>
      </c>
      <c r="I44" s="46">
        <v>0</v>
      </c>
      <c r="J44" s="46">
        <v>0</v>
      </c>
      <c r="K44" s="46">
        <v>0</v>
      </c>
      <c r="L44" s="46">
        <f>F44/2*G44</f>
        <v>4904.8935136</v>
      </c>
      <c r="M44" s="46">
        <v>0</v>
      </c>
      <c r="N44" s="46">
        <v>0</v>
      </c>
      <c r="O44" s="46">
        <v>0</v>
      </c>
      <c r="P44" s="46">
        <v>0</v>
      </c>
      <c r="Q44" s="46">
        <f>F44/2*G44</f>
        <v>4904.8935136</v>
      </c>
      <c r="R44" s="46">
        <v>0</v>
      </c>
      <c r="S44" s="46">
        <v>0</v>
      </c>
      <c r="T44" s="46">
        <v>0</v>
      </c>
      <c r="U44" s="46">
        <f t="shared" si="8"/>
        <v>9809.7870272</v>
      </c>
    </row>
    <row r="45" spans="1:21">
      <c r="A45" s="35" t="s">
        <v>84</v>
      </c>
      <c r="B45" s="11" t="s">
        <v>85</v>
      </c>
      <c r="C45" s="35" t="s">
        <v>43</v>
      </c>
      <c r="D45" s="11" t="s">
        <v>79</v>
      </c>
      <c r="E45" s="43">
        <v>1678.47</v>
      </c>
      <c r="F45" s="44">
        <f>SUM(E45*2/1000)</f>
        <v>3.3569400000000003</v>
      </c>
      <c r="G45" s="63">
        <v>1078.3599999999999</v>
      </c>
      <c r="H45" s="45">
        <f t="shared" si="7"/>
        <v>3.6199898183999997</v>
      </c>
      <c r="I45" s="46">
        <v>0</v>
      </c>
      <c r="J45" s="46">
        <v>0</v>
      </c>
      <c r="K45" s="46">
        <v>0</v>
      </c>
      <c r="L45" s="46">
        <f>F45/2*G45</f>
        <v>1809.9949091999999</v>
      </c>
      <c r="M45" s="46">
        <v>0</v>
      </c>
      <c r="N45" s="46">
        <v>0</v>
      </c>
      <c r="O45" s="46">
        <v>0</v>
      </c>
      <c r="P45" s="46">
        <v>0</v>
      </c>
      <c r="Q45" s="46">
        <f>F45/2*G45</f>
        <v>1809.9949091999999</v>
      </c>
      <c r="R45" s="46">
        <v>0</v>
      </c>
      <c r="S45" s="46">
        <v>0</v>
      </c>
      <c r="T45" s="46">
        <v>0</v>
      </c>
      <c r="U45" s="46">
        <f t="shared" si="8"/>
        <v>3619.9898183999999</v>
      </c>
    </row>
    <row r="46" spans="1:21" ht="25.5">
      <c r="A46" s="35" t="s">
        <v>86</v>
      </c>
      <c r="B46" s="11" t="s">
        <v>87</v>
      </c>
      <c r="C46" s="35" t="s">
        <v>43</v>
      </c>
      <c r="D46" s="11" t="s">
        <v>88</v>
      </c>
      <c r="E46" s="43">
        <v>614.29999999999995</v>
      </c>
      <c r="F46" s="44">
        <f>SUM(E46*5/1000)</f>
        <v>3.0714999999999999</v>
      </c>
      <c r="G46" s="63">
        <v>1838.49</v>
      </c>
      <c r="H46" s="45">
        <f t="shared" si="7"/>
        <v>5.6469220349999993</v>
      </c>
      <c r="I46" s="46">
        <f>F46/5*G46</f>
        <v>1129.384407</v>
      </c>
      <c r="J46" s="46">
        <f>F46/5*G46</f>
        <v>1129.384407</v>
      </c>
      <c r="K46" s="46">
        <f>0</f>
        <v>0</v>
      </c>
      <c r="L46" s="46">
        <v>0</v>
      </c>
      <c r="M46" s="46">
        <f>F46/5*G46</f>
        <v>1129.384407</v>
      </c>
      <c r="N46" s="46">
        <v>0</v>
      </c>
      <c r="O46" s="46">
        <v>0</v>
      </c>
      <c r="P46" s="46">
        <v>0</v>
      </c>
      <c r="Q46" s="46">
        <f>F46/5*G46</f>
        <v>1129.384407</v>
      </c>
      <c r="R46" s="46">
        <v>0</v>
      </c>
      <c r="S46" s="46">
        <v>0</v>
      </c>
      <c r="T46" s="46">
        <f>F46/5*G46</f>
        <v>1129.384407</v>
      </c>
      <c r="U46" s="46">
        <f t="shared" si="8"/>
        <v>5646.9220349999996</v>
      </c>
    </row>
    <row r="47" spans="1:21" ht="39.6" customHeight="1">
      <c r="A47" s="35" t="s">
        <v>89</v>
      </c>
      <c r="B47" s="11" t="s">
        <v>90</v>
      </c>
      <c r="C47" s="35" t="s">
        <v>43</v>
      </c>
      <c r="D47" s="11" t="s">
        <v>79</v>
      </c>
      <c r="E47" s="43">
        <v>614.29999999999995</v>
      </c>
      <c r="F47" s="44">
        <f>SUM(E47*2/1000)</f>
        <v>1.2285999999999999</v>
      </c>
      <c r="G47" s="63">
        <v>1380.31</v>
      </c>
      <c r="H47" s="45">
        <f t="shared" si="7"/>
        <v>1.6958488659999997</v>
      </c>
      <c r="I47" s="46">
        <v>0</v>
      </c>
      <c r="J47" s="46">
        <v>0</v>
      </c>
      <c r="K47" s="46">
        <f>F47/2*G47</f>
        <v>847.92443299999991</v>
      </c>
      <c r="L47" s="46">
        <v>0</v>
      </c>
      <c r="M47" s="46">
        <v>0</v>
      </c>
      <c r="N47" s="46">
        <v>0</v>
      </c>
      <c r="O47" s="46">
        <v>0</v>
      </c>
      <c r="P47" s="46">
        <v>0</v>
      </c>
      <c r="Q47" s="46">
        <f>F47/2*G47</f>
        <v>847.92443299999991</v>
      </c>
      <c r="R47" s="46">
        <v>0</v>
      </c>
      <c r="S47" s="46">
        <v>0</v>
      </c>
      <c r="T47" s="46">
        <v>0</v>
      </c>
      <c r="U47" s="46">
        <f t="shared" si="8"/>
        <v>1695.8488659999998</v>
      </c>
    </row>
    <row r="48" spans="1:21" ht="28.9" customHeight="1">
      <c r="A48" s="35" t="s">
        <v>91</v>
      </c>
      <c r="B48" s="11" t="s">
        <v>92</v>
      </c>
      <c r="C48" s="35" t="s">
        <v>93</v>
      </c>
      <c r="D48" s="11" t="s">
        <v>79</v>
      </c>
      <c r="E48" s="43">
        <v>20</v>
      </c>
      <c r="F48" s="44">
        <f>SUM(E48*2/100)</f>
        <v>0.4</v>
      </c>
      <c r="G48" s="63">
        <v>3519.56</v>
      </c>
      <c r="H48" s="45">
        <f t="shared" si="7"/>
        <v>1.407824</v>
      </c>
      <c r="I48" s="46">
        <v>0</v>
      </c>
      <c r="J48" s="46">
        <v>0</v>
      </c>
      <c r="K48" s="46">
        <f>F48/2*G48</f>
        <v>703.91200000000003</v>
      </c>
      <c r="L48" s="46">
        <v>0</v>
      </c>
      <c r="M48" s="46">
        <v>0</v>
      </c>
      <c r="N48" s="46">
        <v>0</v>
      </c>
      <c r="O48" s="46">
        <v>0</v>
      </c>
      <c r="P48" s="46">
        <v>0</v>
      </c>
      <c r="Q48" s="46">
        <f>F48/2*G48</f>
        <v>703.91200000000003</v>
      </c>
      <c r="R48" s="46">
        <v>0</v>
      </c>
      <c r="S48" s="46">
        <v>0</v>
      </c>
      <c r="T48" s="46">
        <v>0</v>
      </c>
      <c r="U48" s="46">
        <f t="shared" si="8"/>
        <v>1407.8240000000001</v>
      </c>
    </row>
    <row r="49" spans="1:21">
      <c r="A49" s="35" t="s">
        <v>94</v>
      </c>
      <c r="B49" s="11" t="s">
        <v>95</v>
      </c>
      <c r="C49" s="35" t="s">
        <v>96</v>
      </c>
      <c r="D49" s="11" t="s">
        <v>79</v>
      </c>
      <c r="E49" s="43">
        <v>1</v>
      </c>
      <c r="F49" s="44">
        <v>0.02</v>
      </c>
      <c r="G49" s="63">
        <v>6428.82</v>
      </c>
      <c r="H49" s="45">
        <f t="shared" si="7"/>
        <v>0.12857640000000001</v>
      </c>
      <c r="I49" s="46">
        <v>0</v>
      </c>
      <c r="J49" s="46">
        <f>F49/2*G49</f>
        <v>64.288200000000003</v>
      </c>
      <c r="K49" s="46">
        <v>0</v>
      </c>
      <c r="L49" s="46">
        <v>0</v>
      </c>
      <c r="M49" s="46">
        <v>0</v>
      </c>
      <c r="N49" s="46">
        <v>0</v>
      </c>
      <c r="O49" s="46">
        <v>0</v>
      </c>
      <c r="P49" s="46">
        <v>0</v>
      </c>
      <c r="Q49" s="46">
        <f>F49/2*G49</f>
        <v>64.288200000000003</v>
      </c>
      <c r="R49" s="46">
        <v>0</v>
      </c>
      <c r="S49" s="46">
        <v>0</v>
      </c>
      <c r="T49" s="46">
        <v>0</v>
      </c>
      <c r="U49" s="46">
        <f t="shared" si="8"/>
        <v>128.57640000000001</v>
      </c>
    </row>
    <row r="50" spans="1:21" ht="13.5" customHeight="1">
      <c r="A50" s="35" t="s">
        <v>98</v>
      </c>
      <c r="B50" s="11" t="s">
        <v>99</v>
      </c>
      <c r="C50" s="35" t="s">
        <v>97</v>
      </c>
      <c r="D50" s="11" t="s">
        <v>181</v>
      </c>
      <c r="E50" s="43">
        <v>170</v>
      </c>
      <c r="F50" s="44">
        <f>SUM(E50)*3</f>
        <v>510</v>
      </c>
      <c r="G50" s="64">
        <v>74.709999999999994</v>
      </c>
      <c r="H50" s="45">
        <f t="shared" si="7"/>
        <v>38.1021</v>
      </c>
      <c r="I50" s="46">
        <v>0</v>
      </c>
      <c r="J50" s="46">
        <f>E50*G50</f>
        <v>12700.699999999999</v>
      </c>
      <c r="K50" s="46">
        <v>0</v>
      </c>
      <c r="L50" s="46">
        <f>E50*G50</f>
        <v>12700.699999999999</v>
      </c>
      <c r="M50" s="46">
        <v>0</v>
      </c>
      <c r="N50" s="46">
        <v>0</v>
      </c>
      <c r="O50" s="46">
        <v>0</v>
      </c>
      <c r="P50" s="46">
        <f>E50*G50</f>
        <v>12700.699999999999</v>
      </c>
      <c r="Q50" s="46">
        <v>0</v>
      </c>
      <c r="R50" s="46">
        <v>0</v>
      </c>
      <c r="S50" s="46">
        <v>0</v>
      </c>
      <c r="T50" s="46">
        <v>0</v>
      </c>
      <c r="U50" s="46">
        <f t="shared" si="8"/>
        <v>38102.1</v>
      </c>
    </row>
    <row r="51" spans="1:21" s="21" customFormat="1">
      <c r="A51" s="49"/>
      <c r="B51" s="20" t="s">
        <v>35</v>
      </c>
      <c r="C51" s="65"/>
      <c r="D51" s="20"/>
      <c r="E51" s="66"/>
      <c r="F51" s="67"/>
      <c r="G51" s="67"/>
      <c r="H51" s="59">
        <f>SUM(H42:H50)</f>
        <v>62.223868802599995</v>
      </c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>
        <f>SUM(U42:U50)</f>
        <v>62223.868802600002</v>
      </c>
    </row>
    <row r="52" spans="1:21">
      <c r="A52" s="35"/>
      <c r="B52" s="12" t="s">
        <v>100</v>
      </c>
      <c r="C52" s="35"/>
      <c r="D52" s="11"/>
      <c r="E52" s="43"/>
      <c r="F52" s="44"/>
      <c r="G52" s="44"/>
      <c r="H52" s="45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</row>
    <row r="53" spans="1:21" ht="38.25" customHeight="1">
      <c r="A53" s="35" t="s">
        <v>102</v>
      </c>
      <c r="B53" s="11" t="s">
        <v>147</v>
      </c>
      <c r="C53" s="35" t="s">
        <v>14</v>
      </c>
      <c r="D53" s="11" t="s">
        <v>101</v>
      </c>
      <c r="E53" s="43">
        <v>63.07</v>
      </c>
      <c r="F53" s="44">
        <f>SUM(E53*6/100)</f>
        <v>3.7842000000000002</v>
      </c>
      <c r="G53" s="63">
        <v>1759.9</v>
      </c>
      <c r="H53" s="45">
        <f>SUM(F53*G53/1000)</f>
        <v>6.6598135800000007</v>
      </c>
      <c r="I53" s="46">
        <f>F53/6*G53</f>
        <v>1109.9689300000002</v>
      </c>
      <c r="J53" s="46">
        <f>F53/6*G53</f>
        <v>1109.9689300000002</v>
      </c>
      <c r="K53" s="46">
        <f>F53/6*G53</f>
        <v>1109.9689300000002</v>
      </c>
      <c r="L53" s="46">
        <f>F53/6*G53</f>
        <v>1109.9689300000002</v>
      </c>
      <c r="M53" s="46">
        <v>0</v>
      </c>
      <c r="N53" s="46">
        <v>0</v>
      </c>
      <c r="O53" s="46">
        <v>0</v>
      </c>
      <c r="P53" s="46">
        <v>0</v>
      </c>
      <c r="Q53" s="46">
        <v>0</v>
      </c>
      <c r="R53" s="46">
        <v>0</v>
      </c>
      <c r="S53" s="46">
        <f>F53/6*G53</f>
        <v>1109.9689300000002</v>
      </c>
      <c r="T53" s="46">
        <f>F53/6*G53</f>
        <v>1109.9689300000002</v>
      </c>
      <c r="U53" s="46">
        <f>SUM(I53:L53)</f>
        <v>4439.8757200000009</v>
      </c>
    </row>
    <row r="54" spans="1:21" ht="12.75" customHeight="1">
      <c r="A54" s="69"/>
      <c r="B54" s="25" t="s">
        <v>103</v>
      </c>
      <c r="C54" s="69"/>
      <c r="D54" s="24"/>
      <c r="E54" s="70"/>
      <c r="F54" s="71"/>
      <c r="G54" s="63"/>
      <c r="H54" s="72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</row>
    <row r="55" spans="1:21" ht="12.75" customHeight="1">
      <c r="A55" s="69" t="s">
        <v>104</v>
      </c>
      <c r="B55" s="24" t="s">
        <v>166</v>
      </c>
      <c r="C55" s="69" t="s">
        <v>30</v>
      </c>
      <c r="D55" s="24" t="s">
        <v>47</v>
      </c>
      <c r="E55" s="70">
        <v>614.29999999999995</v>
      </c>
      <c r="F55" s="71">
        <v>6.1429999999999998</v>
      </c>
      <c r="G55" s="63">
        <v>902.66</v>
      </c>
      <c r="H55" s="72">
        <f>F55*G55/1000</f>
        <v>5.5450403799999997</v>
      </c>
      <c r="I55" s="46">
        <v>0</v>
      </c>
      <c r="J55" s="46">
        <v>0</v>
      </c>
      <c r="K55" s="46">
        <v>0</v>
      </c>
      <c r="L55" s="46">
        <v>0</v>
      </c>
      <c r="M55" s="46">
        <v>0</v>
      </c>
      <c r="N55" s="46">
        <v>0</v>
      </c>
      <c r="O55" s="46">
        <v>0</v>
      </c>
      <c r="P55" s="46">
        <v>0</v>
      </c>
      <c r="Q55" s="46">
        <v>0</v>
      </c>
      <c r="R55" s="46">
        <v>0</v>
      </c>
      <c r="S55" s="46">
        <v>0</v>
      </c>
      <c r="T55" s="46">
        <v>0</v>
      </c>
      <c r="U55" s="46">
        <f>SUM(I55:L55)</f>
        <v>0</v>
      </c>
    </row>
    <row r="56" spans="1:21" ht="12.75" customHeight="1">
      <c r="A56" s="69"/>
      <c r="B56" s="24" t="s">
        <v>160</v>
      </c>
      <c r="C56" s="69" t="s">
        <v>105</v>
      </c>
      <c r="D56" s="24" t="s">
        <v>157</v>
      </c>
      <c r="E56" s="70">
        <v>100</v>
      </c>
      <c r="F56" s="73">
        <f>E56*12</f>
        <v>1200</v>
      </c>
      <c r="G56" s="74">
        <v>2.83</v>
      </c>
      <c r="H56" s="71">
        <f>F56*G56/1000</f>
        <v>3.3959999999999999</v>
      </c>
      <c r="I56" s="46">
        <f>F56/12*G56</f>
        <v>283</v>
      </c>
      <c r="J56" s="46">
        <f>F56/12*G56</f>
        <v>283</v>
      </c>
      <c r="K56" s="46">
        <f>F56/12*G56</f>
        <v>283</v>
      </c>
      <c r="L56" s="46">
        <f>F56/12*G56</f>
        <v>283</v>
      </c>
      <c r="M56" s="46">
        <f>F56/12*G56</f>
        <v>283</v>
      </c>
      <c r="N56" s="46">
        <f>F56/12*G56</f>
        <v>283</v>
      </c>
      <c r="O56" s="46">
        <f>F56/12*G56</f>
        <v>283</v>
      </c>
      <c r="P56" s="46">
        <f>F56/12*G56</f>
        <v>283</v>
      </c>
      <c r="Q56" s="46">
        <f>F56/12*G56</f>
        <v>283</v>
      </c>
      <c r="R56" s="46">
        <f>F56/12*G56</f>
        <v>283</v>
      </c>
      <c r="S56" s="46">
        <f>F56/12*G56</f>
        <v>283</v>
      </c>
      <c r="T56" s="46">
        <f>F56/12*G56</f>
        <v>283</v>
      </c>
      <c r="U56" s="46">
        <f>SUM(I56:L56)</f>
        <v>1132</v>
      </c>
    </row>
    <row r="57" spans="1:21">
      <c r="A57" s="69"/>
      <c r="B57" s="15" t="s">
        <v>107</v>
      </c>
      <c r="C57" s="69"/>
      <c r="D57" s="24"/>
      <c r="E57" s="70"/>
      <c r="F57" s="73"/>
      <c r="G57" s="73"/>
      <c r="H57" s="71" t="s">
        <v>64</v>
      </c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</row>
    <row r="58" spans="1:21" ht="20.25" customHeight="1">
      <c r="A58" s="75" t="s">
        <v>108</v>
      </c>
      <c r="B58" s="16" t="s">
        <v>109</v>
      </c>
      <c r="C58" s="75" t="s">
        <v>97</v>
      </c>
      <c r="D58" s="8" t="s">
        <v>56</v>
      </c>
      <c r="E58" s="76">
        <v>25</v>
      </c>
      <c r="F58" s="44">
        <v>25</v>
      </c>
      <c r="G58" s="63">
        <v>252.96</v>
      </c>
      <c r="H58" s="77">
        <f t="shared" ref="H58:H71" si="9">SUM(F58*G58/1000)</f>
        <v>6.3239999999999998</v>
      </c>
      <c r="I58" s="46">
        <v>0</v>
      </c>
      <c r="J58" s="46">
        <v>0</v>
      </c>
      <c r="K58" s="46">
        <v>0</v>
      </c>
      <c r="L58" s="46">
        <v>0</v>
      </c>
      <c r="M58" s="46">
        <v>0</v>
      </c>
      <c r="N58" s="46">
        <v>0</v>
      </c>
      <c r="O58" s="46">
        <v>0</v>
      </c>
      <c r="P58" s="46">
        <v>0</v>
      </c>
      <c r="Q58" s="46">
        <v>0</v>
      </c>
      <c r="R58" s="46">
        <v>0</v>
      </c>
      <c r="S58" s="46">
        <f>G58</f>
        <v>252.96</v>
      </c>
      <c r="T58" s="46">
        <v>0</v>
      </c>
      <c r="U58" s="46">
        <f>SUM(I58:T58)</f>
        <v>252.96</v>
      </c>
    </row>
    <row r="59" spans="1:21" ht="12.75" customHeight="1">
      <c r="A59" s="75" t="s">
        <v>110</v>
      </c>
      <c r="B59" s="16" t="s">
        <v>111</v>
      </c>
      <c r="C59" s="75" t="s">
        <v>97</v>
      </c>
      <c r="D59" s="8" t="s">
        <v>56</v>
      </c>
      <c r="E59" s="76">
        <v>2</v>
      </c>
      <c r="F59" s="44">
        <v>2</v>
      </c>
      <c r="G59" s="63">
        <v>86.74</v>
      </c>
      <c r="H59" s="77">
        <f t="shared" si="9"/>
        <v>0.17348</v>
      </c>
      <c r="I59" s="46">
        <f>G59</f>
        <v>86.74</v>
      </c>
      <c r="J59" s="46">
        <v>0</v>
      </c>
      <c r="K59" s="46">
        <v>0</v>
      </c>
      <c r="L59" s="46">
        <f>G59</f>
        <v>86.74</v>
      </c>
      <c r="M59" s="46">
        <v>0</v>
      </c>
      <c r="N59" s="46">
        <v>0</v>
      </c>
      <c r="O59" s="46">
        <v>0</v>
      </c>
      <c r="P59" s="46">
        <v>0</v>
      </c>
      <c r="Q59" s="46">
        <v>0</v>
      </c>
      <c r="R59" s="46">
        <v>0</v>
      </c>
      <c r="S59" s="46">
        <f>G59</f>
        <v>86.74</v>
      </c>
      <c r="T59" s="46">
        <f>G59*2</f>
        <v>173.48</v>
      </c>
      <c r="U59" s="46">
        <f t="shared" ref="U59:U65" si="10">SUM(I59:T59)</f>
        <v>433.69999999999993</v>
      </c>
    </row>
    <row r="60" spans="1:21" s="1" customFormat="1">
      <c r="A60" s="78" t="s">
        <v>112</v>
      </c>
      <c r="B60" s="16" t="s">
        <v>113</v>
      </c>
      <c r="C60" s="78" t="s">
        <v>114</v>
      </c>
      <c r="D60" s="8" t="s">
        <v>47</v>
      </c>
      <c r="E60" s="43">
        <v>8692</v>
      </c>
      <c r="F60" s="64">
        <f>SUM(E60/100)</f>
        <v>86.92</v>
      </c>
      <c r="G60" s="63">
        <v>241.31</v>
      </c>
      <c r="H60" s="77">
        <f t="shared" si="9"/>
        <v>20.9746652</v>
      </c>
      <c r="I60" s="62">
        <v>0</v>
      </c>
      <c r="J60" s="62">
        <v>0</v>
      </c>
      <c r="K60" s="62">
        <v>0</v>
      </c>
      <c r="L60" s="62">
        <v>0</v>
      </c>
      <c r="M60" s="62">
        <f>F60*G60</f>
        <v>20974.665199999999</v>
      </c>
      <c r="N60" s="62">
        <v>0</v>
      </c>
      <c r="O60" s="62">
        <v>0</v>
      </c>
      <c r="P60" s="62">
        <v>0</v>
      </c>
      <c r="Q60" s="62">
        <v>0</v>
      </c>
      <c r="R60" s="62">
        <v>0</v>
      </c>
      <c r="S60" s="62">
        <v>0</v>
      </c>
      <c r="T60" s="62">
        <v>0</v>
      </c>
      <c r="U60" s="46">
        <f t="shared" si="10"/>
        <v>20974.665199999999</v>
      </c>
    </row>
    <row r="61" spans="1:21">
      <c r="A61" s="75" t="s">
        <v>115</v>
      </c>
      <c r="B61" s="16" t="s">
        <v>116</v>
      </c>
      <c r="C61" s="75" t="s">
        <v>117</v>
      </c>
      <c r="D61" s="8"/>
      <c r="E61" s="43">
        <v>8692</v>
      </c>
      <c r="F61" s="63">
        <f>SUM(E61/1000)</f>
        <v>8.6920000000000002</v>
      </c>
      <c r="G61" s="63">
        <v>187.91</v>
      </c>
      <c r="H61" s="77">
        <f t="shared" si="9"/>
        <v>1.6333137200000001</v>
      </c>
      <c r="I61" s="46">
        <v>0</v>
      </c>
      <c r="J61" s="46">
        <v>0</v>
      </c>
      <c r="K61" s="46">
        <v>0</v>
      </c>
      <c r="L61" s="46">
        <v>0</v>
      </c>
      <c r="M61" s="46">
        <f>F61*G61</f>
        <v>1633.3137200000001</v>
      </c>
      <c r="N61" s="46">
        <v>0</v>
      </c>
      <c r="O61" s="46">
        <v>0</v>
      </c>
      <c r="P61" s="46">
        <v>0</v>
      </c>
      <c r="Q61" s="46">
        <v>0</v>
      </c>
      <c r="R61" s="46">
        <v>0</v>
      </c>
      <c r="S61" s="46">
        <v>0</v>
      </c>
      <c r="T61" s="46">
        <v>0</v>
      </c>
      <c r="U61" s="46">
        <f t="shared" si="10"/>
        <v>1633.3137200000001</v>
      </c>
    </row>
    <row r="62" spans="1:21">
      <c r="A62" s="75" t="s">
        <v>118</v>
      </c>
      <c r="B62" s="16" t="s">
        <v>119</v>
      </c>
      <c r="C62" s="75" t="s">
        <v>120</v>
      </c>
      <c r="D62" s="8" t="s">
        <v>47</v>
      </c>
      <c r="E62" s="43">
        <v>855</v>
      </c>
      <c r="F62" s="63">
        <f>SUM(E62/100)</f>
        <v>8.5500000000000007</v>
      </c>
      <c r="G62" s="63">
        <v>2359.7199999999998</v>
      </c>
      <c r="H62" s="77">
        <f t="shared" si="9"/>
        <v>20.175605999999998</v>
      </c>
      <c r="I62" s="46">
        <v>0</v>
      </c>
      <c r="J62" s="46">
        <v>0</v>
      </c>
      <c r="K62" s="46">
        <v>0</v>
      </c>
      <c r="L62" s="46">
        <v>0</v>
      </c>
      <c r="M62" s="46">
        <f>F62*G62</f>
        <v>20175.606</v>
      </c>
      <c r="N62" s="46">
        <v>0</v>
      </c>
      <c r="O62" s="46">
        <v>0</v>
      </c>
      <c r="P62" s="46">
        <v>0</v>
      </c>
      <c r="Q62" s="46">
        <v>0</v>
      </c>
      <c r="R62" s="46">
        <v>0</v>
      </c>
      <c r="S62" s="46">
        <v>0</v>
      </c>
      <c r="T62" s="46">
        <v>0</v>
      </c>
      <c r="U62" s="46">
        <f t="shared" si="10"/>
        <v>20175.606</v>
      </c>
    </row>
    <row r="63" spans="1:21">
      <c r="A63" s="75"/>
      <c r="B63" s="17" t="s">
        <v>148</v>
      </c>
      <c r="C63" s="75" t="s">
        <v>54</v>
      </c>
      <c r="D63" s="8"/>
      <c r="E63" s="43">
        <v>8.6</v>
      </c>
      <c r="F63" s="63">
        <f>SUM(E63)</f>
        <v>8.6</v>
      </c>
      <c r="G63" s="63">
        <v>42.67</v>
      </c>
      <c r="H63" s="77">
        <f t="shared" si="9"/>
        <v>0.36696200000000001</v>
      </c>
      <c r="I63" s="46">
        <v>0</v>
      </c>
      <c r="J63" s="46">
        <v>0</v>
      </c>
      <c r="K63" s="46">
        <v>0</v>
      </c>
      <c r="L63" s="46">
        <v>0</v>
      </c>
      <c r="M63" s="46">
        <f>F63*G63</f>
        <v>366.96199999999999</v>
      </c>
      <c r="N63" s="46">
        <v>0</v>
      </c>
      <c r="O63" s="46">
        <v>0</v>
      </c>
      <c r="P63" s="46">
        <v>0</v>
      </c>
      <c r="Q63" s="46">
        <v>0</v>
      </c>
      <c r="R63" s="46">
        <v>0</v>
      </c>
      <c r="S63" s="46">
        <v>0</v>
      </c>
      <c r="T63" s="46">
        <v>0</v>
      </c>
      <c r="U63" s="46">
        <f t="shared" si="10"/>
        <v>366.96199999999999</v>
      </c>
    </row>
    <row r="64" spans="1:21">
      <c r="A64" s="79"/>
      <c r="B64" s="17" t="s">
        <v>149</v>
      </c>
      <c r="C64" s="75" t="s">
        <v>54</v>
      </c>
      <c r="D64" s="8"/>
      <c r="E64" s="43">
        <v>8.6</v>
      </c>
      <c r="F64" s="63">
        <f>SUM(E64)</f>
        <v>8.6</v>
      </c>
      <c r="G64" s="63">
        <v>39.81</v>
      </c>
      <c r="H64" s="77">
        <f t="shared" si="9"/>
        <v>0.342366</v>
      </c>
      <c r="I64" s="46">
        <v>0</v>
      </c>
      <c r="J64" s="46">
        <v>0</v>
      </c>
      <c r="K64" s="46">
        <v>0</v>
      </c>
      <c r="L64" s="46">
        <v>0</v>
      </c>
      <c r="M64" s="46">
        <f>F64*G64</f>
        <v>342.36599999999999</v>
      </c>
      <c r="N64" s="46">
        <v>0</v>
      </c>
      <c r="O64" s="46">
        <v>0</v>
      </c>
      <c r="P64" s="46">
        <v>0</v>
      </c>
      <c r="Q64" s="46">
        <v>0</v>
      </c>
      <c r="R64" s="46">
        <v>0</v>
      </c>
      <c r="S64" s="46">
        <v>0</v>
      </c>
      <c r="T64" s="46">
        <v>0</v>
      </c>
      <c r="U64" s="46">
        <f t="shared" si="10"/>
        <v>342.36599999999999</v>
      </c>
    </row>
    <row r="65" spans="1:21">
      <c r="A65" s="75" t="s">
        <v>121</v>
      </c>
      <c r="B65" s="8" t="s">
        <v>122</v>
      </c>
      <c r="C65" s="75" t="s">
        <v>123</v>
      </c>
      <c r="D65" s="8" t="s">
        <v>47</v>
      </c>
      <c r="E65" s="76">
        <v>5</v>
      </c>
      <c r="F65" s="44">
        <v>5</v>
      </c>
      <c r="G65" s="63">
        <v>56.74</v>
      </c>
      <c r="H65" s="77">
        <f t="shared" si="9"/>
        <v>0.28370000000000001</v>
      </c>
      <c r="I65" s="46">
        <v>0</v>
      </c>
      <c r="J65" s="46">
        <v>0</v>
      </c>
      <c r="K65" s="46">
        <v>0</v>
      </c>
      <c r="L65" s="46">
        <v>0</v>
      </c>
      <c r="M65" s="46">
        <v>0</v>
      </c>
      <c r="N65" s="46">
        <v>0</v>
      </c>
      <c r="O65" s="46">
        <v>0</v>
      </c>
      <c r="P65" s="46">
        <v>0</v>
      </c>
      <c r="Q65" s="46">
        <f>F65*G65</f>
        <v>283.7</v>
      </c>
      <c r="R65" s="46">
        <v>0</v>
      </c>
      <c r="S65" s="46">
        <v>0</v>
      </c>
      <c r="T65" s="46">
        <v>0</v>
      </c>
      <c r="U65" s="46">
        <f t="shared" si="10"/>
        <v>283.7</v>
      </c>
    </row>
    <row r="66" spans="1:21">
      <c r="A66" s="79"/>
      <c r="B66" s="18" t="s">
        <v>124</v>
      </c>
      <c r="C66" s="75"/>
      <c r="D66" s="8"/>
      <c r="E66" s="76"/>
      <c r="F66" s="63"/>
      <c r="G66" s="63"/>
      <c r="H66" s="77" t="s">
        <v>64</v>
      </c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</row>
    <row r="67" spans="1:21">
      <c r="A67" s="75" t="s">
        <v>125</v>
      </c>
      <c r="B67" s="8" t="s">
        <v>126</v>
      </c>
      <c r="C67" s="75" t="s">
        <v>127</v>
      </c>
      <c r="D67" s="8"/>
      <c r="E67" s="76">
        <v>20</v>
      </c>
      <c r="F67" s="63">
        <v>2</v>
      </c>
      <c r="G67" s="63">
        <v>570.54</v>
      </c>
      <c r="H67" s="77">
        <f t="shared" si="9"/>
        <v>1.1410799999999999</v>
      </c>
      <c r="I67" s="46">
        <f>G67*3.5</f>
        <v>1996.8899999999999</v>
      </c>
      <c r="J67" s="46">
        <f>G67*2</f>
        <v>1141.08</v>
      </c>
      <c r="K67" s="46">
        <f>G67*4.6</f>
        <v>2624.4839999999995</v>
      </c>
      <c r="L67" s="46">
        <f>G67*1.4</f>
        <v>798.75599999999986</v>
      </c>
      <c r="M67" s="46">
        <f>G67*4.3</f>
        <v>2453.3219999999997</v>
      </c>
      <c r="N67" s="46">
        <f>G67*4</f>
        <v>2282.16</v>
      </c>
      <c r="O67" s="46">
        <f>G67*1.6</f>
        <v>912.86400000000003</v>
      </c>
      <c r="P67" s="46">
        <f>G67*0.8</f>
        <v>456.43200000000002</v>
      </c>
      <c r="Q67" s="46">
        <f>G67*2</f>
        <v>1141.08</v>
      </c>
      <c r="R67" s="46">
        <f>G67*2.4</f>
        <v>1369.2959999999998</v>
      </c>
      <c r="S67" s="46">
        <f>G67*5.4</f>
        <v>3080.9160000000002</v>
      </c>
      <c r="T67" s="46">
        <f>G67*3.7</f>
        <v>2110.998</v>
      </c>
      <c r="U67" s="46">
        <f>SUM(I67:L67)</f>
        <v>6561.2099999999991</v>
      </c>
    </row>
    <row r="68" spans="1:21">
      <c r="A68" s="75" t="s">
        <v>150</v>
      </c>
      <c r="B68" s="8" t="s">
        <v>151</v>
      </c>
      <c r="C68" s="75" t="s">
        <v>50</v>
      </c>
      <c r="D68" s="8"/>
      <c r="E68" s="76">
        <v>2</v>
      </c>
      <c r="F68" s="74">
        <v>2</v>
      </c>
      <c r="G68" s="63">
        <v>970.21</v>
      </c>
      <c r="H68" s="77">
        <f>F68*G68/1000</f>
        <v>1.94042</v>
      </c>
      <c r="I68" s="46">
        <v>0</v>
      </c>
      <c r="J68" s="46">
        <v>0</v>
      </c>
      <c r="K68" s="46">
        <v>0</v>
      </c>
      <c r="L68" s="46">
        <v>0</v>
      </c>
      <c r="M68" s="46">
        <v>0</v>
      </c>
      <c r="N68" s="46">
        <v>0</v>
      </c>
      <c r="O68" s="46">
        <v>0</v>
      </c>
      <c r="P68" s="46">
        <v>0</v>
      </c>
      <c r="Q68" s="46">
        <v>0</v>
      </c>
      <c r="R68" s="46">
        <v>0</v>
      </c>
      <c r="S68" s="46">
        <v>0</v>
      </c>
      <c r="T68" s="46">
        <v>0</v>
      </c>
      <c r="U68" s="46">
        <f>SUM(I68:L68)</f>
        <v>0</v>
      </c>
    </row>
    <row r="69" spans="1:21">
      <c r="A69" s="75" t="s">
        <v>130</v>
      </c>
      <c r="B69" s="8" t="s">
        <v>153</v>
      </c>
      <c r="C69" s="75" t="s">
        <v>50</v>
      </c>
      <c r="D69" s="8"/>
      <c r="E69" s="76">
        <v>2</v>
      </c>
      <c r="F69" s="63">
        <v>2</v>
      </c>
      <c r="G69" s="63">
        <v>407.79</v>
      </c>
      <c r="H69" s="77">
        <f>G69*F69/1000</f>
        <v>0.81558000000000008</v>
      </c>
      <c r="I69" s="46">
        <f>G69</f>
        <v>407.79</v>
      </c>
      <c r="J69" s="46">
        <v>0</v>
      </c>
      <c r="K69" s="46">
        <v>0</v>
      </c>
      <c r="L69" s="46">
        <v>0</v>
      </c>
      <c r="M69" s="46">
        <v>0</v>
      </c>
      <c r="N69" s="46">
        <v>0</v>
      </c>
      <c r="O69" s="46">
        <v>0</v>
      </c>
      <c r="P69" s="46">
        <v>0</v>
      </c>
      <c r="Q69" s="46">
        <v>0</v>
      </c>
      <c r="R69" s="46">
        <v>0</v>
      </c>
      <c r="S69" s="46">
        <v>0</v>
      </c>
      <c r="T69" s="46">
        <f>G69</f>
        <v>407.79</v>
      </c>
      <c r="U69" s="46">
        <f>SUM(I69:L69)</f>
        <v>407.79</v>
      </c>
    </row>
    <row r="70" spans="1:21">
      <c r="A70" s="79"/>
      <c r="B70" s="80" t="s">
        <v>131</v>
      </c>
      <c r="C70" s="75"/>
      <c r="D70" s="8"/>
      <c r="E70" s="76"/>
      <c r="F70" s="63"/>
      <c r="G70" s="63" t="s">
        <v>64</v>
      </c>
      <c r="H70" s="77" t="s">
        <v>64</v>
      </c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</row>
    <row r="71" spans="1:21" s="1" customFormat="1">
      <c r="A71" s="78" t="s">
        <v>132</v>
      </c>
      <c r="B71" s="81" t="s">
        <v>133</v>
      </c>
      <c r="C71" s="78" t="s">
        <v>120</v>
      </c>
      <c r="D71" s="16"/>
      <c r="E71" s="82"/>
      <c r="F71" s="64">
        <v>1</v>
      </c>
      <c r="G71" s="64">
        <v>3138.63</v>
      </c>
      <c r="H71" s="77">
        <f t="shared" si="9"/>
        <v>3.13863</v>
      </c>
      <c r="I71" s="62">
        <v>0</v>
      </c>
      <c r="J71" s="62">
        <v>0</v>
      </c>
      <c r="K71" s="62">
        <v>0</v>
      </c>
      <c r="L71" s="62">
        <v>0</v>
      </c>
      <c r="M71" s="62">
        <v>0</v>
      </c>
      <c r="N71" s="62">
        <v>0</v>
      </c>
      <c r="O71" s="62">
        <v>0</v>
      </c>
      <c r="P71" s="62">
        <v>0</v>
      </c>
      <c r="Q71" s="62">
        <v>0</v>
      </c>
      <c r="R71" s="62">
        <v>0</v>
      </c>
      <c r="S71" s="62">
        <v>0</v>
      </c>
      <c r="T71" s="62">
        <v>0</v>
      </c>
      <c r="U71" s="46">
        <f>SUM(I71:L71)</f>
        <v>0</v>
      </c>
    </row>
    <row r="72" spans="1:21" s="21" customFormat="1">
      <c r="A72" s="83"/>
      <c r="B72" s="20" t="s">
        <v>35</v>
      </c>
      <c r="C72" s="84"/>
      <c r="D72" s="85"/>
      <c r="E72" s="86"/>
      <c r="F72" s="68"/>
      <c r="G72" s="68"/>
      <c r="H72" s="87">
        <f>SUM(H53:H71)</f>
        <v>72.910656880000005</v>
      </c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>
        <f>SUM(U53:U71)</f>
        <v>57004.148639999999</v>
      </c>
    </row>
    <row r="73" spans="1:21">
      <c r="A73" s="140" t="s">
        <v>197</v>
      </c>
      <c r="B73" s="11" t="s">
        <v>198</v>
      </c>
      <c r="C73" s="89" t="s">
        <v>199</v>
      </c>
      <c r="D73" s="90"/>
      <c r="E73" s="141"/>
      <c r="F73" s="91">
        <f>50/10</f>
        <v>5</v>
      </c>
      <c r="G73" s="92">
        <v>9</v>
      </c>
      <c r="H73" s="77">
        <f>G73*F73/1000</f>
        <v>4.4999999999999998E-2</v>
      </c>
      <c r="I73" s="46">
        <v>0</v>
      </c>
      <c r="J73" s="46">
        <v>0</v>
      </c>
      <c r="K73" s="46">
        <v>0</v>
      </c>
      <c r="L73" s="46">
        <v>0</v>
      </c>
      <c r="M73" s="47">
        <v>0</v>
      </c>
      <c r="N73" s="46">
        <f>F73*G73</f>
        <v>45</v>
      </c>
      <c r="O73" s="46">
        <v>0</v>
      </c>
      <c r="P73" s="46">
        <v>0</v>
      </c>
      <c r="Q73" s="46">
        <v>0</v>
      </c>
      <c r="R73" s="46">
        <v>0</v>
      </c>
      <c r="S73" s="46">
        <v>0</v>
      </c>
      <c r="T73" s="46">
        <v>0</v>
      </c>
      <c r="U73" s="46">
        <f>SUM(I73:T73)</f>
        <v>45</v>
      </c>
    </row>
    <row r="74" spans="1:21" ht="12.75" customHeight="1">
      <c r="A74" s="75"/>
      <c r="B74" s="88" t="s">
        <v>134</v>
      </c>
      <c r="C74" s="75" t="s">
        <v>135</v>
      </c>
      <c r="D74" s="93"/>
      <c r="E74" s="63">
        <v>2177.1</v>
      </c>
      <c r="F74" s="63">
        <f>SUM(E74*12)</f>
        <v>26125.199999999997</v>
      </c>
      <c r="G74" s="94">
        <v>2.7</v>
      </c>
      <c r="H74" s="77">
        <f>SUM(F74*G74/1000)</f>
        <v>70.538039999999995</v>
      </c>
      <c r="I74" s="46">
        <f>F74/12*G74</f>
        <v>5878.17</v>
      </c>
      <c r="J74" s="46">
        <f>F74/12*G74</f>
        <v>5878.17</v>
      </c>
      <c r="K74" s="46">
        <f>F74/12*G74</f>
        <v>5878.17</v>
      </c>
      <c r="L74" s="46">
        <f>F74/12*G74</f>
        <v>5878.17</v>
      </c>
      <c r="M74" s="46">
        <f>F74/12*G74</f>
        <v>5878.17</v>
      </c>
      <c r="N74" s="46">
        <f>F74/12*G74</f>
        <v>5878.17</v>
      </c>
      <c r="O74" s="46">
        <f>F74/12*G74</f>
        <v>5878.17</v>
      </c>
      <c r="P74" s="46">
        <f>F74/12*G74</f>
        <v>5878.17</v>
      </c>
      <c r="Q74" s="46">
        <f>F74/12*G74</f>
        <v>5878.17</v>
      </c>
      <c r="R74" s="46">
        <f>F74/12*G74</f>
        <v>5878.17</v>
      </c>
      <c r="S74" s="46">
        <f>F74/12*G74</f>
        <v>5878.17</v>
      </c>
      <c r="T74" s="46">
        <f>F74/12*G74</f>
        <v>5878.17</v>
      </c>
      <c r="U74" s="46">
        <f>SUM(I74:L74)</f>
        <v>23512.68</v>
      </c>
    </row>
    <row r="75" spans="1:21" s="19" customFormat="1">
      <c r="A75" s="95"/>
      <c r="B75" s="20" t="s">
        <v>35</v>
      </c>
      <c r="C75" s="96"/>
      <c r="D75" s="97"/>
      <c r="E75" s="98"/>
      <c r="F75" s="54"/>
      <c r="G75" s="99"/>
      <c r="H75" s="55">
        <f>SUM(H73:H74)</f>
        <v>70.583039999999997</v>
      </c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>
        <f>SUM(U73:U74)</f>
        <v>23557.68</v>
      </c>
    </row>
    <row r="76" spans="1:21" ht="33.75" customHeight="1">
      <c r="A76" s="79"/>
      <c r="B76" s="8" t="s">
        <v>136</v>
      </c>
      <c r="C76" s="75"/>
      <c r="D76" s="100"/>
      <c r="E76" s="43">
        <f>E74</f>
        <v>2177.1</v>
      </c>
      <c r="F76" s="63">
        <f>E76*12</f>
        <v>26125.199999999997</v>
      </c>
      <c r="G76" s="63">
        <v>2.1800000000000002</v>
      </c>
      <c r="H76" s="77">
        <f>F76*G76/1000</f>
        <v>56.952935999999994</v>
      </c>
      <c r="I76" s="46">
        <f>F76/12*G76</f>
        <v>4746.0780000000004</v>
      </c>
      <c r="J76" s="46">
        <f>F76/12*G76</f>
        <v>4746.0780000000004</v>
      </c>
      <c r="K76" s="46">
        <f>F76/12*G76</f>
        <v>4746.0780000000004</v>
      </c>
      <c r="L76" s="46">
        <f>F76/12*G76</f>
        <v>4746.0780000000004</v>
      </c>
      <c r="M76" s="46">
        <f>F76/12*G76</f>
        <v>4746.0780000000004</v>
      </c>
      <c r="N76" s="46">
        <f>F76/12*G76</f>
        <v>4746.0780000000004</v>
      </c>
      <c r="O76" s="46">
        <f>F76/12*G76</f>
        <v>4746.0780000000004</v>
      </c>
      <c r="P76" s="46">
        <f>F76/12*G76</f>
        <v>4746.0780000000004</v>
      </c>
      <c r="Q76" s="46">
        <f>F76/12*G76</f>
        <v>4746.0780000000004</v>
      </c>
      <c r="R76" s="46">
        <f>F76/12*G76</f>
        <v>4746.0780000000004</v>
      </c>
      <c r="S76" s="46">
        <f>F76/12*G76</f>
        <v>4746.0780000000004</v>
      </c>
      <c r="T76" s="46">
        <f>F76/12*G76</f>
        <v>4746.0780000000004</v>
      </c>
      <c r="U76" s="46">
        <f>SUM(I76:L76)</f>
        <v>18984.312000000002</v>
      </c>
    </row>
    <row r="77" spans="1:21" s="19" customFormat="1">
      <c r="A77" s="95"/>
      <c r="B77" s="101" t="s">
        <v>137</v>
      </c>
      <c r="C77" s="102"/>
      <c r="D77" s="101"/>
      <c r="E77" s="54"/>
      <c r="F77" s="54"/>
      <c r="G77" s="54"/>
      <c r="H77" s="87">
        <f>H76</f>
        <v>56.952935999999994</v>
      </c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135">
        <f>U76</f>
        <v>18984.312000000002</v>
      </c>
    </row>
    <row r="78" spans="1:21" s="19" customFormat="1">
      <c r="A78" s="95"/>
      <c r="B78" s="101" t="s">
        <v>138</v>
      </c>
      <c r="C78" s="103"/>
      <c r="D78" s="104"/>
      <c r="E78" s="105"/>
      <c r="F78" s="105"/>
      <c r="G78" s="105"/>
      <c r="H78" s="87">
        <f>SUM(H77+H75+H72+H51+H40+H31+H20)</f>
        <v>650.78303505596671</v>
      </c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35">
        <f>SUM(U77+U75+U72+U51+U40+U31+U20)</f>
        <v>548280.48553818895</v>
      </c>
    </row>
    <row r="79" spans="1:21">
      <c r="A79" s="79"/>
      <c r="B79" s="100" t="s">
        <v>139</v>
      </c>
      <c r="C79" s="75"/>
      <c r="D79" s="100"/>
      <c r="E79" s="63"/>
      <c r="F79" s="63"/>
      <c r="G79" s="63" t="s">
        <v>140</v>
      </c>
      <c r="H79" s="106">
        <f>E76</f>
        <v>2177.1</v>
      </c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</row>
    <row r="80" spans="1:21" s="19" customFormat="1">
      <c r="A80" s="95"/>
      <c r="B80" s="104" t="s">
        <v>141</v>
      </c>
      <c r="C80" s="103"/>
      <c r="D80" s="104"/>
      <c r="E80" s="105"/>
      <c r="F80" s="105"/>
      <c r="G80" s="105"/>
      <c r="H80" s="107">
        <f>SUM(H78/H79/12*1000)</f>
        <v>24.910164709015305</v>
      </c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36"/>
    </row>
    <row r="81" spans="1:21">
      <c r="A81" s="108"/>
      <c r="B81" s="100"/>
      <c r="C81" s="75"/>
      <c r="D81" s="100"/>
      <c r="E81" s="63"/>
      <c r="F81" s="63"/>
      <c r="G81" s="63"/>
      <c r="H81" s="109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137"/>
    </row>
    <row r="82" spans="1:21">
      <c r="A82" s="79"/>
      <c r="B82" s="80" t="s">
        <v>142</v>
      </c>
      <c r="C82" s="75"/>
      <c r="D82" s="100"/>
      <c r="E82" s="63"/>
      <c r="F82" s="63"/>
      <c r="G82" s="63"/>
      <c r="H82" s="63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</row>
    <row r="83" spans="1:21" ht="25.5">
      <c r="A83" s="26" t="s">
        <v>168</v>
      </c>
      <c r="B83" s="27" t="s">
        <v>167</v>
      </c>
      <c r="C83" s="28" t="s">
        <v>97</v>
      </c>
      <c r="D83" s="8"/>
      <c r="E83" s="76"/>
      <c r="F83" s="63">
        <v>9</v>
      </c>
      <c r="G83" s="63">
        <v>67.94</v>
      </c>
      <c r="H83" s="63">
        <f>SUM(F83*G83/1000)</f>
        <v>0.61146</v>
      </c>
      <c r="I83" s="110">
        <f>G83*3</f>
        <v>203.82</v>
      </c>
      <c r="J83" s="110">
        <v>0</v>
      </c>
      <c r="K83" s="110">
        <f>G83</f>
        <v>67.94</v>
      </c>
      <c r="L83" s="110">
        <v>0</v>
      </c>
      <c r="M83" s="110">
        <f>G83</f>
        <v>67.94</v>
      </c>
      <c r="N83" s="110">
        <v>0</v>
      </c>
      <c r="O83" s="110">
        <v>0</v>
      </c>
      <c r="P83" s="110">
        <v>0</v>
      </c>
      <c r="Q83" s="110">
        <f>G83*2</f>
        <v>135.88</v>
      </c>
      <c r="R83" s="110">
        <f>G83</f>
        <v>67.94</v>
      </c>
      <c r="S83" s="110">
        <v>0</v>
      </c>
      <c r="T83" s="110">
        <f>G83</f>
        <v>67.94</v>
      </c>
      <c r="U83" s="110">
        <f>SUM(I83:T83)</f>
        <v>611.46</v>
      </c>
    </row>
    <row r="84" spans="1:21" ht="25.5">
      <c r="A84" s="26" t="s">
        <v>184</v>
      </c>
      <c r="B84" s="27" t="s">
        <v>183</v>
      </c>
      <c r="C84" s="28" t="s">
        <v>97</v>
      </c>
      <c r="D84" s="8"/>
      <c r="E84" s="76"/>
      <c r="F84" s="63">
        <v>1</v>
      </c>
      <c r="G84" s="63">
        <v>1992.08</v>
      </c>
      <c r="H84" s="63">
        <f>G84*F84/1000</f>
        <v>1.9920799999999999</v>
      </c>
      <c r="I84" s="110">
        <f>G84*1</f>
        <v>1992.08</v>
      </c>
      <c r="J84" s="110">
        <v>0</v>
      </c>
      <c r="K84" s="110">
        <v>0</v>
      </c>
      <c r="L84" s="110">
        <v>0</v>
      </c>
      <c r="M84" s="110">
        <v>0</v>
      </c>
      <c r="N84" s="110">
        <v>0</v>
      </c>
      <c r="O84" s="110">
        <v>0</v>
      </c>
      <c r="P84" s="110">
        <v>0</v>
      </c>
      <c r="Q84" s="110">
        <v>0</v>
      </c>
      <c r="R84" s="110">
        <v>0</v>
      </c>
      <c r="S84" s="110">
        <v>0</v>
      </c>
      <c r="T84" s="110">
        <v>0</v>
      </c>
      <c r="U84" s="110">
        <f t="shared" ref="U84:U88" si="11">SUM(I84:T84)</f>
        <v>1992.08</v>
      </c>
    </row>
    <row r="85" spans="1:21">
      <c r="A85" s="29" t="s">
        <v>155</v>
      </c>
      <c r="B85" s="30" t="s">
        <v>182</v>
      </c>
      <c r="C85" s="31" t="s">
        <v>156</v>
      </c>
      <c r="D85" s="100"/>
      <c r="E85" s="63"/>
      <c r="F85" s="63">
        <v>0.25</v>
      </c>
      <c r="G85" s="63">
        <v>1372</v>
      </c>
      <c r="H85" s="63">
        <f t="shared" ref="H85" si="12">G85*F85/1000</f>
        <v>0.34300000000000003</v>
      </c>
      <c r="I85" s="110">
        <f>G85*0.25</f>
        <v>343</v>
      </c>
      <c r="J85" s="110">
        <v>0</v>
      </c>
      <c r="K85" s="110">
        <v>0</v>
      </c>
      <c r="L85" s="110">
        <v>0</v>
      </c>
      <c r="M85" s="110">
        <v>0</v>
      </c>
      <c r="N85" s="110">
        <v>0</v>
      </c>
      <c r="O85" s="110">
        <v>0</v>
      </c>
      <c r="P85" s="110">
        <v>0</v>
      </c>
      <c r="Q85" s="110">
        <v>0</v>
      </c>
      <c r="R85" s="110">
        <v>0</v>
      </c>
      <c r="S85" s="110">
        <v>0</v>
      </c>
      <c r="T85" s="110">
        <v>0</v>
      </c>
      <c r="U85" s="110">
        <f t="shared" si="11"/>
        <v>343</v>
      </c>
    </row>
    <row r="86" spans="1:21" ht="25.5">
      <c r="A86" s="31" t="s">
        <v>91</v>
      </c>
      <c r="B86" s="30" t="s">
        <v>185</v>
      </c>
      <c r="C86" s="31" t="s">
        <v>93</v>
      </c>
      <c r="D86" s="100"/>
      <c r="E86" s="63"/>
      <c r="F86" s="63">
        <v>0.03</v>
      </c>
      <c r="G86" s="63">
        <v>3105.72</v>
      </c>
      <c r="H86" s="77">
        <f t="shared" ref="H86:H100" si="13">G86*F86/1000</f>
        <v>9.3171599999999979E-2</v>
      </c>
      <c r="I86" s="110">
        <f>G86*0.01</f>
        <v>31.057199999999998</v>
      </c>
      <c r="J86" s="110">
        <v>0</v>
      </c>
      <c r="K86" s="110">
        <v>0</v>
      </c>
      <c r="L86" s="110">
        <v>0</v>
      </c>
      <c r="M86" s="110">
        <v>0</v>
      </c>
      <c r="N86" s="110">
        <v>0</v>
      </c>
      <c r="O86" s="110">
        <v>0</v>
      </c>
      <c r="P86" s="110">
        <f>G86*0.01</f>
        <v>31.057199999999998</v>
      </c>
      <c r="Q86" s="110">
        <v>0</v>
      </c>
      <c r="R86" s="110">
        <v>0</v>
      </c>
      <c r="S86" s="110">
        <v>0</v>
      </c>
      <c r="T86" s="110">
        <f>G86*0.01</f>
        <v>31.057199999999998</v>
      </c>
      <c r="U86" s="110">
        <f>SUM(I86:T86)</f>
        <v>93.171599999999998</v>
      </c>
    </row>
    <row r="87" spans="1:21">
      <c r="A87" s="26" t="s">
        <v>188</v>
      </c>
      <c r="B87" s="27" t="s">
        <v>186</v>
      </c>
      <c r="C87" s="28" t="s">
        <v>187</v>
      </c>
      <c r="D87" s="100"/>
      <c r="E87" s="63"/>
      <c r="F87" s="63">
        <v>2</v>
      </c>
      <c r="G87" s="63">
        <v>76.44</v>
      </c>
      <c r="H87" s="77">
        <f t="shared" si="13"/>
        <v>0.15287999999999999</v>
      </c>
      <c r="I87" s="110">
        <f>G87*2</f>
        <v>152.88</v>
      </c>
      <c r="J87" s="110">
        <v>0</v>
      </c>
      <c r="K87" s="110">
        <v>0</v>
      </c>
      <c r="L87" s="110">
        <v>0</v>
      </c>
      <c r="M87" s="110">
        <v>0</v>
      </c>
      <c r="N87" s="110">
        <v>0</v>
      </c>
      <c r="O87" s="110">
        <v>0</v>
      </c>
      <c r="P87" s="110">
        <v>0</v>
      </c>
      <c r="Q87" s="110">
        <v>0</v>
      </c>
      <c r="R87" s="110">
        <v>0</v>
      </c>
      <c r="S87" s="110">
        <v>0</v>
      </c>
      <c r="T87" s="110">
        <v>0</v>
      </c>
      <c r="U87" s="110">
        <f t="shared" si="11"/>
        <v>152.88</v>
      </c>
    </row>
    <row r="88" spans="1:21" ht="25.5">
      <c r="A88" s="31" t="s">
        <v>80</v>
      </c>
      <c r="B88" s="30" t="s">
        <v>189</v>
      </c>
      <c r="C88" s="31" t="s">
        <v>68</v>
      </c>
      <c r="D88" s="100"/>
      <c r="E88" s="63"/>
      <c r="F88" s="63">
        <v>6.0999999999999999E-2</v>
      </c>
      <c r="G88" s="63">
        <v>659.09</v>
      </c>
      <c r="H88" s="77">
        <f t="shared" si="13"/>
        <v>4.0204490000000002E-2</v>
      </c>
      <c r="I88" s="110">
        <f>G88*0.061</f>
        <v>40.20449</v>
      </c>
      <c r="J88" s="110">
        <v>0</v>
      </c>
      <c r="K88" s="110">
        <v>0</v>
      </c>
      <c r="L88" s="110">
        <v>0</v>
      </c>
      <c r="M88" s="110">
        <v>0</v>
      </c>
      <c r="N88" s="110">
        <v>0</v>
      </c>
      <c r="O88" s="110">
        <v>0</v>
      </c>
      <c r="P88" s="110">
        <v>0</v>
      </c>
      <c r="Q88" s="110">
        <v>0</v>
      </c>
      <c r="R88" s="110">
        <v>0</v>
      </c>
      <c r="S88" s="110">
        <v>0</v>
      </c>
      <c r="T88" s="110">
        <v>0</v>
      </c>
      <c r="U88" s="110">
        <f t="shared" si="11"/>
        <v>40.20449</v>
      </c>
    </row>
    <row r="89" spans="1:21">
      <c r="A89" s="132" t="s">
        <v>191</v>
      </c>
      <c r="B89" s="133" t="s">
        <v>190</v>
      </c>
      <c r="C89" s="28" t="s">
        <v>97</v>
      </c>
      <c r="D89" s="100"/>
      <c r="E89" s="63"/>
      <c r="F89" s="63">
        <v>1</v>
      </c>
      <c r="G89" s="63">
        <v>262.95</v>
      </c>
      <c r="H89" s="77">
        <f t="shared" si="13"/>
        <v>0.26294999999999996</v>
      </c>
      <c r="I89" s="110">
        <v>0</v>
      </c>
      <c r="J89" s="110">
        <f>G89</f>
        <v>262.95</v>
      </c>
      <c r="K89" s="110">
        <v>0</v>
      </c>
      <c r="L89" s="110">
        <v>0</v>
      </c>
      <c r="M89" s="110">
        <v>0</v>
      </c>
      <c r="N89" s="110">
        <v>0</v>
      </c>
      <c r="O89" s="110">
        <v>0</v>
      </c>
      <c r="P89" s="110">
        <v>0</v>
      </c>
      <c r="Q89" s="110">
        <v>0</v>
      </c>
      <c r="R89" s="110">
        <v>0</v>
      </c>
      <c r="S89" s="110">
        <v>0</v>
      </c>
      <c r="T89" s="110">
        <v>0</v>
      </c>
      <c r="U89" s="110">
        <f t="shared" ref="U89:U97" si="14">SUM(I89:T89)</f>
        <v>262.95</v>
      </c>
    </row>
    <row r="90" spans="1:21">
      <c r="A90" s="29" t="s">
        <v>193</v>
      </c>
      <c r="B90" s="30" t="s">
        <v>192</v>
      </c>
      <c r="C90" s="31" t="s">
        <v>97</v>
      </c>
      <c r="D90" s="100"/>
      <c r="E90" s="63"/>
      <c r="F90" s="63">
        <v>2</v>
      </c>
      <c r="G90" s="63">
        <v>136.79</v>
      </c>
      <c r="H90" s="77">
        <f t="shared" si="13"/>
        <v>0.27357999999999999</v>
      </c>
      <c r="I90" s="110">
        <v>0</v>
      </c>
      <c r="J90" s="110">
        <f>G90</f>
        <v>136.79</v>
      </c>
      <c r="K90" s="110">
        <v>0</v>
      </c>
      <c r="L90" s="110">
        <f>G90</f>
        <v>136.79</v>
      </c>
      <c r="M90" s="110">
        <v>0</v>
      </c>
      <c r="N90" s="110">
        <v>0</v>
      </c>
      <c r="O90" s="110">
        <v>0</v>
      </c>
      <c r="P90" s="110">
        <v>0</v>
      </c>
      <c r="Q90" s="110">
        <v>0</v>
      </c>
      <c r="R90" s="110">
        <v>0</v>
      </c>
      <c r="S90" s="110">
        <v>0</v>
      </c>
      <c r="T90" s="110">
        <v>0</v>
      </c>
      <c r="U90" s="110">
        <f t="shared" si="14"/>
        <v>273.58</v>
      </c>
    </row>
    <row r="91" spans="1:21">
      <c r="A91" s="28" t="s">
        <v>202</v>
      </c>
      <c r="B91" s="27" t="s">
        <v>200</v>
      </c>
      <c r="C91" s="28" t="s">
        <v>201</v>
      </c>
      <c r="D91" s="100"/>
      <c r="E91" s="63"/>
      <c r="F91" s="63">
        <v>0.05</v>
      </c>
      <c r="G91" s="63">
        <v>19540.87</v>
      </c>
      <c r="H91" s="77">
        <f t="shared" si="13"/>
        <v>0.97704349999999995</v>
      </c>
      <c r="I91" s="110">
        <v>0</v>
      </c>
      <c r="J91" s="110">
        <v>0</v>
      </c>
      <c r="K91" s="110">
        <f>G91*0.05</f>
        <v>977.04349999999999</v>
      </c>
      <c r="L91" s="110">
        <v>0</v>
      </c>
      <c r="M91" s="110">
        <v>0</v>
      </c>
      <c r="N91" s="110">
        <v>0</v>
      </c>
      <c r="O91" s="110">
        <v>0</v>
      </c>
      <c r="P91" s="110">
        <v>0</v>
      </c>
      <c r="Q91" s="110">
        <v>0</v>
      </c>
      <c r="R91" s="110">
        <v>0</v>
      </c>
      <c r="S91" s="110">
        <v>0</v>
      </c>
      <c r="T91" s="110">
        <v>0</v>
      </c>
      <c r="U91" s="110">
        <f t="shared" si="14"/>
        <v>977.04349999999999</v>
      </c>
    </row>
    <row r="92" spans="1:21" ht="25.5">
      <c r="A92" s="28" t="s">
        <v>205</v>
      </c>
      <c r="B92" s="27" t="s">
        <v>204</v>
      </c>
      <c r="C92" s="28" t="s">
        <v>203</v>
      </c>
      <c r="D92" s="100"/>
      <c r="E92" s="63"/>
      <c r="F92" s="63">
        <v>1</v>
      </c>
      <c r="G92" s="63">
        <v>169.85</v>
      </c>
      <c r="H92" s="77">
        <f t="shared" si="13"/>
        <v>0.16985</v>
      </c>
      <c r="I92" s="110">
        <v>0</v>
      </c>
      <c r="J92" s="110">
        <v>0</v>
      </c>
      <c r="K92" s="110">
        <f>G92</f>
        <v>169.85</v>
      </c>
      <c r="L92" s="110">
        <v>0</v>
      </c>
      <c r="M92" s="110">
        <v>0</v>
      </c>
      <c r="N92" s="110">
        <v>0</v>
      </c>
      <c r="O92" s="110">
        <v>0</v>
      </c>
      <c r="P92" s="110">
        <v>0</v>
      </c>
      <c r="Q92" s="110">
        <v>0</v>
      </c>
      <c r="R92" s="110">
        <v>0</v>
      </c>
      <c r="S92" s="110">
        <v>0</v>
      </c>
      <c r="T92" s="110">
        <v>0</v>
      </c>
      <c r="U92" s="110">
        <f t="shared" si="14"/>
        <v>169.85</v>
      </c>
    </row>
    <row r="93" spans="1:21">
      <c r="A93" s="29" t="s">
        <v>128</v>
      </c>
      <c r="B93" s="30" t="s">
        <v>129</v>
      </c>
      <c r="C93" s="31" t="s">
        <v>97</v>
      </c>
      <c r="D93" s="100"/>
      <c r="E93" s="63"/>
      <c r="F93" s="63">
        <v>4</v>
      </c>
      <c r="G93" s="63">
        <v>162.52000000000001</v>
      </c>
      <c r="H93" s="77">
        <f t="shared" si="13"/>
        <v>0.65007999999999999</v>
      </c>
      <c r="I93" s="110">
        <f>G93</f>
        <v>162.52000000000001</v>
      </c>
      <c r="J93" s="110">
        <f>G93</f>
        <v>162.52000000000001</v>
      </c>
      <c r="K93" s="110">
        <f>G93</f>
        <v>162.52000000000001</v>
      </c>
      <c r="L93" s="110">
        <f>G93</f>
        <v>162.52000000000001</v>
      </c>
      <c r="M93" s="110">
        <v>0</v>
      </c>
      <c r="N93" s="110">
        <v>0</v>
      </c>
      <c r="O93" s="110">
        <v>0</v>
      </c>
      <c r="P93" s="110">
        <v>0</v>
      </c>
      <c r="Q93" s="110">
        <v>0</v>
      </c>
      <c r="R93" s="110">
        <v>0</v>
      </c>
      <c r="S93" s="110">
        <v>0</v>
      </c>
      <c r="T93" s="110">
        <v>0</v>
      </c>
      <c r="U93" s="110">
        <f t="shared" si="14"/>
        <v>650.08000000000004</v>
      </c>
    </row>
    <row r="94" spans="1:21" ht="25.5">
      <c r="A94" s="28" t="s">
        <v>207</v>
      </c>
      <c r="B94" s="27" t="s">
        <v>206</v>
      </c>
      <c r="C94" s="28" t="s">
        <v>97</v>
      </c>
      <c r="D94" s="100"/>
      <c r="E94" s="63"/>
      <c r="F94" s="63">
        <v>5</v>
      </c>
      <c r="G94" s="63">
        <v>164.67</v>
      </c>
      <c r="H94" s="77">
        <f t="shared" si="13"/>
        <v>0.82334999999999992</v>
      </c>
      <c r="I94" s="110">
        <v>0</v>
      </c>
      <c r="J94" s="110">
        <v>0</v>
      </c>
      <c r="K94" s="110">
        <f>G94</f>
        <v>164.67</v>
      </c>
      <c r="L94" s="110">
        <v>0</v>
      </c>
      <c r="M94" s="110">
        <f>G94*3</f>
        <v>494.01</v>
      </c>
      <c r="N94" s="110">
        <f>G94</f>
        <v>164.67</v>
      </c>
      <c r="O94" s="110">
        <v>0</v>
      </c>
      <c r="P94" s="110">
        <v>0</v>
      </c>
      <c r="Q94" s="110">
        <v>0</v>
      </c>
      <c r="R94" s="110">
        <v>0</v>
      </c>
      <c r="S94" s="110">
        <v>0</v>
      </c>
      <c r="T94" s="110">
        <v>0</v>
      </c>
      <c r="U94" s="110">
        <f t="shared" si="14"/>
        <v>823.34999999999991</v>
      </c>
    </row>
    <row r="95" spans="1:21" ht="25.5">
      <c r="A95" s="26" t="s">
        <v>210</v>
      </c>
      <c r="B95" s="27" t="s">
        <v>208</v>
      </c>
      <c r="C95" s="28" t="s">
        <v>209</v>
      </c>
      <c r="D95" s="100"/>
      <c r="E95" s="63"/>
      <c r="F95" s="63">
        <v>5</v>
      </c>
      <c r="G95" s="63">
        <v>511.54</v>
      </c>
      <c r="H95" s="77">
        <f t="shared" si="13"/>
        <v>2.5577000000000001</v>
      </c>
      <c r="I95" s="110">
        <v>0</v>
      </c>
      <c r="J95" s="110">
        <v>0</v>
      </c>
      <c r="K95" s="110">
        <f>G95*4</f>
        <v>2046.16</v>
      </c>
      <c r="L95" s="110">
        <v>0</v>
      </c>
      <c r="M95" s="110">
        <f>G95</f>
        <v>511.54</v>
      </c>
      <c r="N95" s="110">
        <v>0</v>
      </c>
      <c r="O95" s="110">
        <v>0</v>
      </c>
      <c r="P95" s="110">
        <v>0</v>
      </c>
      <c r="Q95" s="110">
        <v>0</v>
      </c>
      <c r="R95" s="110">
        <v>0</v>
      </c>
      <c r="S95" s="110">
        <v>0</v>
      </c>
      <c r="T95" s="110">
        <v>0</v>
      </c>
      <c r="U95" s="110">
        <f t="shared" si="14"/>
        <v>2557.7000000000003</v>
      </c>
    </row>
    <row r="96" spans="1:21" ht="38.25">
      <c r="A96" s="28" t="s">
        <v>213</v>
      </c>
      <c r="B96" s="27" t="s">
        <v>211</v>
      </c>
      <c r="C96" s="28" t="s">
        <v>212</v>
      </c>
      <c r="D96" s="100"/>
      <c r="E96" s="63"/>
      <c r="F96" s="63">
        <v>19</v>
      </c>
      <c r="G96" s="63">
        <v>1155.7</v>
      </c>
      <c r="H96" s="77">
        <f t="shared" si="13"/>
        <v>21.958299999999998</v>
      </c>
      <c r="I96" s="110">
        <v>0</v>
      </c>
      <c r="J96" s="110">
        <v>0</v>
      </c>
      <c r="K96" s="110">
        <f>G96*9.5</f>
        <v>10979.15</v>
      </c>
      <c r="L96" s="110">
        <v>0</v>
      </c>
      <c r="M96" s="110">
        <v>0</v>
      </c>
      <c r="N96" s="110">
        <f>G96*9.5</f>
        <v>10979.15</v>
      </c>
      <c r="O96" s="110">
        <v>0</v>
      </c>
      <c r="P96" s="110">
        <v>0</v>
      </c>
      <c r="Q96" s="110">
        <v>0</v>
      </c>
      <c r="R96" s="110">
        <v>0</v>
      </c>
      <c r="S96" s="110">
        <v>0</v>
      </c>
      <c r="T96" s="110">
        <v>0</v>
      </c>
      <c r="U96" s="110">
        <f t="shared" si="14"/>
        <v>21958.3</v>
      </c>
    </row>
    <row r="97" spans="1:21">
      <c r="A97" s="28" t="s">
        <v>155</v>
      </c>
      <c r="B97" s="27" t="s">
        <v>214</v>
      </c>
      <c r="C97" s="28" t="s">
        <v>212</v>
      </c>
      <c r="D97" s="100"/>
      <c r="E97" s="63"/>
      <c r="F97" s="63">
        <v>10</v>
      </c>
      <c r="G97" s="63">
        <v>3337.8</v>
      </c>
      <c r="H97" s="77">
        <f t="shared" si="13"/>
        <v>33.378</v>
      </c>
      <c r="I97" s="110">
        <v>0</v>
      </c>
      <c r="J97" s="110">
        <v>0</v>
      </c>
      <c r="K97" s="110">
        <f>G97*10</f>
        <v>33378</v>
      </c>
      <c r="L97" s="110">
        <v>0</v>
      </c>
      <c r="M97" s="110">
        <v>0</v>
      </c>
      <c r="N97" s="110">
        <v>0</v>
      </c>
      <c r="O97" s="110">
        <v>0</v>
      </c>
      <c r="P97" s="110">
        <v>0</v>
      </c>
      <c r="Q97" s="110">
        <v>0</v>
      </c>
      <c r="R97" s="110">
        <v>0</v>
      </c>
      <c r="S97" s="110">
        <v>0</v>
      </c>
      <c r="T97" s="110">
        <v>0</v>
      </c>
      <c r="U97" s="110">
        <f t="shared" si="14"/>
        <v>33378</v>
      </c>
    </row>
    <row r="98" spans="1:21">
      <c r="A98" s="31" t="s">
        <v>215</v>
      </c>
      <c r="B98" s="30" t="s">
        <v>216</v>
      </c>
      <c r="C98" s="29" t="s">
        <v>212</v>
      </c>
      <c r="D98" s="100"/>
      <c r="E98" s="63"/>
      <c r="F98" s="63">
        <v>2</v>
      </c>
      <c r="G98" s="63">
        <v>16.45</v>
      </c>
      <c r="H98" s="77">
        <f t="shared" si="13"/>
        <v>3.2899999999999999E-2</v>
      </c>
      <c r="I98" s="110">
        <v>0</v>
      </c>
      <c r="J98" s="110">
        <v>0</v>
      </c>
      <c r="K98" s="110">
        <v>0</v>
      </c>
      <c r="L98" s="110">
        <f>G98*2</f>
        <v>32.9</v>
      </c>
      <c r="M98" s="110">
        <v>0</v>
      </c>
      <c r="N98" s="110">
        <v>0</v>
      </c>
      <c r="O98" s="110">
        <v>0</v>
      </c>
      <c r="P98" s="110">
        <v>0</v>
      </c>
      <c r="Q98" s="110">
        <v>0</v>
      </c>
      <c r="R98" s="110">
        <v>0</v>
      </c>
      <c r="S98" s="110">
        <v>0</v>
      </c>
      <c r="T98" s="110">
        <v>0</v>
      </c>
      <c r="U98" s="110">
        <f t="shared" ref="U98:U104" si="15">SUM(I98:T98)</f>
        <v>32.9</v>
      </c>
    </row>
    <row r="99" spans="1:21" ht="38.25">
      <c r="A99" s="28" t="s">
        <v>217</v>
      </c>
      <c r="B99" s="27" t="s">
        <v>218</v>
      </c>
      <c r="C99" s="28" t="s">
        <v>219</v>
      </c>
      <c r="D99" s="100"/>
      <c r="E99" s="63"/>
      <c r="F99" s="63">
        <v>1</v>
      </c>
      <c r="G99" s="63">
        <v>46.98</v>
      </c>
      <c r="H99" s="77">
        <f t="shared" si="13"/>
        <v>4.6979999999999994E-2</v>
      </c>
      <c r="I99" s="110">
        <v>0</v>
      </c>
      <c r="J99" s="110">
        <v>0</v>
      </c>
      <c r="K99" s="110">
        <v>0</v>
      </c>
      <c r="L99" s="110">
        <f>G99</f>
        <v>46.98</v>
      </c>
      <c r="M99" s="110">
        <v>0</v>
      </c>
      <c r="N99" s="110">
        <v>0</v>
      </c>
      <c r="O99" s="110">
        <v>0</v>
      </c>
      <c r="P99" s="110">
        <v>0</v>
      </c>
      <c r="Q99" s="110">
        <v>0</v>
      </c>
      <c r="R99" s="110">
        <v>0</v>
      </c>
      <c r="S99" s="110">
        <v>0</v>
      </c>
      <c r="T99" s="110">
        <v>0</v>
      </c>
      <c r="U99" s="110">
        <f t="shared" si="15"/>
        <v>46.98</v>
      </c>
    </row>
    <row r="100" spans="1:21">
      <c r="A100" s="28" t="s">
        <v>222</v>
      </c>
      <c r="B100" s="27" t="s">
        <v>221</v>
      </c>
      <c r="C100" s="28" t="s">
        <v>50</v>
      </c>
      <c r="D100" s="100"/>
      <c r="E100" s="63"/>
      <c r="F100" s="63">
        <v>10</v>
      </c>
      <c r="G100" s="63">
        <v>1068.3</v>
      </c>
      <c r="H100" s="77">
        <f t="shared" si="13"/>
        <v>10.683</v>
      </c>
      <c r="I100" s="110">
        <v>0</v>
      </c>
      <c r="J100" s="110">
        <v>0</v>
      </c>
      <c r="K100" s="110">
        <v>0</v>
      </c>
      <c r="L100" s="110">
        <v>0</v>
      </c>
      <c r="M100" s="110">
        <f>G100*10</f>
        <v>10683</v>
      </c>
      <c r="N100" s="110">
        <v>0</v>
      </c>
      <c r="O100" s="110">
        <v>0</v>
      </c>
      <c r="P100" s="110">
        <v>0</v>
      </c>
      <c r="Q100" s="110">
        <v>0</v>
      </c>
      <c r="R100" s="110">
        <v>0</v>
      </c>
      <c r="S100" s="110">
        <v>0</v>
      </c>
      <c r="T100" s="110">
        <v>0</v>
      </c>
      <c r="U100" s="110">
        <f t="shared" si="15"/>
        <v>10683</v>
      </c>
    </row>
    <row r="101" spans="1:21">
      <c r="A101" s="28" t="s">
        <v>230</v>
      </c>
      <c r="B101" s="27" t="s">
        <v>229</v>
      </c>
      <c r="C101" s="28" t="s">
        <v>97</v>
      </c>
      <c r="D101" s="100"/>
      <c r="E101" s="63"/>
      <c r="F101" s="63">
        <v>1</v>
      </c>
      <c r="G101" s="63">
        <v>1392.65</v>
      </c>
      <c r="H101" s="77">
        <f>F101*G101/1000</f>
        <v>1.3926500000000002</v>
      </c>
      <c r="I101" s="110">
        <v>0</v>
      </c>
      <c r="J101" s="110">
        <v>0</v>
      </c>
      <c r="K101" s="110">
        <v>0</v>
      </c>
      <c r="L101" s="110">
        <v>0</v>
      </c>
      <c r="M101" s="110">
        <v>0</v>
      </c>
      <c r="N101" s="110">
        <v>0</v>
      </c>
      <c r="O101" s="110">
        <v>0</v>
      </c>
      <c r="P101" s="110">
        <v>0</v>
      </c>
      <c r="Q101" s="110">
        <v>0</v>
      </c>
      <c r="R101" s="110">
        <v>0</v>
      </c>
      <c r="S101" s="110">
        <v>0</v>
      </c>
      <c r="T101" s="110">
        <f>G101</f>
        <v>1392.65</v>
      </c>
      <c r="U101" s="110">
        <f t="shared" si="15"/>
        <v>1392.65</v>
      </c>
    </row>
    <row r="102" spans="1:21" ht="25.5">
      <c r="A102" s="28" t="s">
        <v>233</v>
      </c>
      <c r="B102" s="27" t="s">
        <v>231</v>
      </c>
      <c r="C102" s="28" t="s">
        <v>232</v>
      </c>
      <c r="D102" s="100"/>
      <c r="E102" s="63"/>
      <c r="F102" s="63">
        <v>4</v>
      </c>
      <c r="G102" s="63">
        <v>179.12</v>
      </c>
      <c r="H102" s="77">
        <f>F102*G102/1000</f>
        <v>0.71648000000000001</v>
      </c>
      <c r="I102" s="110">
        <v>0</v>
      </c>
      <c r="J102" s="110">
        <v>0</v>
      </c>
      <c r="K102" s="110">
        <v>0</v>
      </c>
      <c r="L102" s="110">
        <v>0</v>
      </c>
      <c r="M102" s="110">
        <v>0</v>
      </c>
      <c r="N102" s="110">
        <v>0</v>
      </c>
      <c r="O102" s="110">
        <v>0</v>
      </c>
      <c r="P102" s="110">
        <v>0</v>
      </c>
      <c r="Q102" s="110">
        <v>0</v>
      </c>
      <c r="R102" s="110">
        <v>0</v>
      </c>
      <c r="S102" s="110">
        <f>G102*4</f>
        <v>716.48</v>
      </c>
      <c r="T102" s="110">
        <v>0</v>
      </c>
      <c r="U102" s="110">
        <f t="shared" si="15"/>
        <v>716.48</v>
      </c>
    </row>
    <row r="103" spans="1:21">
      <c r="A103" s="142" t="s">
        <v>235</v>
      </c>
      <c r="B103" s="143" t="s">
        <v>234</v>
      </c>
      <c r="C103" s="29" t="s">
        <v>97</v>
      </c>
      <c r="D103" s="100"/>
      <c r="E103" s="63"/>
      <c r="F103" s="63">
        <v>2</v>
      </c>
      <c r="G103" s="63">
        <v>270.19</v>
      </c>
      <c r="H103" s="77">
        <f>F103*G103/1000</f>
        <v>0.54037999999999997</v>
      </c>
      <c r="I103" s="110">
        <v>0</v>
      </c>
      <c r="J103" s="110">
        <v>0</v>
      </c>
      <c r="K103" s="110">
        <v>0</v>
      </c>
      <c r="L103" s="110">
        <v>0</v>
      </c>
      <c r="M103" s="110">
        <v>0</v>
      </c>
      <c r="N103" s="110">
        <v>0</v>
      </c>
      <c r="O103" s="110">
        <v>0</v>
      </c>
      <c r="P103" s="110">
        <f>G103*2</f>
        <v>540.38</v>
      </c>
      <c r="Q103" s="110">
        <v>0</v>
      </c>
      <c r="R103" s="110">
        <v>0</v>
      </c>
      <c r="S103" s="110">
        <v>0</v>
      </c>
      <c r="T103" s="110">
        <v>0</v>
      </c>
      <c r="U103" s="110">
        <f t="shared" si="15"/>
        <v>540.38</v>
      </c>
    </row>
    <row r="104" spans="1:21" ht="51">
      <c r="A104" s="31" t="s">
        <v>238</v>
      </c>
      <c r="B104" s="30" t="s">
        <v>236</v>
      </c>
      <c r="C104" s="31" t="s">
        <v>237</v>
      </c>
      <c r="D104" s="100"/>
      <c r="E104" s="63"/>
      <c r="F104" s="63">
        <v>5</v>
      </c>
      <c r="G104" s="63">
        <v>1878.91</v>
      </c>
      <c r="H104" s="77">
        <f>F104*G104/1000</f>
        <v>9.3945500000000006</v>
      </c>
      <c r="I104" s="110">
        <v>0</v>
      </c>
      <c r="J104" s="110">
        <v>0</v>
      </c>
      <c r="K104" s="110">
        <v>0</v>
      </c>
      <c r="L104" s="110">
        <v>0</v>
      </c>
      <c r="M104" s="110">
        <v>0</v>
      </c>
      <c r="N104" s="110">
        <f>G104*5</f>
        <v>9394.5500000000011</v>
      </c>
      <c r="O104" s="110">
        <v>0</v>
      </c>
      <c r="P104" s="110">
        <v>0</v>
      </c>
      <c r="Q104" s="110">
        <v>0</v>
      </c>
      <c r="R104" s="110">
        <v>0</v>
      </c>
      <c r="S104" s="110">
        <v>0</v>
      </c>
      <c r="T104" s="110">
        <v>0</v>
      </c>
      <c r="U104" s="110">
        <f t="shared" si="15"/>
        <v>9394.5500000000011</v>
      </c>
    </row>
    <row r="105" spans="1:21" s="19" customFormat="1">
      <c r="A105" s="111"/>
      <c r="B105" s="112" t="s">
        <v>143</v>
      </c>
      <c r="C105" s="111"/>
      <c r="D105" s="111"/>
      <c r="E105" s="105"/>
      <c r="F105" s="105"/>
      <c r="G105" s="105"/>
      <c r="H105" s="55">
        <f>SUM(H83:H104)</f>
        <v>87.090589590000008</v>
      </c>
      <c r="I105" s="105"/>
      <c r="J105" s="105"/>
      <c r="K105" s="105"/>
      <c r="L105" s="105"/>
      <c r="M105" s="105"/>
      <c r="N105" s="105"/>
      <c r="O105" s="105"/>
      <c r="P105" s="105"/>
      <c r="Q105" s="105"/>
      <c r="R105" s="105"/>
      <c r="S105" s="105"/>
      <c r="T105" s="105"/>
      <c r="U105" s="54">
        <f>SUM(U83:U104)</f>
        <v>87090.589590000003</v>
      </c>
    </row>
    <row r="106" spans="1:21">
      <c r="A106" s="108"/>
      <c r="B106" s="113"/>
      <c r="C106" s="114"/>
      <c r="D106" s="114"/>
      <c r="E106" s="63"/>
      <c r="F106" s="63"/>
      <c r="G106" s="63"/>
      <c r="H106" s="115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138"/>
    </row>
    <row r="107" spans="1:21" ht="12" customHeight="1">
      <c r="A107" s="79"/>
      <c r="B107" s="18" t="s">
        <v>144</v>
      </c>
      <c r="C107" s="75"/>
      <c r="D107" s="100"/>
      <c r="E107" s="63"/>
      <c r="F107" s="63"/>
      <c r="G107" s="63"/>
      <c r="H107" s="116">
        <f>H105/E108/12*1000</f>
        <v>1.8462348340117021</v>
      </c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138"/>
    </row>
    <row r="108" spans="1:21" s="19" customFormat="1">
      <c r="A108" s="95"/>
      <c r="B108" s="117" t="s">
        <v>145</v>
      </c>
      <c r="C108" s="118"/>
      <c r="D108" s="117"/>
      <c r="E108" s="119">
        <v>3931</v>
      </c>
      <c r="F108" s="120">
        <f>SUM(E108*12)</f>
        <v>47172</v>
      </c>
      <c r="G108" s="121">
        <f>H80+H107</f>
        <v>26.756399543027008</v>
      </c>
      <c r="H108" s="122">
        <f>SUM(F108*G108/1000)</f>
        <v>1262.15287924367</v>
      </c>
      <c r="I108" s="105">
        <f t="shared" ref="I108:R108" si="16">SUM(I11:I107)</f>
        <v>47541.030830083335</v>
      </c>
      <c r="J108" s="105">
        <f t="shared" si="16"/>
        <v>56592.377340083338</v>
      </c>
      <c r="K108" s="105">
        <f t="shared" si="16"/>
        <v>107709.57916608333</v>
      </c>
      <c r="L108" s="105">
        <f t="shared" si="16"/>
        <v>62581.349483883336</v>
      </c>
      <c r="M108" s="105">
        <f t="shared" si="16"/>
        <v>109948.84859136664</v>
      </c>
      <c r="N108" s="105">
        <f t="shared" si="16"/>
        <v>66210.334032144441</v>
      </c>
      <c r="O108" s="105">
        <f t="shared" si="16"/>
        <v>43171.48237014444</v>
      </c>
      <c r="P108" s="105">
        <f t="shared" si="16"/>
        <v>55987.187570144437</v>
      </c>
      <c r="Q108" s="105">
        <f t="shared" si="16"/>
        <v>54186.086160944433</v>
      </c>
      <c r="R108" s="105">
        <f t="shared" si="16"/>
        <v>43695.854370144443</v>
      </c>
      <c r="S108" s="105">
        <f>SUM(S11:S107)</f>
        <v>45131.760733083342</v>
      </c>
      <c r="T108" s="105">
        <f>SUM(T11:T107)</f>
        <v>46307.964340083345</v>
      </c>
      <c r="U108" s="54">
        <f>U78+U105</f>
        <v>635371.07512818894</v>
      </c>
    </row>
    <row r="109" spans="1:21">
      <c r="A109" s="79"/>
      <c r="B109" s="79"/>
      <c r="C109" s="79"/>
      <c r="D109" s="79"/>
      <c r="E109" s="123"/>
      <c r="F109" s="123"/>
      <c r="G109" s="123"/>
      <c r="H109" s="123"/>
      <c r="I109" s="123"/>
      <c r="J109" s="123"/>
      <c r="K109" s="123"/>
      <c r="L109" s="123"/>
      <c r="M109" s="79"/>
      <c r="N109" s="123"/>
      <c r="O109" s="79"/>
      <c r="P109" s="79"/>
      <c r="Q109" s="79"/>
      <c r="R109" s="79"/>
      <c r="S109" s="79"/>
      <c r="T109" s="79"/>
      <c r="U109" s="79"/>
    </row>
    <row r="110" spans="1:21">
      <c r="A110" s="79"/>
      <c r="B110" s="79"/>
      <c r="C110" s="79"/>
      <c r="D110" s="79"/>
      <c r="E110" s="123"/>
      <c r="F110" s="123"/>
      <c r="G110" s="123"/>
      <c r="H110" s="123"/>
      <c r="I110" s="123"/>
      <c r="J110" s="124"/>
      <c r="K110" s="125"/>
      <c r="L110" s="124"/>
      <c r="M110" s="123"/>
      <c r="N110" s="79"/>
      <c r="O110" s="79"/>
      <c r="P110" s="79"/>
      <c r="Q110" s="79"/>
      <c r="R110" s="79"/>
      <c r="S110" s="79"/>
      <c r="T110" s="79"/>
      <c r="U110" s="79"/>
    </row>
    <row r="111" spans="1:21" ht="45">
      <c r="A111" s="79"/>
      <c r="B111" s="126" t="s">
        <v>180</v>
      </c>
      <c r="C111" s="147">
        <v>0</v>
      </c>
      <c r="D111" s="148"/>
      <c r="E111" s="148"/>
      <c r="F111" s="149"/>
      <c r="G111" s="123"/>
      <c r="H111" s="123"/>
      <c r="I111" s="123"/>
      <c r="J111" s="124"/>
      <c r="K111" s="125"/>
      <c r="L111" s="124"/>
      <c r="M111" s="123"/>
      <c r="N111" s="79"/>
      <c r="O111" s="79"/>
      <c r="P111" s="79"/>
      <c r="Q111" s="79"/>
      <c r="R111" s="79"/>
      <c r="S111" s="79"/>
      <c r="T111" s="79"/>
      <c r="U111" s="79"/>
    </row>
    <row r="112" spans="1:21" ht="30">
      <c r="A112" s="79"/>
      <c r="B112" s="22" t="s">
        <v>223</v>
      </c>
      <c r="C112" s="147">
        <v>734244.72</v>
      </c>
      <c r="D112" s="148"/>
      <c r="E112" s="148"/>
      <c r="F112" s="149"/>
      <c r="G112" s="123"/>
      <c r="H112" s="123"/>
      <c r="I112" s="123"/>
      <c r="J112" s="124"/>
      <c r="K112" s="125"/>
      <c r="L112" s="124"/>
      <c r="M112" s="123"/>
      <c r="N112" s="79"/>
      <c r="O112" s="79"/>
      <c r="P112" s="79"/>
      <c r="Q112" s="79"/>
      <c r="R112" s="79"/>
      <c r="S112" s="79"/>
      <c r="T112" s="79"/>
      <c r="U112" s="79"/>
    </row>
    <row r="113" spans="1:21" ht="30">
      <c r="A113" s="79"/>
      <c r="B113" s="22" t="s">
        <v>224</v>
      </c>
      <c r="C113" s="147">
        <f>SUM(U108-U105)</f>
        <v>548280.48553818895</v>
      </c>
      <c r="D113" s="148"/>
      <c r="E113" s="148"/>
      <c r="F113" s="149"/>
      <c r="G113" s="123"/>
      <c r="H113" s="123"/>
      <c r="I113" s="123"/>
      <c r="J113" s="124"/>
      <c r="K113" s="125"/>
      <c r="L113" s="124"/>
      <c r="M113" s="123"/>
      <c r="N113" s="79"/>
      <c r="O113" s="79"/>
      <c r="P113" s="79"/>
      <c r="Q113" s="79"/>
      <c r="R113" s="79"/>
      <c r="S113" s="79"/>
      <c r="T113" s="79"/>
      <c r="U113" s="79"/>
    </row>
    <row r="114" spans="1:21" ht="30">
      <c r="A114" s="79"/>
      <c r="B114" s="22" t="s">
        <v>225</v>
      </c>
      <c r="C114" s="147">
        <f>SUM(U105)</f>
        <v>87090.589590000003</v>
      </c>
      <c r="D114" s="148"/>
      <c r="E114" s="148"/>
      <c r="F114" s="149"/>
      <c r="G114" s="123"/>
      <c r="H114" s="123"/>
      <c r="I114" s="123"/>
      <c r="J114" s="124"/>
      <c r="K114" s="125"/>
      <c r="L114" s="124"/>
      <c r="M114" s="123"/>
      <c r="N114" s="79"/>
      <c r="O114" s="79"/>
      <c r="P114" s="79"/>
      <c r="Q114" s="79"/>
      <c r="R114" s="79"/>
      <c r="S114" s="79"/>
      <c r="T114" s="79"/>
      <c r="U114" s="79"/>
    </row>
    <row r="115" spans="1:21" ht="18">
      <c r="A115" s="79"/>
      <c r="B115" s="134" t="s">
        <v>226</v>
      </c>
      <c r="C115" s="153">
        <v>654360.18999999994</v>
      </c>
      <c r="D115" s="151"/>
      <c r="E115" s="151"/>
      <c r="F115" s="152"/>
      <c r="G115" s="79"/>
      <c r="H115" s="127" t="s">
        <v>152</v>
      </c>
      <c r="I115" s="128"/>
      <c r="J115" s="128"/>
      <c r="K115" s="129"/>
      <c r="L115" s="130"/>
      <c r="M115" s="127"/>
      <c r="N115" s="127"/>
      <c r="O115" s="79"/>
      <c r="P115" s="79"/>
      <c r="Q115" s="79"/>
      <c r="R115" s="79"/>
      <c r="S115" s="79"/>
      <c r="T115" s="79"/>
      <c r="U115" s="79"/>
    </row>
    <row r="116" spans="1:21" ht="66.75" customHeight="1">
      <c r="A116" s="79"/>
      <c r="B116" s="23" t="s">
        <v>227</v>
      </c>
      <c r="C116" s="154">
        <v>701070.26</v>
      </c>
      <c r="D116" s="155"/>
      <c r="E116" s="155"/>
      <c r="F116" s="156"/>
      <c r="G116" s="79"/>
      <c r="H116" s="79"/>
      <c r="I116" s="79"/>
      <c r="J116" s="79"/>
      <c r="K116" s="79"/>
      <c r="L116" s="79"/>
      <c r="M116" s="79"/>
      <c r="N116" s="79"/>
      <c r="O116" s="79"/>
      <c r="P116" s="79"/>
      <c r="Q116" s="79"/>
      <c r="R116" s="79"/>
      <c r="S116" s="79"/>
      <c r="T116" s="79"/>
      <c r="U116" s="79"/>
    </row>
    <row r="117" spans="1:21" ht="45">
      <c r="A117" s="79"/>
      <c r="B117" s="131" t="s">
        <v>228</v>
      </c>
      <c r="C117" s="150">
        <f>SUM(U108-C112)+C111</f>
        <v>-98873.644871811033</v>
      </c>
      <c r="D117" s="151"/>
      <c r="E117" s="151"/>
      <c r="F117" s="152"/>
      <c r="G117" s="79"/>
      <c r="H117" s="79"/>
      <c r="I117" s="79"/>
      <c r="J117" s="79"/>
      <c r="K117" s="79"/>
      <c r="L117" s="79"/>
      <c r="M117" s="79"/>
      <c r="N117" s="79"/>
      <c r="O117" s="79"/>
      <c r="P117" s="79"/>
      <c r="Q117" s="79"/>
      <c r="R117" s="79"/>
      <c r="S117" s="79"/>
      <c r="T117" s="79"/>
      <c r="U117" s="79"/>
    </row>
    <row r="119" spans="1:21">
      <c r="J119" s="3"/>
      <c r="K119" s="4"/>
      <c r="L119" s="4"/>
      <c r="M119" s="2"/>
    </row>
    <row r="120" spans="1:21">
      <c r="G120" s="5"/>
      <c r="H120" s="5"/>
    </row>
    <row r="121" spans="1:21">
      <c r="G121" s="6"/>
    </row>
  </sheetData>
  <mergeCells count="11">
    <mergeCell ref="C117:F117"/>
    <mergeCell ref="C112:F112"/>
    <mergeCell ref="C113:F113"/>
    <mergeCell ref="C114:F114"/>
    <mergeCell ref="C115:F115"/>
    <mergeCell ref="C116:F116"/>
    <mergeCell ref="B3:L3"/>
    <mergeCell ref="B4:L4"/>
    <mergeCell ref="B5:L5"/>
    <mergeCell ref="B6:L6"/>
    <mergeCell ref="C111:F111"/>
  </mergeCells>
  <pageMargins left="0.31496062992125984" right="0.31496062992125984" top="0.15748031496062992" bottom="0.19685039370078741" header="0.15748031496062992" footer="0.15748031496062992"/>
  <pageSetup paperSize="9" scale="37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Шахт.,7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Партнёр</dc:creator>
  <cp:lastModifiedBy>user</cp:lastModifiedBy>
  <dcterms:created xsi:type="dcterms:W3CDTF">2014-02-05T12:20:20Z</dcterms:created>
  <dcterms:modified xsi:type="dcterms:W3CDTF">2016-04-26T08:12:27Z</dcterms:modified>
</cp:coreProperties>
</file>